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cmailcarletonca.sharepoint.com/sites/GMICPGermany/Shared Documents/General/"/>
    </mc:Choice>
  </mc:AlternateContent>
  <xr:revisionPtr revIDLastSave="662" documentId="8_{9453F95C-83D0-4B9A-88EA-1B7934BDD5AD}" xr6:coauthVersionLast="47" xr6:coauthVersionMax="47" xr10:uidLastSave="{91C6C1B1-0845-4A57-A403-E8C9435AA262}"/>
  <bookViews>
    <workbookView xWindow="-110" yWindow="-110" windowWidth="19420" windowHeight="10300" tabRatio="841" xr2:uid="{00000000-000D-0000-FFFF-FFFF00000000}"/>
  </bookViews>
  <sheets>
    <sheet name="Total Revenue (Millions)" sheetId="2" r:id="rId1"/>
    <sheet name="Unified sheet" sheetId="1" r:id="rId2"/>
    <sheet name="Concentration metrics" sheetId="7" r:id="rId3"/>
    <sheet name="Mergers &amp; Acquisitions" sheetId="6" r:id="rId4"/>
  </sheets>
  <definedNames>
    <definedName name="_xlnm._FilterDatabase" localSheetId="2" hidden="1">'Concentration metrics'!$A$1:$N$221</definedName>
    <definedName name="_xlnm._FilterDatabase" localSheetId="0" hidden="1">'Total Revenue (Millions)'!$A$1:$V$234</definedName>
    <definedName name="_xlnm._FilterDatabase" localSheetId="1" hidden="1">'Unified sheet'!$A$1:$AG$1773</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7" i="1" l="1"/>
  <c r="I866" i="1"/>
  <c r="H1425" i="1"/>
  <c r="H1424" i="1"/>
  <c r="H1423" i="1"/>
  <c r="H1422" i="1"/>
  <c r="H1421" i="1"/>
  <c r="H1420" i="1"/>
  <c r="H1419" i="1"/>
  <c r="H1418" i="1"/>
  <c r="H1417" i="1"/>
  <c r="H918" i="1"/>
  <c r="H917" i="1"/>
  <c r="H916" i="1"/>
  <c r="H915" i="1"/>
  <c r="H383" i="1"/>
  <c r="H382" i="1"/>
  <c r="H381" i="1"/>
  <c r="H380" i="1"/>
  <c r="H379" i="1"/>
  <c r="H378" i="1"/>
  <c r="H377" i="1"/>
  <c r="H376" i="1"/>
  <c r="H375" i="1"/>
  <c r="H374" i="1"/>
  <c r="H373" i="1"/>
  <c r="H316" i="1"/>
  <c r="H315" i="1"/>
  <c r="H266" i="1"/>
  <c r="H265" i="1"/>
  <c r="H264" i="1"/>
  <c r="H263" i="1"/>
  <c r="H262" i="1"/>
  <c r="H260" i="1"/>
  <c r="H259" i="1"/>
  <c r="H240" i="1"/>
  <c r="H239" i="1"/>
  <c r="H238" i="1"/>
  <c r="H237" i="1"/>
  <c r="H215" i="1"/>
  <c r="H214" i="1"/>
  <c r="H213" i="1"/>
  <c r="H212" i="1"/>
  <c r="H211" i="1"/>
  <c r="H209" i="1"/>
  <c r="H208" i="1"/>
  <c r="H207" i="1"/>
  <c r="H104" i="1"/>
  <c r="H103" i="1"/>
  <c r="H102" i="1"/>
  <c r="H101" i="1"/>
  <c r="H100" i="1"/>
  <c r="H99" i="1"/>
  <c r="H50" i="1"/>
  <c r="H49" i="1"/>
  <c r="H48" i="1"/>
  <c r="H47" i="1"/>
  <c r="H46" i="1"/>
  <c r="H45" i="1"/>
  <c r="H44" i="1"/>
  <c r="H43" i="1"/>
  <c r="H42" i="1"/>
  <c r="H41" i="1"/>
  <c r="G206" i="1"/>
  <c r="H206" i="1" s="1"/>
  <c r="I235" i="1"/>
  <c r="I234" i="1"/>
  <c r="I233" i="1"/>
  <c r="I232" i="1"/>
  <c r="H1415" i="1"/>
  <c r="H1414" i="1"/>
  <c r="H1413" i="1"/>
  <c r="H1412" i="1"/>
  <c r="H1411" i="1"/>
  <c r="H1410" i="1"/>
  <c r="H1409" i="1"/>
  <c r="H1408" i="1"/>
  <c r="H1407" i="1"/>
  <c r="H1402" i="1"/>
  <c r="H914" i="1"/>
  <c r="H913" i="1"/>
  <c r="H912" i="1"/>
  <c r="H911" i="1"/>
  <c r="H885" i="1"/>
  <c r="H884" i="1"/>
  <c r="H883" i="1"/>
  <c r="H882" i="1"/>
  <c r="H881" i="1"/>
  <c r="H880" i="1"/>
  <c r="H879" i="1"/>
  <c r="H878" i="1"/>
  <c r="H634" i="1"/>
  <c r="H633" i="1"/>
  <c r="H632" i="1"/>
  <c r="H631" i="1"/>
  <c r="H630" i="1"/>
  <c r="H629" i="1"/>
  <c r="H628" i="1"/>
  <c r="H627" i="1"/>
  <c r="H626" i="1"/>
  <c r="H625" i="1"/>
  <c r="H624" i="1"/>
  <c r="H535" i="1"/>
  <c r="H534" i="1"/>
  <c r="H533" i="1"/>
  <c r="H532" i="1"/>
  <c r="H531" i="1"/>
  <c r="H530" i="1"/>
  <c r="H529" i="1"/>
  <c r="H528" i="1"/>
  <c r="H527" i="1"/>
  <c r="H526" i="1"/>
  <c r="H525" i="1"/>
  <c r="H372" i="1"/>
  <c r="H371" i="1"/>
  <c r="H370" i="1"/>
  <c r="H369" i="1"/>
  <c r="H368" i="1"/>
  <c r="H367" i="1"/>
  <c r="H366" i="1"/>
  <c r="H365" i="1"/>
  <c r="H364" i="1"/>
  <c r="H363" i="1"/>
  <c r="H362" i="1"/>
  <c r="H303" i="1"/>
  <c r="H302" i="1"/>
  <c r="H261" i="1"/>
  <c r="H257" i="1"/>
  <c r="H256" i="1"/>
  <c r="H255" i="1"/>
  <c r="H254" i="1"/>
  <c r="H253" i="1"/>
  <c r="H252" i="1"/>
  <c r="H251" i="1"/>
  <c r="H250" i="1"/>
  <c r="H235" i="1"/>
  <c r="H234" i="1"/>
  <c r="H233" i="1"/>
  <c r="H232" i="1"/>
  <c r="H205" i="1"/>
  <c r="H204" i="1"/>
  <c r="H203" i="1"/>
  <c r="H202" i="1"/>
  <c r="H201" i="1"/>
  <c r="H200" i="1"/>
  <c r="H199" i="1"/>
  <c r="H198" i="1"/>
  <c r="H197" i="1"/>
  <c r="H98" i="1"/>
  <c r="H97" i="1"/>
  <c r="H96" i="1"/>
  <c r="H95" i="1"/>
  <c r="H94" i="1"/>
  <c r="H93" i="1"/>
  <c r="H40" i="1"/>
  <c r="H39" i="1"/>
  <c r="H38" i="1"/>
  <c r="H37" i="1"/>
  <c r="H36" i="1"/>
  <c r="H35" i="1"/>
  <c r="H34" i="1"/>
  <c r="H33" i="1"/>
  <c r="H32" i="1"/>
  <c r="H31" i="1"/>
  <c r="I230" i="1"/>
  <c r="I229" i="1"/>
  <c r="I228" i="1"/>
  <c r="I227" i="1"/>
  <c r="G196" i="1"/>
  <c r="H196" i="1" s="1"/>
  <c r="H1405" i="1"/>
  <c r="H1404" i="1"/>
  <c r="H1403" i="1"/>
  <c r="H1401" i="1"/>
  <c r="H1400" i="1"/>
  <c r="H1399" i="1"/>
  <c r="H1398" i="1"/>
  <c r="H1397" i="1"/>
  <c r="H910" i="1"/>
  <c r="H909" i="1"/>
  <c r="H908" i="1"/>
  <c r="H907" i="1"/>
  <c r="H876" i="1"/>
  <c r="H875" i="1"/>
  <c r="H874" i="1"/>
  <c r="H873" i="1"/>
  <c r="H872" i="1"/>
  <c r="H871" i="1"/>
  <c r="H870" i="1"/>
  <c r="H869" i="1"/>
  <c r="H868" i="1"/>
  <c r="H867" i="1"/>
  <c r="H361" i="1"/>
  <c r="H360" i="1"/>
  <c r="H359" i="1"/>
  <c r="H358" i="1"/>
  <c r="H357" i="1"/>
  <c r="H356" i="1"/>
  <c r="H355" i="1"/>
  <c r="H354" i="1"/>
  <c r="H353" i="1"/>
  <c r="H352" i="1"/>
  <c r="H351" i="1"/>
  <c r="H292" i="1"/>
  <c r="H291" i="1"/>
  <c r="H248" i="1"/>
  <c r="H247" i="1"/>
  <c r="H246" i="1"/>
  <c r="H245" i="1"/>
  <c r="H244" i="1"/>
  <c r="H243" i="1"/>
  <c r="H242" i="1"/>
  <c r="H230" i="1"/>
  <c r="H229" i="1"/>
  <c r="H228" i="1"/>
  <c r="H227" i="1"/>
  <c r="H195" i="1"/>
  <c r="H194" i="1"/>
  <c r="H193" i="1"/>
  <c r="H192" i="1"/>
  <c r="H191" i="1"/>
  <c r="H190" i="1"/>
  <c r="H189" i="1"/>
  <c r="H188" i="1"/>
  <c r="H187" i="1"/>
  <c r="H92" i="1"/>
  <c r="H91" i="1"/>
  <c r="H90" i="1"/>
  <c r="H89" i="1"/>
  <c r="H88" i="1"/>
  <c r="H87" i="1"/>
  <c r="H30" i="1"/>
  <c r="H29" i="1"/>
  <c r="H28" i="1"/>
  <c r="H27" i="1"/>
  <c r="H26" i="1"/>
  <c r="H25" i="1"/>
  <c r="H24" i="1"/>
  <c r="H23" i="1"/>
  <c r="H22" i="1"/>
  <c r="H21" i="1"/>
  <c r="H1395" i="1"/>
  <c r="H1394" i="1"/>
  <c r="H1393" i="1"/>
  <c r="H1392" i="1"/>
  <c r="H1391" i="1"/>
  <c r="H1390" i="1"/>
  <c r="H1389" i="1"/>
  <c r="H1388" i="1"/>
  <c r="H1387" i="1"/>
  <c r="H1207" i="1"/>
  <c r="H1206" i="1"/>
  <c r="H906" i="1"/>
  <c r="H905" i="1"/>
  <c r="H904" i="1"/>
  <c r="H903" i="1"/>
  <c r="H623" i="1"/>
  <c r="H622" i="1"/>
  <c r="H621" i="1"/>
  <c r="H620" i="1"/>
  <c r="H619" i="1"/>
  <c r="H618" i="1"/>
  <c r="H617" i="1"/>
  <c r="H616" i="1"/>
  <c r="H615" i="1"/>
  <c r="H614" i="1"/>
  <c r="H613" i="1"/>
  <c r="H524" i="1"/>
  <c r="H523" i="1"/>
  <c r="H522" i="1"/>
  <c r="H521" i="1"/>
  <c r="H520" i="1"/>
  <c r="H519" i="1"/>
  <c r="H518" i="1"/>
  <c r="H517" i="1"/>
  <c r="H516" i="1"/>
  <c r="H515" i="1"/>
  <c r="H514" i="1"/>
  <c r="H350" i="1"/>
  <c r="H349" i="1"/>
  <c r="H348" i="1"/>
  <c r="H347" i="1"/>
  <c r="H346" i="1"/>
  <c r="H345" i="1"/>
  <c r="H344" i="1"/>
  <c r="H343" i="1"/>
  <c r="H342" i="1"/>
  <c r="H341" i="1"/>
  <c r="H340" i="1"/>
  <c r="H289" i="1"/>
  <c r="H288" i="1"/>
  <c r="H287" i="1"/>
  <c r="H286" i="1"/>
  <c r="H285" i="1"/>
  <c r="H284" i="1"/>
  <c r="H283" i="1"/>
  <c r="H282" i="1"/>
  <c r="H281" i="1"/>
  <c r="H280" i="1"/>
  <c r="H225" i="1"/>
  <c r="H224" i="1"/>
  <c r="H223" i="1"/>
  <c r="H222" i="1"/>
  <c r="H185" i="1"/>
  <c r="H184" i="1"/>
  <c r="H183" i="1"/>
  <c r="H182" i="1"/>
  <c r="H181" i="1"/>
  <c r="H180" i="1"/>
  <c r="H179" i="1"/>
  <c r="H178" i="1"/>
  <c r="H86" i="1"/>
  <c r="H85" i="1"/>
  <c r="H84" i="1"/>
  <c r="H83" i="1"/>
  <c r="H82" i="1"/>
  <c r="H81" i="1"/>
  <c r="H20" i="1"/>
  <c r="H19" i="1"/>
  <c r="H18" i="1"/>
  <c r="H17" i="1"/>
  <c r="H16" i="1"/>
  <c r="H15" i="1"/>
  <c r="H14" i="1"/>
  <c r="H13" i="1"/>
  <c r="H12" i="1"/>
  <c r="H1384" i="1"/>
  <c r="H1383" i="1"/>
  <c r="H1382" i="1"/>
  <c r="H1381" i="1"/>
  <c r="H1380" i="1"/>
  <c r="H1379" i="1"/>
  <c r="H1378" i="1"/>
  <c r="H1377" i="1"/>
  <c r="H1376" i="1"/>
  <c r="H1351" i="1"/>
  <c r="H1350" i="1"/>
  <c r="H1349" i="1"/>
  <c r="H1348" i="1"/>
  <c r="H1347" i="1"/>
  <c r="H1218" i="1"/>
  <c r="H1217" i="1"/>
  <c r="H1216" i="1"/>
  <c r="H1215" i="1"/>
  <c r="H1214" i="1"/>
  <c r="H1205" i="1"/>
  <c r="H1204" i="1"/>
  <c r="H1144" i="1"/>
  <c r="H1143" i="1"/>
  <c r="H1142" i="1"/>
  <c r="H1141" i="1"/>
  <c r="H1140" i="1"/>
  <c r="H1120" i="1"/>
  <c r="H1119" i="1"/>
  <c r="H1118" i="1"/>
  <c r="H1047" i="1"/>
  <c r="H1046" i="1"/>
  <c r="H1045" i="1"/>
  <c r="H1044" i="1"/>
  <c r="H1043" i="1"/>
  <c r="H1042" i="1"/>
  <c r="H1041" i="1"/>
  <c r="H1040" i="1"/>
  <c r="H1039" i="1"/>
  <c r="H1038" i="1"/>
  <c r="H1037" i="1"/>
  <c r="H1036" i="1"/>
  <c r="H1035" i="1"/>
  <c r="H1034" i="1"/>
  <c r="H1033" i="1"/>
  <c r="H1018" i="1"/>
  <c r="H1017" i="1"/>
  <c r="H1016" i="1"/>
  <c r="H939" i="1"/>
  <c r="H938" i="1"/>
  <c r="H937" i="1"/>
  <c r="H936" i="1"/>
  <c r="H922" i="1"/>
  <c r="H921" i="1"/>
  <c r="H902" i="1"/>
  <c r="H901" i="1"/>
  <c r="H900" i="1"/>
  <c r="H899" i="1"/>
  <c r="H865" i="1"/>
  <c r="H864" i="1"/>
  <c r="H863" i="1"/>
  <c r="H862" i="1"/>
  <c r="H861" i="1"/>
  <c r="H860" i="1"/>
  <c r="H859" i="1"/>
  <c r="H858" i="1"/>
  <c r="H857" i="1"/>
  <c r="H856" i="1"/>
  <c r="H855" i="1"/>
  <c r="H854" i="1"/>
  <c r="H853" i="1"/>
  <c r="H852" i="1"/>
  <c r="H851" i="1"/>
  <c r="H339" i="1"/>
  <c r="H338" i="1"/>
  <c r="H337" i="1"/>
  <c r="H336" i="1"/>
  <c r="H335" i="1"/>
  <c r="H334" i="1"/>
  <c r="H333" i="1"/>
  <c r="H332" i="1"/>
  <c r="H331" i="1"/>
  <c r="H330" i="1"/>
  <c r="H329" i="1"/>
  <c r="H278" i="1"/>
  <c r="H277" i="1"/>
  <c r="H276" i="1"/>
  <c r="H275" i="1"/>
  <c r="H274" i="1"/>
  <c r="H273" i="1"/>
  <c r="H272" i="1"/>
  <c r="H271" i="1"/>
  <c r="H270" i="1"/>
  <c r="H269" i="1"/>
  <c r="H268" i="1"/>
  <c r="H220" i="1"/>
  <c r="H219" i="1"/>
  <c r="H218" i="1"/>
  <c r="H217" i="1"/>
  <c r="H176" i="1"/>
  <c r="H175" i="1"/>
  <c r="H174" i="1"/>
  <c r="H173" i="1"/>
  <c r="H172" i="1"/>
  <c r="H171" i="1"/>
  <c r="H170" i="1"/>
  <c r="H169" i="1"/>
  <c r="H168" i="1"/>
  <c r="H80" i="1"/>
  <c r="H79" i="1"/>
  <c r="H78" i="1"/>
  <c r="H77" i="1"/>
  <c r="H76" i="1"/>
  <c r="H75" i="1"/>
  <c r="H11" i="1"/>
  <c r="H10" i="1"/>
  <c r="H9" i="1"/>
  <c r="H8" i="1"/>
  <c r="H7" i="1"/>
  <c r="H6" i="1"/>
  <c r="H5" i="1"/>
  <c r="H4" i="1"/>
  <c r="H3" i="1"/>
  <c r="H2" i="1"/>
  <c r="H898" i="1"/>
  <c r="H897" i="1"/>
  <c r="H896" i="1"/>
  <c r="H850" i="1"/>
  <c r="H848" i="1"/>
  <c r="H839" i="1"/>
  <c r="H612" i="1"/>
  <c r="H611" i="1"/>
  <c r="H610" i="1"/>
  <c r="H609" i="1"/>
  <c r="H608" i="1"/>
  <c r="H607" i="1"/>
  <c r="H606" i="1"/>
  <c r="H513" i="1"/>
  <c r="H512" i="1"/>
  <c r="H511" i="1"/>
  <c r="H510" i="1"/>
  <c r="H509" i="1"/>
  <c r="H508" i="1"/>
  <c r="H507" i="1"/>
  <c r="H506" i="1"/>
  <c r="H505" i="1"/>
  <c r="H504" i="1"/>
  <c r="H503" i="1"/>
  <c r="H895" i="1"/>
  <c r="H894" i="1"/>
  <c r="H893" i="1"/>
  <c r="H892" i="1"/>
  <c r="H891" i="1"/>
  <c r="H890" i="1"/>
  <c r="H834" i="1"/>
  <c r="H833" i="1"/>
  <c r="H832" i="1"/>
  <c r="H831" i="1"/>
  <c r="H830" i="1"/>
  <c r="H829" i="1"/>
  <c r="H828" i="1"/>
  <c r="H827" i="1"/>
  <c r="H826" i="1"/>
  <c r="H825" i="1"/>
  <c r="H824" i="1"/>
  <c r="H823" i="1"/>
  <c r="H822" i="1"/>
  <c r="H821" i="1"/>
  <c r="H820" i="1"/>
  <c r="H819" i="1"/>
  <c r="H605" i="1"/>
  <c r="H604" i="1"/>
  <c r="H603" i="1"/>
  <c r="H602" i="1"/>
  <c r="H601" i="1"/>
  <c r="H600" i="1"/>
  <c r="H502" i="1"/>
  <c r="H501" i="1"/>
  <c r="H500" i="1"/>
  <c r="H499" i="1"/>
  <c r="H498" i="1"/>
  <c r="H497" i="1"/>
  <c r="H496" i="1"/>
  <c r="H495" i="1"/>
  <c r="H494" i="1"/>
  <c r="H493" i="1"/>
  <c r="H492" i="1"/>
  <c r="H889" i="1"/>
  <c r="H888" i="1"/>
  <c r="H887" i="1"/>
  <c r="H816" i="1"/>
  <c r="H805"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1191" i="1"/>
  <c r="H1190" i="1"/>
  <c r="H1189" i="1"/>
  <c r="H1188" i="1"/>
  <c r="H1187" i="1"/>
  <c r="H1186" i="1"/>
  <c r="H1185" i="1"/>
  <c r="H992" i="1"/>
  <c r="H991" i="1"/>
  <c r="H990" i="1"/>
  <c r="H989" i="1"/>
  <c r="H988" i="1"/>
  <c r="H987" i="1"/>
  <c r="H986" i="1"/>
  <c r="H985" i="1"/>
  <c r="H984" i="1"/>
  <c r="H983" i="1"/>
  <c r="H782" i="1"/>
  <c r="H781" i="1"/>
  <c r="H780" i="1"/>
  <c r="H779" i="1"/>
  <c r="H778" i="1"/>
  <c r="H777" i="1"/>
  <c r="H776" i="1"/>
  <c r="H775" i="1"/>
  <c r="H774" i="1"/>
  <c r="H773" i="1"/>
  <c r="H581" i="1"/>
  <c r="H580" i="1"/>
  <c r="H579" i="1"/>
  <c r="H578" i="1"/>
  <c r="H577" i="1"/>
  <c r="H576" i="1"/>
  <c r="H458" i="1"/>
  <c r="H457" i="1"/>
  <c r="H456" i="1"/>
  <c r="H455" i="1"/>
  <c r="H454" i="1"/>
  <c r="H453" i="1"/>
  <c r="H452" i="1"/>
  <c r="H451" i="1"/>
  <c r="H450" i="1"/>
  <c r="H449" i="1"/>
  <c r="H448" i="1"/>
  <c r="H751" i="1"/>
  <c r="H750" i="1"/>
  <c r="H749" i="1"/>
  <c r="H748" i="1"/>
  <c r="H747" i="1"/>
  <c r="H746" i="1"/>
  <c r="H745" i="1"/>
  <c r="H744" i="1"/>
  <c r="H743" i="1"/>
  <c r="H742" i="1"/>
  <c r="H741" i="1"/>
  <c r="H740" i="1"/>
  <c r="H739" i="1"/>
  <c r="H738" i="1"/>
  <c r="H737" i="1"/>
  <c r="H736" i="1"/>
  <c r="H735" i="1"/>
  <c r="H734" i="1"/>
  <c r="H733" i="1"/>
  <c r="H732" i="1"/>
  <c r="H425" i="1"/>
  <c r="H424" i="1"/>
  <c r="H423" i="1"/>
  <c r="H422" i="1"/>
  <c r="H421" i="1"/>
  <c r="H420" i="1"/>
  <c r="H419" i="1"/>
  <c r="H418" i="1"/>
  <c r="H417" i="1"/>
  <c r="H416" i="1"/>
  <c r="H415" i="1"/>
  <c r="E152" i="2"/>
  <c r="E167" i="2"/>
  <c r="E206" i="2"/>
  <c r="E136" i="2"/>
  <c r="E142" i="2"/>
  <c r="E234" i="2"/>
  <c r="E161" i="2"/>
  <c r="E188" i="2"/>
  <c r="E130" i="2"/>
  <c r="E200" i="2"/>
  <c r="E229" i="2"/>
  <c r="E92" i="2"/>
  <c r="E87" i="2"/>
  <c r="E77" i="2"/>
  <c r="E72" i="2"/>
  <c r="E67" i="2"/>
  <c r="E54" i="2"/>
  <c r="E211" i="2"/>
  <c r="E32" i="2"/>
  <c r="E23" i="2"/>
  <c r="E12" i="2"/>
  <c r="E151" i="2"/>
  <c r="E166" i="2"/>
  <c r="E205" i="2"/>
  <c r="E135" i="2"/>
  <c r="E141" i="2"/>
  <c r="E233" i="2"/>
  <c r="E160" i="2"/>
  <c r="E187" i="2"/>
  <c r="E129" i="2"/>
  <c r="E199" i="2"/>
  <c r="E228" i="2"/>
  <c r="E91" i="2"/>
  <c r="E86" i="2"/>
  <c r="E76" i="2"/>
  <c r="E71" i="2"/>
  <c r="E66" i="2"/>
  <c r="E62" i="2"/>
  <c r="E53" i="2"/>
  <c r="E210" i="2"/>
  <c r="E31" i="2"/>
  <c r="E22" i="2"/>
  <c r="E11" i="2"/>
  <c r="E150" i="2"/>
  <c r="E165" i="2"/>
  <c r="E204" i="2"/>
  <c r="E134" i="2"/>
  <c r="E140" i="2"/>
  <c r="E232" i="2"/>
  <c r="E159" i="2"/>
  <c r="E186" i="2"/>
  <c r="E128" i="2"/>
  <c r="E198" i="2"/>
  <c r="E227" i="2"/>
  <c r="E90" i="2"/>
  <c r="E85" i="2"/>
  <c r="E75" i="2"/>
  <c r="E70" i="2"/>
  <c r="E65" i="2"/>
  <c r="E61" i="2"/>
  <c r="E52" i="2"/>
  <c r="E209" i="2"/>
  <c r="E30" i="2"/>
  <c r="E21" i="2"/>
  <c r="E10" i="2"/>
  <c r="E149" i="2"/>
  <c r="E164" i="2"/>
  <c r="E203" i="2"/>
  <c r="E133" i="2"/>
  <c r="E139" i="2"/>
  <c r="E231" i="2"/>
  <c r="E158" i="2"/>
  <c r="E185" i="2"/>
  <c r="E127" i="2"/>
  <c r="E197" i="2"/>
  <c r="E226" i="2"/>
  <c r="E89" i="2"/>
  <c r="E84" i="2"/>
  <c r="E74" i="2"/>
  <c r="E69" i="2"/>
  <c r="E64" i="2"/>
  <c r="E60" i="2"/>
  <c r="E51" i="2"/>
  <c r="E208" i="2"/>
  <c r="E29" i="2"/>
  <c r="E20" i="2"/>
  <c r="E9" i="2"/>
  <c r="E148" i="2"/>
  <c r="E163" i="2"/>
  <c r="E202" i="2"/>
  <c r="E132" i="2"/>
  <c r="E138" i="2"/>
  <c r="E230" i="2"/>
  <c r="E157" i="2"/>
  <c r="E184" i="2"/>
  <c r="E126" i="2"/>
  <c r="E196" i="2"/>
  <c r="E225" i="2"/>
  <c r="E88" i="2"/>
  <c r="E83" i="2"/>
  <c r="E73" i="2"/>
  <c r="E68" i="2"/>
  <c r="E63" i="2"/>
  <c r="E59" i="2"/>
  <c r="E50" i="2"/>
  <c r="E207" i="2"/>
  <c r="E28" i="2"/>
  <c r="E19" i="2"/>
  <c r="E8" i="2"/>
  <c r="E147" i="2"/>
  <c r="E162" i="2"/>
  <c r="E201" i="2"/>
  <c r="E131" i="2"/>
  <c r="E137" i="2"/>
  <c r="E183" i="2"/>
  <c r="E125" i="2"/>
  <c r="E195" i="2"/>
  <c r="E224" i="2"/>
  <c r="E182" i="2"/>
  <c r="E124" i="2"/>
  <c r="E194" i="2"/>
  <c r="E181" i="2"/>
  <c r="E123" i="2"/>
  <c r="E193" i="2"/>
  <c r="E223" i="2"/>
  <c r="E180" i="2"/>
  <c r="E122" i="2"/>
  <c r="E192" i="2"/>
  <c r="E222" i="2"/>
  <c r="E179" i="2"/>
  <c r="E121" i="2"/>
  <c r="E191" i="2"/>
  <c r="E221" i="2"/>
  <c r="E178" i="2"/>
  <c r="E120" i="2"/>
  <c r="E190" i="2"/>
  <c r="E220" i="2"/>
  <c r="E146" i="2"/>
  <c r="E177" i="2"/>
  <c r="E119" i="2"/>
  <c r="E189" i="2"/>
  <c r="E219" i="2"/>
  <c r="E43" i="2"/>
  <c r="E18" i="2"/>
  <c r="E176" i="2"/>
  <c r="E118" i="2"/>
  <c r="E218" i="2"/>
  <c r="E42" i="2"/>
  <c r="E117" i="2"/>
  <c r="E217" i="2"/>
  <c r="E41" i="2"/>
  <c r="E156" i="2"/>
  <c r="E145" i="2"/>
  <c r="E97" i="2"/>
  <c r="E175" i="2"/>
  <c r="E116" i="2"/>
  <c r="E216" i="2"/>
  <c r="E82" i="2"/>
  <c r="E115" i="2"/>
  <c r="E215" i="2"/>
  <c r="E39" i="2"/>
  <c r="E155" i="2"/>
  <c r="E144" i="2"/>
  <c r="E96" i="2"/>
  <c r="E94" i="2"/>
  <c r="E174" i="2"/>
  <c r="E27" i="2"/>
  <c r="E17" i="2"/>
  <c r="E114" i="2"/>
  <c r="E214" i="2"/>
  <c r="E38" i="2"/>
  <c r="E81" i="2"/>
  <c r="E57" i="2"/>
  <c r="E26" i="2"/>
  <c r="E7" i="2"/>
  <c r="E113" i="2"/>
  <c r="E37" i="2"/>
  <c r="E99" i="2"/>
  <c r="E25" i="2"/>
  <c r="E112" i="2"/>
  <c r="E24" i="2"/>
  <c r="E111" i="2"/>
  <c r="E35" i="2"/>
  <c r="E154" i="2"/>
  <c r="E143" i="2"/>
  <c r="E98" i="2"/>
  <c r="E95" i="2"/>
  <c r="E93" i="2"/>
  <c r="E173" i="2"/>
  <c r="E56" i="2"/>
  <c r="E16" i="2"/>
  <c r="E6" i="2"/>
  <c r="E110" i="2"/>
  <c r="E80" i="2"/>
  <c r="E109" i="2"/>
  <c r="E108" i="2"/>
  <c r="E213" i="2"/>
  <c r="E107" i="2"/>
  <c r="E212" i="2"/>
  <c r="E153" i="2"/>
  <c r="E79" i="2"/>
  <c r="E172" i="2"/>
  <c r="E55" i="2"/>
  <c r="E15" i="2"/>
  <c r="E5" i="2"/>
  <c r="E106" i="2"/>
  <c r="E105" i="2"/>
  <c r="E104" i="2"/>
  <c r="E103" i="2"/>
  <c r="E78" i="2"/>
  <c r="E171" i="2"/>
  <c r="E14" i="2"/>
  <c r="E4" i="2"/>
  <c r="E102" i="2"/>
  <c r="E101" i="2"/>
  <c r="E100" i="2"/>
  <c r="E170" i="2"/>
  <c r="E13" i="2"/>
  <c r="E3" i="2"/>
  <c r="E169" i="2"/>
  <c r="E168" i="2"/>
  <c r="G886" i="1" l="1"/>
  <c r="H886" i="1" s="1"/>
  <c r="G1416" i="1"/>
  <c r="H1416" i="1" s="1"/>
  <c r="I1376" i="1"/>
  <c r="G267" i="1"/>
  <c r="H267" i="1" s="1"/>
  <c r="G249" i="1"/>
  <c r="H249" i="1" s="1"/>
  <c r="AB206" i="1"/>
  <c r="AB196" i="1"/>
  <c r="AB186" i="1"/>
  <c r="AB177" i="1"/>
  <c r="I1411" i="1"/>
  <c r="I1209" i="1"/>
  <c r="I1208" i="1"/>
  <c r="G1385" i="1"/>
  <c r="G1396" i="1"/>
  <c r="H1396" i="1" s="1"/>
  <c r="G1406" i="1"/>
  <c r="G1426" i="1"/>
  <c r="H1426" i="1" s="1"/>
  <c r="G177" i="1"/>
  <c r="H177" i="1" s="1"/>
  <c r="G186" i="1"/>
  <c r="H186" i="1" s="1"/>
  <c r="G210" i="1"/>
  <c r="H210" i="1" s="1"/>
  <c r="G221" i="1"/>
  <c r="H221" i="1" s="1"/>
  <c r="G226" i="1"/>
  <c r="H226" i="1" s="1"/>
  <c r="G231" i="1"/>
  <c r="G236" i="1"/>
  <c r="G241" i="1"/>
  <c r="H241" i="1" s="1"/>
  <c r="G279" i="1"/>
  <c r="G290" i="1"/>
  <c r="G293" i="1"/>
  <c r="G294" i="1"/>
  <c r="G295" i="1"/>
  <c r="G296" i="1"/>
  <c r="G297" i="1"/>
  <c r="G298" i="1"/>
  <c r="G299" i="1"/>
  <c r="G300" i="1"/>
  <c r="G304" i="1"/>
  <c r="H304" i="1" s="1"/>
  <c r="G305" i="1"/>
  <c r="G306" i="1"/>
  <c r="G307" i="1"/>
  <c r="G308" i="1"/>
  <c r="G309" i="1"/>
  <c r="G310" i="1"/>
  <c r="G311" i="1"/>
  <c r="G312" i="1"/>
  <c r="G313" i="1"/>
  <c r="G317" i="1"/>
  <c r="G318" i="1"/>
  <c r="G319" i="1"/>
  <c r="G320" i="1"/>
  <c r="G321" i="1"/>
  <c r="G322" i="1"/>
  <c r="G323" i="1"/>
  <c r="H323" i="1" s="1"/>
  <c r="G324" i="1"/>
  <c r="G325" i="1"/>
  <c r="G326" i="1"/>
  <c r="G327" i="1"/>
  <c r="G835" i="1"/>
  <c r="H835" i="1" s="1"/>
  <c r="G836" i="1"/>
  <c r="H836" i="1" s="1"/>
  <c r="G837" i="1"/>
  <c r="H837" i="1" s="1"/>
  <c r="G838" i="1"/>
  <c r="H838" i="1" s="1"/>
  <c r="G840" i="1"/>
  <c r="H840" i="1" s="1"/>
  <c r="G841" i="1"/>
  <c r="H841" i="1" s="1"/>
  <c r="G842" i="1"/>
  <c r="H842" i="1" s="1"/>
  <c r="G843" i="1"/>
  <c r="H843" i="1" s="1"/>
  <c r="G844" i="1"/>
  <c r="H844" i="1" s="1"/>
  <c r="G845" i="1"/>
  <c r="H845" i="1" s="1"/>
  <c r="G846" i="1"/>
  <c r="H846" i="1" s="1"/>
  <c r="G847" i="1"/>
  <c r="H847" i="1" s="1"/>
  <c r="G849" i="1"/>
  <c r="H849" i="1" s="1"/>
  <c r="G877" i="1"/>
  <c r="H877" i="1" s="1"/>
  <c r="I41" i="1"/>
  <c r="I42" i="1"/>
  <c r="I43" i="1"/>
  <c r="I44" i="1"/>
  <c r="I45" i="1"/>
  <c r="I46" i="1"/>
  <c r="I47" i="1"/>
  <c r="I48" i="1"/>
  <c r="I49" i="1"/>
  <c r="I1382" i="1"/>
  <c r="I1392" i="1"/>
  <c r="I1396" i="1" s="1"/>
  <c r="I1402" i="1"/>
  <c r="I1417" i="1"/>
  <c r="I1418" i="1"/>
  <c r="I1419" i="1"/>
  <c r="I1420" i="1"/>
  <c r="I1421" i="1"/>
  <c r="I1422" i="1"/>
  <c r="I1423" i="1"/>
  <c r="I1424" i="1"/>
  <c r="I1425" i="1"/>
  <c r="I177" i="1"/>
  <c r="I186" i="1"/>
  <c r="I196" i="1"/>
  <c r="I206" i="1"/>
  <c r="I207" i="1"/>
  <c r="I208" i="1"/>
  <c r="I209" i="1"/>
  <c r="I211" i="1"/>
  <c r="I212" i="1"/>
  <c r="I213" i="1"/>
  <c r="I214" i="1"/>
  <c r="I215" i="1"/>
  <c r="I217" i="1"/>
  <c r="I218" i="1"/>
  <c r="I219" i="1"/>
  <c r="I220" i="1"/>
  <c r="I222" i="1"/>
  <c r="I223" i="1"/>
  <c r="I224" i="1"/>
  <c r="I225" i="1"/>
  <c r="I237" i="1"/>
  <c r="I238" i="1"/>
  <c r="I239" i="1"/>
  <c r="I240" i="1"/>
  <c r="I268" i="1"/>
  <c r="I269" i="1"/>
  <c r="I270" i="1"/>
  <c r="I271" i="1"/>
  <c r="I272" i="1"/>
  <c r="I273" i="1"/>
  <c r="I274" i="1"/>
  <c r="I275" i="1"/>
  <c r="I276" i="1"/>
  <c r="I277" i="1"/>
  <c r="I278" i="1"/>
  <c r="I280" i="1"/>
  <c r="I281" i="1"/>
  <c r="I282" i="1"/>
  <c r="I283" i="1"/>
  <c r="I284" i="1"/>
  <c r="I285" i="1"/>
  <c r="I286" i="1"/>
  <c r="I287" i="1"/>
  <c r="I288" i="1"/>
  <c r="I289" i="1"/>
  <c r="I291" i="1"/>
  <c r="I292" i="1"/>
  <c r="I302" i="1"/>
  <c r="I303" i="1"/>
  <c r="I315" i="1"/>
  <c r="I316" i="1"/>
  <c r="I851" i="1"/>
  <c r="I852" i="1"/>
  <c r="I853" i="1"/>
  <c r="I854" i="1"/>
  <c r="I855" i="1"/>
  <c r="I856" i="1"/>
  <c r="I857" i="1"/>
  <c r="I858" i="1"/>
  <c r="I859" i="1"/>
  <c r="I860" i="1"/>
  <c r="I861" i="1"/>
  <c r="I862" i="1"/>
  <c r="I863" i="1"/>
  <c r="I864" i="1"/>
  <c r="I865" i="1"/>
  <c r="I867" i="1"/>
  <c r="I868" i="1"/>
  <c r="I869" i="1"/>
  <c r="I870" i="1"/>
  <c r="I871" i="1"/>
  <c r="I872" i="1"/>
  <c r="I873" i="1"/>
  <c r="I874" i="1"/>
  <c r="I875" i="1"/>
  <c r="I876" i="1"/>
  <c r="I878" i="1"/>
  <c r="I879" i="1"/>
  <c r="I880" i="1"/>
  <c r="I881" i="1"/>
  <c r="I882" i="1"/>
  <c r="I883" i="1"/>
  <c r="I884" i="1"/>
  <c r="I885" i="1"/>
  <c r="L14" i="7"/>
  <c r="L13" i="7"/>
  <c r="L12" i="7"/>
  <c r="L11" i="7"/>
  <c r="K14" i="7"/>
  <c r="K13" i="7"/>
  <c r="K12" i="7"/>
  <c r="K11" i="7"/>
  <c r="J14" i="7"/>
  <c r="J13" i="7"/>
  <c r="J12" i="7"/>
  <c r="J11" i="7"/>
  <c r="E14" i="7"/>
  <c r="E13" i="7"/>
  <c r="E12" i="7"/>
  <c r="E11" i="7"/>
  <c r="D14" i="7"/>
  <c r="D13" i="7"/>
  <c r="D12" i="7"/>
  <c r="D11" i="7"/>
  <c r="L30" i="7"/>
  <c r="L29" i="7"/>
  <c r="L28" i="7"/>
  <c r="L27" i="7"/>
  <c r="L26" i="7"/>
  <c r="AD314" i="1"/>
  <c r="E30" i="7"/>
  <c r="E29" i="7"/>
  <c r="E28" i="7"/>
  <c r="E27" i="7"/>
  <c r="E26" i="7"/>
  <c r="AA1032" i="1"/>
  <c r="AA1028" i="1"/>
  <c r="AA1025" i="1"/>
  <c r="AA1021" i="1"/>
  <c r="AA1018" i="1"/>
  <c r="K30" i="7"/>
  <c r="K29" i="7"/>
  <c r="K28" i="7"/>
  <c r="K27" i="7"/>
  <c r="K26" i="7"/>
  <c r="J30" i="7"/>
  <c r="J29" i="7"/>
  <c r="J28" i="7"/>
  <c r="J27" i="7"/>
  <c r="J26" i="7"/>
  <c r="D26" i="7"/>
  <c r="D27" i="7"/>
  <c r="D30" i="7"/>
  <c r="D29" i="7"/>
  <c r="D28" i="7"/>
  <c r="K222" i="1"/>
  <c r="M222" i="1" s="1"/>
  <c r="O222" i="1" s="1"/>
  <c r="Q222" i="1" s="1"/>
  <c r="S222" i="1" s="1"/>
  <c r="U222" i="1" s="1"/>
  <c r="W222" i="1" s="1"/>
  <c r="I320" i="1" l="1"/>
  <c r="H320" i="1"/>
  <c r="I324" i="1"/>
  <c r="H324" i="1"/>
  <c r="I318" i="1"/>
  <c r="H318" i="1"/>
  <c r="I326" i="1"/>
  <c r="H326" i="1"/>
  <c r="I325" i="1"/>
  <c r="H325" i="1"/>
  <c r="I319" i="1"/>
  <c r="H319" i="1"/>
  <c r="I317" i="1"/>
  <c r="H317" i="1"/>
  <c r="I322" i="1"/>
  <c r="H322" i="1"/>
  <c r="I327" i="1"/>
  <c r="H327" i="1"/>
  <c r="I321" i="1"/>
  <c r="H321" i="1"/>
  <c r="I311" i="1"/>
  <c r="H311" i="1"/>
  <c r="I305" i="1"/>
  <c r="H305" i="1"/>
  <c r="I310" i="1"/>
  <c r="H310" i="1"/>
  <c r="H236" i="1"/>
  <c r="I236" i="1"/>
  <c r="I309" i="1"/>
  <c r="H309" i="1"/>
  <c r="I308" i="1"/>
  <c r="H308" i="1"/>
  <c r="I313" i="1"/>
  <c r="H313" i="1"/>
  <c r="I307" i="1"/>
  <c r="H307" i="1"/>
  <c r="I312" i="1"/>
  <c r="H312" i="1"/>
  <c r="I306" i="1"/>
  <c r="H306" i="1"/>
  <c r="I299" i="1"/>
  <c r="H299" i="1"/>
  <c r="I293" i="1"/>
  <c r="H293" i="1"/>
  <c r="I300" i="1"/>
  <c r="H300" i="1"/>
  <c r="I231" i="1"/>
  <c r="H231" i="1"/>
  <c r="I298" i="1"/>
  <c r="H298" i="1"/>
  <c r="I1406" i="1"/>
  <c r="H1406" i="1"/>
  <c r="I295" i="1"/>
  <c r="H295" i="1"/>
  <c r="I294" i="1"/>
  <c r="H294" i="1"/>
  <c r="I297" i="1"/>
  <c r="H297" i="1"/>
  <c r="I296" i="1"/>
  <c r="H296" i="1"/>
  <c r="I290" i="1"/>
  <c r="H290" i="1"/>
  <c r="H866" i="1"/>
  <c r="I279" i="1"/>
  <c r="H279" i="1"/>
  <c r="G1386" i="1"/>
  <c r="H1386" i="1" s="1"/>
  <c r="H1385" i="1"/>
  <c r="I241" i="1"/>
  <c r="I221" i="1"/>
  <c r="I1426" i="1"/>
  <c r="I877" i="1"/>
  <c r="G301" i="1"/>
  <c r="I1416" i="1"/>
  <c r="I1386" i="1"/>
  <c r="I323" i="1"/>
  <c r="G328" i="1"/>
  <c r="I886" i="1"/>
  <c r="I304" i="1"/>
  <c r="G314" i="1"/>
  <c r="L222" i="1"/>
  <c r="N222" i="1" s="1"/>
  <c r="P222" i="1" s="1"/>
  <c r="R222" i="1" s="1"/>
  <c r="T222" i="1" s="1"/>
  <c r="V222" i="1" s="1"/>
  <c r="I226" i="1"/>
  <c r="G216" i="1"/>
  <c r="H216" i="1" s="1"/>
  <c r="I210" i="1"/>
  <c r="I216" i="1" s="1"/>
  <c r="L15" i="7"/>
  <c r="K15" i="7"/>
  <c r="J15" i="7"/>
  <c r="E15" i="7"/>
  <c r="D15" i="7"/>
  <c r="K149" i="7" a="1"/>
  <c r="K149" i="7" s="1"/>
  <c r="L150" i="7" a="1"/>
  <c r="L150" i="7" s="1"/>
  <c r="L149" i="7" a="1"/>
  <c r="L149" i="7" s="1"/>
  <c r="K151" i="7" a="1"/>
  <c r="K151" i="7" s="1"/>
  <c r="L151" i="7" a="1"/>
  <c r="L151" i="7" s="1"/>
  <c r="K150" i="7" a="1"/>
  <c r="K150" i="7" s="1"/>
  <c r="AA920" i="1"/>
  <c r="AA922" i="1"/>
  <c r="AA924" i="1"/>
  <c r="AA926" i="1"/>
  <c r="AA928" i="1"/>
  <c r="AA931" i="1"/>
  <c r="AA935" i="1"/>
  <c r="AA939" i="1"/>
  <c r="AA944" i="1"/>
  <c r="AD1117" i="1"/>
  <c r="AD1120" i="1"/>
  <c r="AD1123" i="1"/>
  <c r="AD1127" i="1"/>
  <c r="AD1131" i="1"/>
  <c r="AD1134" i="1"/>
  <c r="I328" i="1" l="1"/>
  <c r="H328" i="1"/>
  <c r="I314" i="1"/>
  <c r="H314" i="1"/>
  <c r="I301" i="1"/>
  <c r="H301" i="1"/>
  <c r="G815" i="1"/>
  <c r="H815" i="1" s="1"/>
  <c r="G814" i="1"/>
  <c r="H814" i="1" s="1"/>
  <c r="G813" i="1"/>
  <c r="H813" i="1" s="1"/>
  <c r="G812" i="1"/>
  <c r="H812" i="1" s="1"/>
  <c r="G811" i="1"/>
  <c r="H811" i="1" s="1"/>
  <c r="G810" i="1"/>
  <c r="H810" i="1" s="1"/>
  <c r="G809" i="1"/>
  <c r="H809" i="1" s="1"/>
  <c r="G808" i="1"/>
  <c r="H808" i="1" s="1"/>
  <c r="G807" i="1"/>
  <c r="H807" i="1" s="1"/>
  <c r="G806" i="1"/>
  <c r="H806" i="1" s="1"/>
  <c r="G804" i="1"/>
  <c r="H804" i="1" s="1"/>
  <c r="G803" i="1"/>
  <c r="H803" i="1" s="1"/>
  <c r="G713" i="1"/>
  <c r="H1346" i="1"/>
  <c r="H1345" i="1"/>
  <c r="H1342" i="1"/>
  <c r="H1338" i="1"/>
  <c r="H1337" i="1"/>
  <c r="H1335" i="1"/>
  <c r="H1334" i="1"/>
  <c r="H1333" i="1"/>
  <c r="H1332" i="1"/>
  <c r="H1329" i="1"/>
  <c r="H1328" i="1"/>
  <c r="H1325" i="1"/>
  <c r="H1324" i="1"/>
  <c r="H1322" i="1"/>
  <c r="H1321" i="1"/>
  <c r="H1320" i="1"/>
  <c r="H1319" i="1"/>
  <c r="H1316" i="1"/>
  <c r="H1315" i="1"/>
  <c r="H1314" i="1"/>
  <c r="H1312" i="1"/>
  <c r="H1311" i="1"/>
  <c r="H1310" i="1"/>
  <c r="H1309" i="1"/>
  <c r="H1308" i="1"/>
  <c r="H1307" i="1"/>
  <c r="H1306" i="1"/>
  <c r="H1303" i="1"/>
  <c r="H1302" i="1"/>
  <c r="H1299" i="1"/>
  <c r="H1298" i="1"/>
  <c r="H1297" i="1"/>
  <c r="H1296" i="1"/>
  <c r="H1295" i="1"/>
  <c r="H160" i="1"/>
  <c r="H159" i="1"/>
  <c r="H158" i="1"/>
  <c r="H157" i="1"/>
  <c r="H156" i="1"/>
  <c r="H155" i="1"/>
  <c r="H154" i="1"/>
  <c r="H153" i="1"/>
  <c r="H152" i="1"/>
  <c r="H151" i="1"/>
  <c r="H150" i="1"/>
  <c r="H149" i="1"/>
  <c r="H148" i="1"/>
  <c r="H147" i="1"/>
  <c r="H146" i="1"/>
  <c r="H140" i="1"/>
  <c r="H139" i="1"/>
  <c r="H133" i="1"/>
  <c r="H1773" i="1"/>
  <c r="H1772" i="1"/>
  <c r="H1771" i="1"/>
  <c r="H1770" i="1"/>
  <c r="H1769" i="1"/>
  <c r="H1768" i="1"/>
  <c r="H1767" i="1"/>
  <c r="H1758" i="1"/>
  <c r="H1757" i="1"/>
  <c r="H1756" i="1"/>
  <c r="H1755" i="1"/>
  <c r="H1754" i="1"/>
  <c r="H1753" i="1"/>
  <c r="H1752" i="1"/>
  <c r="H1751" i="1"/>
  <c r="H1750" i="1"/>
  <c r="H1749" i="1"/>
  <c r="H1746" i="1"/>
  <c r="H1744" i="1"/>
  <c r="H1743" i="1"/>
  <c r="H1742" i="1"/>
  <c r="H1741" i="1"/>
  <c r="H1740" i="1"/>
  <c r="H1739" i="1"/>
  <c r="H1738" i="1"/>
  <c r="H1737" i="1"/>
  <c r="H1736" i="1"/>
  <c r="H1735" i="1"/>
  <c r="H1734" i="1"/>
  <c r="H1733" i="1"/>
  <c r="H1732" i="1"/>
  <c r="H1731" i="1"/>
  <c r="H1730" i="1"/>
  <c r="H1721" i="1"/>
  <c r="H1720" i="1"/>
  <c r="H1719" i="1"/>
  <c r="H1718" i="1"/>
  <c r="H1717" i="1"/>
  <c r="H1716" i="1"/>
  <c r="H1715" i="1"/>
  <c r="H1714" i="1"/>
  <c r="H1713" i="1"/>
  <c r="H1712" i="1"/>
  <c r="H1711" i="1"/>
  <c r="H1709" i="1"/>
  <c r="H1707" i="1"/>
  <c r="H1706" i="1"/>
  <c r="H1705" i="1"/>
  <c r="H1704" i="1"/>
  <c r="H1703" i="1"/>
  <c r="H1702" i="1"/>
  <c r="H1701" i="1"/>
  <c r="H1700" i="1"/>
  <c r="H1699" i="1"/>
  <c r="H1696" i="1"/>
  <c r="H1695" i="1"/>
  <c r="H1694" i="1"/>
  <c r="H1693" i="1"/>
  <c r="H1688" i="1"/>
  <c r="H1687" i="1"/>
  <c r="H1684" i="1"/>
  <c r="H1683" i="1"/>
  <c r="H1682" i="1"/>
  <c r="H1681" i="1"/>
  <c r="H1680" i="1"/>
  <c r="H1679" i="1"/>
  <c r="H1678" i="1"/>
  <c r="H1677" i="1"/>
  <c r="H1676" i="1"/>
  <c r="H1675" i="1"/>
  <c r="H1674" i="1"/>
  <c r="H1672" i="1"/>
  <c r="H1670" i="1"/>
  <c r="H1669" i="1"/>
  <c r="H1668" i="1"/>
  <c r="H1667" i="1"/>
  <c r="H1666" i="1"/>
  <c r="H1665" i="1"/>
  <c r="H1664" i="1"/>
  <c r="H1663" i="1"/>
  <c r="H1662" i="1"/>
  <c r="H1655" i="1"/>
  <c r="H1654" i="1"/>
  <c r="H1649" i="1"/>
  <c r="H1648" i="1"/>
  <c r="H1643" i="1"/>
  <c r="H1642" i="1"/>
  <c r="H1640" i="1"/>
  <c r="H1639" i="1"/>
  <c r="H1638" i="1"/>
  <c r="H1636" i="1"/>
  <c r="H1634" i="1"/>
  <c r="H1633" i="1"/>
  <c r="H1632" i="1"/>
  <c r="H1631" i="1"/>
  <c r="H1630" i="1"/>
  <c r="H1629" i="1"/>
  <c r="H1628" i="1"/>
  <c r="H1627" i="1"/>
  <c r="H1626" i="1"/>
  <c r="V1415" i="1"/>
  <c r="W1407" i="1"/>
  <c r="H74" i="1"/>
  <c r="H73" i="1"/>
  <c r="H72" i="1"/>
  <c r="H71" i="1"/>
  <c r="H70" i="1"/>
  <c r="H69" i="1"/>
  <c r="H68" i="1"/>
  <c r="H67" i="1"/>
  <c r="H66" i="1"/>
  <c r="H65" i="1"/>
  <c r="H64" i="1"/>
  <c r="H63" i="1"/>
  <c r="H62" i="1"/>
  <c r="H61" i="1"/>
  <c r="H60" i="1"/>
  <c r="H59" i="1"/>
  <c r="H57" i="1"/>
  <c r="H56" i="1"/>
  <c r="H55" i="1"/>
  <c r="H52" i="1"/>
  <c r="H51" i="1"/>
  <c r="G258" i="1" l="1"/>
  <c r="H258" i="1" s="1"/>
  <c r="H713" i="1"/>
  <c r="I816" i="1"/>
  <c r="AF1240" i="7"/>
  <c r="AF1240" i="7"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tc={40578BED-B33D-5548-91C6-400E546B4375}</author>
    <author>tc={01EA6E3C-0A87-DF49-A4E8-3821FC115DFB}</author>
    <author>tc={27E1B8BC-7D2E-604B-94BD-648E7FAAE817}</author>
    <author>tc={274D2516-B801-DC43-A372-1B3658A22F6D}</author>
    <author>tc={BD565462-58AE-4B2B-BB49-CC12F7AB2186}</author>
    <author>tc={A431D3D9-C3E2-44BB-8697-F99A631F54E7}</author>
    <author>tc={5B637277-1088-D542-B359-6B40450B32AF}</author>
    <author>tc={DEF26FEA-9B27-4A4B-AFF0-01EDB8EE1CBC}</author>
    <author>tc={D5C51D12-9633-9E42-88C1-F8583449BF04}</author>
  </authors>
  <commentList>
    <comment ref="U83" authorId="0" shapeId="0" xr:uid="{40578BED-B33D-5548-91C6-400E546B4375}">
      <text>
        <t>[Threaded comment]
Your version of Excel allows you to read this threaded comment; however, any edits to it will get removed if the file is opened in a newer version of Excel. Learn more: https://go.microsoft.com/fwlink/?linkid=870924
Comment:
    MA 2019 Audio ii, daily reach, Mo - Friday, Audience starting from 14 years old
https://www.agma-mmc.de/fileadmin/user_upload/Pressemitteilungen/2019/PM_ma_2019_Audio_I.pdf</t>
      </text>
    </comment>
    <comment ref="U84" authorId="1" shapeId="0" xr:uid="{01EA6E3C-0A87-DF49-A4E8-3821FC115DFB}">
      <text>
        <t>[Threaded comment]
Your version of Excel allows you to read this threaded comment; however, any edits to it will get removed if the file is opened in a newer version of Excel. Learn more: https://go.microsoft.com/fwlink/?linkid=870924
Comment:
    MA 2020 Audio ii, daily reach, Mo - Friday, Audience starting from 14 years old
https://www.agma-mmc.de/fileadmin/user_upload/Pressemitteilungen/2020/PM_ma_2020_Audio_I.pdf</t>
      </text>
    </comment>
    <comment ref="U85" authorId="2" shapeId="0" xr:uid="{27E1B8BC-7D2E-604B-94BD-648E7FAAE817}">
      <text>
        <t>[Threaded comment]
Your version of Excel allows you to read this threaded comment; however, any edits to it will get removed if the file is opened in a newer version of Excel. Learn more: https://go.microsoft.com/fwlink/?linkid=870924
Comment:
    MA 2021 Audio ii, daily reach, Mo - Friday, Audience starting from 14 years old
https://www.agma-mmc.de/fileadmin/user_upload/Pressemitteilungen/2021/PM_ma_2021_Audio.pdf</t>
      </text>
    </comment>
    <comment ref="U86" authorId="3" shapeId="0" xr:uid="{274D2516-B801-DC43-A372-1B3658A22F6D}">
      <text>
        <t>[Threaded comment]
Your version of Excel allows you to read this threaded comment; however, any edits to it will get removed if the file is opened in a newer version of Excel. Learn more: https://go.microsoft.com/fwlink/?linkid=870924
Comment:
    Media Perspektiven 11/2022, p.507
https://www.ard-media.de/fileadmin/user_upload/media-perspektiven/pdf/2022/2211_Media_Perspektiven_gesamt_Korr.pdf</t>
      </text>
    </comment>
    <comment ref="D227" authorId="4" shapeId="0" xr:uid="{BD565462-58AE-4B2B-BB49-CC12F7AB2186}">
      <text>
        <t xml:space="preserve">[Threaded comment]
Your version of Excel allows you to read this threaded comment; however, any edits to it will get removed if the file is opened in a newer version of Excel. Learn more: https://go.microsoft.com/fwlink/?linkid=870924
Comment:
Copies sold 2021: (IVW Data) 
1st Quarter: 14.004.992 ( of those 1.895.508 e-papers)
2nd Quarter of 2021: 
13.819.833 (of those 
1.944.684 e-papers)
3rd Quarter: 13.179.232 (of those 1.870.045 e-papers)
https://www.ivw.de/ivw/1-quartal-2021 </t>
      </text>
    </comment>
    <comment ref="D228" authorId="5" shapeId="0" xr:uid="{A431D3D9-C3E2-44BB-8697-F99A631F54E7}">
      <text>
        <t>[Threaded comment]
Your version of Excel allows you to read this threaded comment; however, any edits to it will get removed if the file is opened in a newer version of Excel. Learn more: https://go.microsoft.com/fwlink/?linkid=870924
Comment:
    Numbers key information:
comparison years: 
2022/2021: -5,9%
2022/2020: - 2.0%
- 6.829,00 includes E-papers (no other digital revenue)
- Revenue E-paper: 14 Million (incl. in Total revenue NP) (as of April 2024)
- sales revenue E-paper: 413.966 (000s)
- Revenue incl. all digital revenue: 7.587.910
- Digital revenue took up 15,5% of the total revenue of the NP market (2022). 
- Digital revenue without E-paper: 759.273
- a bit more than 17% of circulation was from E-papers (2021 only 14.3%)
- 2.495.252 E-papers circulated in 2022 (2021 2.207.995; 2020: 2.003.448; 2019: 1.658.326; 2018: 1.408.927) 
Source: BDZV report 2023 
IVW measured: 1st quarter of 2022: 13.416.412 sold number of copies of Newspaper, 2.133.578 of those were e-papers https://www.ivw.de/ivw/1-quartal-2022</t>
      </text>
    </comment>
    <comment ref="U232" authorId="6" shapeId="0" xr:uid="{5B637277-1088-D542-B359-6B40450B32AF}">
      <text>
        <t xml:space="preserve">[Threaded comment]
Your version of Excel allows you to read this threaded comment; however, any edits to it will get removed if the file is opened in a newer version of Excel. Learn more: https://go.microsoft.com/fwlink/?linkid=870924
Comment:
    „Number of Social Media Users Identities“ Datareportal states the users for January 2022 (72600) and 2021 (66000). We took the average of them. </t>
      </text>
    </comment>
    <comment ref="U233" authorId="7" shapeId="0" xr:uid="{DEF26FEA-9B27-4A4B-AFF0-01EDB8EE1CBC}">
      <text>
        <t xml:space="preserve">[Threaded comment]
Your version of Excel allows you to read this threaded comment; however, any edits to it will get removed if the file is opened in a newer version of Excel. Learn more: https://go.microsoft.com/fwlink/?linkid=870924
Comment:
    „Number of Social Media Users Identities“ Datareportal states the users for January 2022 (72600) and 2023 (70900). We took the average of them. </t>
      </text>
    </comment>
    <comment ref="U234" authorId="8" shapeId="0" xr:uid="{D5C51D12-9633-9E42-88C1-F8583449BF04}">
      <text>
        <t xml:space="preserve">[Threaded comment]
Your version of Excel allows you to read this threaded comment; however, any edits to it will get removed if the file is opened in a newer version of Excel. Learn more: https://go.microsoft.com/fwlink/?linkid=870924
Comment:
    „Number of Social Media Users Identities“ Datareportal states the users for January 2024 (67800) and 2023 (70900). We took the average of them.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tc={B28BA333-C06F-465E-A710-9EDDFA050DB9}</author>
    <author>tc={E272AD92-B9ED-4472-A323-9C4B60CB507B}</author>
    <author>tc={5A749EC5-629B-4BC4-B430-21CE79E780B3}</author>
    <author>tc={7CCCD58F-D621-4E04-80BE-254FA758EC09}</author>
    <author>tc={06CBF62D-755C-4DA0-922C-BA4E407F2787}</author>
    <author>tc={AD84D6DE-6F3C-448A-BC2F-E4681542977A}</author>
    <author>tc={CDCC14C9-CD1B-44AE-AEB6-8F80595569E2}</author>
    <author>tc={893393B8-CE39-4593-8B44-7870C22CAF61}</author>
    <author>tc={7F5C387F-29AB-41D5-BB78-19C15C962331}</author>
    <author>tc={86DE5048-F55A-430B-A939-BC151BC8FCC0}</author>
    <author>tc={A5CEEDD5-0EE0-564A-82F5-C6AA6FE4F851}</author>
    <author>tc={D4958DBE-20E3-5140-A030-3E5708D13F03}</author>
    <author>tc={70AA622C-C49B-4B76-8A60-47353F1052D0}</author>
    <author>tc={4B6008DB-EB34-4745-841C-CAD4094873DD}</author>
    <author>tc={AEA52E70-B218-49E0-9D70-403D1F836A1F}</author>
    <author>tc={CB9D7C7A-CEC8-4390-878E-8C665C018707}</author>
    <author>tc={4F1ABD18-D45E-479F-BA8A-B5324FF28ED5}</author>
    <author>tc={320B90FA-74EB-4230-8591-81FCEF43F4BC}</author>
    <author>tc={D560B2F7-C14B-4D58-AFD2-1D10A7375354}</author>
    <author>tc={A5D98984-37E9-4C6A-AF18-67BCAFBD734F}</author>
    <author>tc={3876DA6D-788D-46DA-845C-1A098BD13CCF}</author>
    <author>tc={3EE645FC-3237-4FF2-ADDB-F6170F81526B}</author>
    <author>tc={9D844594-2434-41B8-8501-DEEC22F67FB1}</author>
    <author>tc={E005B864-D7CF-4BF9-8D0F-91FF40888698}</author>
    <author>tc={B92F356E-F60F-46BD-BE23-D0AB5E0BFAE7}</author>
    <author>tc={DB790653-1AB3-4228-AF9E-242359B954EA}</author>
    <author>tc={D940FA1B-2C8D-4566-A6B1-1DB1EB31C1DB}</author>
    <author>tc={CA6F4629-32B1-483C-AA56-DE4FEE842AD6}</author>
    <author>tc={CD154175-91D0-4A6D-81C6-C76AA0321ECD}</author>
    <author>tc={12155D84-B9C9-4C76-8604-B919B0A83958}</author>
    <author>tc={14EB6A36-7624-470C-A828-7A7B452D98F1}</author>
    <author>tc={4399873A-9992-4700-B9FA-B4BDF05BEA4B}</author>
    <author>tc={933CF08A-C479-4256-919C-01242CE236BF}</author>
    <author>tc={366319C5-BB63-45F9-B178-E87209FD5C87}</author>
    <author>tc={80E9FE4E-9B06-4183-9183-7D5824ADD040}</author>
    <author>tc={8BA75DE0-88E2-4379-B808-6E9707CDFAA2}</author>
    <author>tc={6343C344-C203-4E12-B10E-DDC062745912}</author>
    <author>tc={2FDFCED8-5F33-4CA9-9B5A-840A20F9B3FC}</author>
    <author>tc={B411925A-4D3E-420B-B02C-7260B278B889}</author>
    <author>tc={2C11A86D-133B-4EE9-9F56-F7AC3108756D}</author>
    <author>tc={B88B4A5A-566D-4B2B-935D-4799C12CB1B6}</author>
    <author>tc={341651F9-CB83-4BC9-A106-721E97FCCAC2}</author>
    <author>tc={5072C307-EB52-49A8-8C74-99F58CDEE315}</author>
    <author>tc={A5B6F294-A301-49F8-BCFB-92568FAE9371}</author>
    <author>tc={6F293459-271E-4EAF-BDD8-1B00781254F1}</author>
    <author>tc={05BED4E0-C817-4192-8A46-E3F63CC33408}</author>
    <author>tc={DCF9BB28-7A3E-4F2A-B1D1-86666FE9EC99}</author>
    <author>tc={686858E1-D9BA-4135-8C6A-DF71EC02966F}</author>
    <author>tc={3FB40FD8-6C3A-43E0-B92A-9144154C0C5C}</author>
    <author>tc={1E0E6C6C-A38A-4FB5-926A-1E53F8FCC2AE}</author>
    <author>tc={DE7AC0F0-D0FF-A74F-B55E-EE2BF3FD9A34}</author>
    <author>tc={8028F2E1-C200-484B-8E47-FC5897A040CA}</author>
    <author>tc={4CF84445-6786-462F-804A-F46ADE81D1F6}</author>
    <author>tc={E0165BCE-7FC8-4C37-ACCB-6B0C35A09D85}</author>
    <author>tc={A19A30E0-0FA3-4191-970B-7CDDF1E11F13}</author>
    <author>tc={100D5560-0C27-48AB-8879-9D8C9BB30331}</author>
    <author>tc={13FC095A-8C5F-4FAC-A717-48198ED8C738}</author>
    <author>tc={B75334D4-238B-4705-9455-7854222AE1D1}</author>
    <author>tc={15AA4EB1-70A7-4DE8-9CB7-FEAE18363372}</author>
    <author>tc={F93572EE-06A3-4A33-A81A-4451781AFD06}</author>
    <author>tc={6C7C3F83-EC59-46DB-838F-6E06ABF91A9B}</author>
    <author>tc={EAE5EE33-2347-4891-BDB8-C3C3C63C74FD}</author>
    <author>tc={AADB2020-878E-42FF-AAFA-CDCA7994D8EC}</author>
    <author>tc={2487B510-68BF-4140-B4E5-6C493B76C6DD}</author>
    <author>tc={8E6E4341-F7D9-4CCA-B989-E3DE3DA413AA}</author>
    <author>tc={B2E341BF-2067-407F-8B19-915BD1B703CF}</author>
    <author>tc={002C452C-34E1-4BEB-8DF1-6D7FDA232E90}</author>
    <author>tc={FB287AE4-2596-4C2A-9AB1-8FEDAE777F44}</author>
    <author>tc={331CF7DB-0ED8-4968-B017-027708361287}</author>
    <author>tc={F8297E21-57CE-467D-AAC6-EF5FF9794040}</author>
    <author>tc={468DB762-1C4D-4FD0-984A-5B537428C43C}</author>
    <author>tc={E9F3CEA6-3962-4B91-99EB-79039605A074}</author>
    <author>tc={9E876E44-92AB-4BB5-8910-8FD4EFA20DDE}</author>
    <author>tc={A43D0985-89E1-4172-B517-232D1B322B5B}</author>
    <author>tc={D6D2B292-0DF5-D24E-BE41-022DE1048E9B}</author>
    <author>tc={03EC8EBA-9969-5E43-9152-65B8D66B7C00}</author>
    <author>tc={1F2EE33C-9E4C-7145-91B3-BB61CD1D44D7}</author>
    <author>tc={BC52A25A-8A37-0047-B607-79F0C8379D0B}</author>
    <author>tc={BC87B34C-DF11-C94F-BA3C-7023E34ED681}</author>
    <author>tc={7A8AE0D3-E59A-8145-8899-BD389EE50159}</author>
    <author>tc={D888515C-06A8-D34E-B1A8-01C28718F306}</author>
    <author>tc={1BAF90AA-96A1-E047-8B9F-F88CC4F1E9BA}</author>
    <author>tc={A47361B7-5492-7C43-8908-B69FF2B1BF4A}</author>
    <author>tc={1692D38F-AC17-E948-A052-BCF6ECB82178}</author>
    <author>Administrator</author>
    <author>tc={3D1D4FAF-5641-5C46-942F-2BB2E67C7AC4}</author>
    <author>tc={CF9196A2-FFA4-594E-A2D6-8BC8C779CE12}</author>
    <author>tc={829F3990-B5CA-F34B-BA51-9CDFBC21AC4F}</author>
    <author>tc={1B982E5E-78FA-45B0-8E91-8D5A1B836424}</author>
    <author>tc={25BF05C6-3C6E-4462-9C06-D5313FE452A0}</author>
    <author>tc={88EE905E-AB84-4ABA-987C-039F2E5B7448}</author>
    <author>tc={2AF9EF0E-B541-4466-855E-038A30292B05}</author>
    <author>tc={AD485B47-844E-4A9E-A016-421D0570DFB7}</author>
    <author>tc={F107AD7D-890B-4E5B-8258-66D39E7793CB}</author>
    <author>tc={DD34C7D7-8A6F-4C54-A6A4-B35D8E3DA75D}</author>
    <author>tc={3A6C532C-3BE7-40EF-B13E-D40F6DD03FFC}</author>
    <author>tc={8A6FF8D4-2261-4A5F-A2AD-256564F0FDDB}</author>
    <author>tc={7445DB34-0FF3-48D2-920E-515273EE8BEF}</author>
    <author>tc={0B41613C-3783-4041-8259-C579AE47D84A}</author>
    <author>tc={BDAB90EA-BC3B-4018-BB7C-369EB65FE754}</author>
    <author>tc={91168E99-E414-47EF-99F4-1014CB7FAC35}</author>
    <author>tc={2347CCAE-CC7C-4B70-9E78-B8F9125EC1FE}</author>
    <author>tc={337EAB9A-D675-400F-A728-5D16270B9CD4}</author>
    <author>tc={5EC5C17F-9140-47AE-AA46-4D7C59DAD429}</author>
    <author>tc={DF63960C-48A3-4008-9BDF-F6DF4807C358}</author>
    <author>tc={FDABF7EA-81B9-4969-93D9-31EAA5A1916B}</author>
    <author>tc={6D5717CB-B40B-454B-81BC-0882721488B5}</author>
    <author>tc={7139E4CB-4EEB-4CF7-A9FF-12A8DF6FD34C}</author>
    <author>tc={34782D12-52B5-45ED-8740-673608E6B165}</author>
    <author>tc={5880648A-DFB8-4B03-97CF-86CD4FA39D67}</author>
    <author>tc={BEEED30E-E190-463B-80C4-170D843CAA82}</author>
    <author>tc={A4B38C45-3865-4DE1-A222-CD995F0C9B48}</author>
    <author>tc={09E9BEEA-A22C-4696-93E2-9656D22BDAE9}</author>
    <author>tc={3221ED95-8FF2-4A18-B3D4-A82FABB8980E}</author>
    <author>tc={CB835B19-5BD8-4821-A3F9-DE5D4B99DE2B}</author>
    <author>tc={5FD09A36-A7D7-4A11-9D94-5DFF6B48D16D}</author>
    <author>tc={9461A7F1-F27B-4ECF-B2D1-55B9035CEDA4}</author>
    <author>tc={04344BA5-1BC0-4501-9B8A-52CA642C18A8}</author>
    <author>tc={4DC99B51-2577-40BE-8370-5FE79F64A5C2}</author>
    <author>tc={BB496464-5919-4570-97DB-5ED7B551BE35}</author>
    <author>tc={24A46076-763D-43C8-8701-15356C0541C7}</author>
    <author>tc={8BF27E02-B73A-4635-AFBD-9D4FD36E78D6}</author>
    <author>tc={34B6A5D8-4AAD-490B-A4DB-DC1E65BE75B8}</author>
    <author>tc={548C63EB-5A1A-40CA-96D9-F8A9CDAC1F8E}</author>
    <author>tc={35095B3F-3D32-44E6-85EB-8904541C63B1}</author>
    <author>tc={1F05A13A-7FE4-4BC7-9945-39176904513B}</author>
    <author>tc={9A0F2DD3-175B-F34D-AD8A-67545C8F6F8E}</author>
    <author>tc={49CD9411-11B2-6C4D-87EF-B40EB9E0578E}</author>
    <author>tc={46246663-8A24-E744-A798-3A7C6150D1F3}</author>
    <author>tc={EA3E9494-8375-EA4C-B103-87D88F34E8BF}</author>
    <author>tc={976CE209-3A20-DF4F-9EED-5A1EAA6DFEE6}</author>
    <author>tc={1658CCC1-91A2-4C83-95A0-AA40C4B21432}</author>
    <author>tc={EF401178-EE31-45E6-971C-12131D496E5F}</author>
    <author>tc={613A29D5-FDE6-46E6-A4ED-B0247B3220EE}</author>
  </authors>
  <commentList>
    <comment ref="AG4" authorId="0" shapeId="0" xr:uid="{B28BA333-C06F-465E-A710-9EDDFA050DB9}">
      <text>
        <t>[Threaded comment]
Your version of Excel allows you to read this threaded comment; however, any edits to it will get removed if the file is opened in a newer version of Excel. Learn more: https://go.microsoft.com/fwlink/?linkid=870924
Comment:
    Since Unity Media was bought up in August 2019 we only calculated with 3 quartals or 9 months. Since after August 2019 the subscribers of Unity Media became subscribers of Vodafone. However, it might be even more closer to use the reality of the merger happening in August and thus calculating with 8 instead of Months. We decided for 9 to use the Quartal numbers which we have from Vodafone.</t>
      </text>
    </comment>
    <comment ref="V8" authorId="1" shapeId="0" xr:uid="{E272AD92-B9ED-4472-A323-9C4B60CB507B}">
      <text>
        <t>[Threaded comment]
Your version of Excel allows you to read this threaded comment; however, any edits to it will get removed if the file is opened in a newer version of Excel. Learn more: https://go.microsoft.com/fwlink/?linkid=870924
Comment:
    Share between Telephony and Internet RGUs of Pyür is: 432/584 = 0,74. This was used as proxy for other companies.</t>
      </text>
    </comment>
    <comment ref="W8" authorId="2" shapeId="0" xr:uid="{5A749EC5-629B-4BC4-B430-21CE79E780B3}">
      <text>
        <t>[Threaded comment]
Your version of Excel allows you to read this threaded comment; however, any edits to it will get removed if the file is opened in a newer version of Excel. Learn more: https://go.microsoft.com/fwlink/?linkid=870924
Comment:
    Annual report 2020, p.3</t>
      </text>
    </comment>
    <comment ref="V17" authorId="3" shapeId="0" xr:uid="{7CCCD58F-D621-4E04-80BE-254FA758EC09}">
      <text>
        <t xml:space="preserve">[Threaded comment]
Your version of Excel allows you to read this threaded comment; however, any edits to it will get removed if the file is opened in a newer version of Excel. Learn more: https://go.microsoft.com/fwlink/?linkid=870924
Comment:
    Share between Internet and Telephony RGUs of Pyür is: 439/602 = 0,724. This was used as proxy for other companies.
</t>
      </text>
    </comment>
    <comment ref="W17" authorId="4" shapeId="0" xr:uid="{06CBF62D-755C-4DA0-922C-BA4E407F2787}">
      <text>
        <t>[Threaded comment]
Your version of Excel allows you to read this threaded comment; however, any edits to it will get removed if the file is opened in a newer version of Excel. Learn more: https://go.microsoft.com/fwlink/?linkid=870924
Comment:
    Annual report, Tele Columbus 2020, p.3</t>
      </text>
    </comment>
    <comment ref="V18" authorId="5" shapeId="0" xr:uid="{AD84D6DE-6F3C-448A-BC2F-E4681542977A}">
      <text>
        <t>[Threaded comment]
Your version of Excel allows you to read this threaded comment; however, any edits to it will get removed if the file is opened in a newer version of Excel. Learn more: https://go.microsoft.com/fwlink/?linkid=870924
Comment:
    We used the ratio of 0,724 between Telephony and broadband customers of Pyür to estimate the subscribers for Mnet. Given that 500 broadband subscribers were reported in the VATM: 500*0,724 = 362</t>
      </text>
    </comment>
    <comment ref="V26" authorId="6" shapeId="0" xr:uid="{CDCC14C9-CD1B-44AE-AEB6-8F80595569E2}">
      <text>
        <t>[Threaded comment]
Your version of Excel allows you to read this threaded comment; however, any edits to it will get removed if the file is opened in a newer version of Excel. Learn more: https://go.microsoft.com/fwlink/?linkid=870924
Comment:
    Share between Internet and Telephony RGUs of Pyür is: 454/629 = 0,722. This was used as proxy for other companies.</t>
      </text>
    </comment>
    <comment ref="W26" authorId="7" shapeId="0" xr:uid="{893393B8-CE39-4593-8B44-7870C22CAF61}">
      <text>
        <t xml:space="preserve">[Threaded comment]
Your version of Excel allows you to read this threaded comment; however, any edits to it will get removed if the file is opened in a newer version of Excel. Learn more: https://go.microsoft.com/fwlink/?linkid=870924
Comment:
    Annual report Tele Columbus 2021 p.12., </t>
      </text>
    </comment>
    <comment ref="V36" authorId="8" shapeId="0" xr:uid="{7F5C387F-29AB-41D5-BB78-19C15C962331}">
      <text>
        <t>[Threaded comment]
Your version of Excel allows you to read this threaded comment; however, any edits to it will get removed if the file is opened in a newer version of Excel. Learn more: https://go.microsoft.com/fwlink/?linkid=870924
Comment:
    Share between Internet and Telephony RGUs of Pyür is: 475/659 = 0,721. This was used as proxy for other companies.</t>
      </text>
    </comment>
    <comment ref="W36" authorId="9" shapeId="0" xr:uid="{86DE5048-F55A-430B-A939-BC151BC8FCC0}">
      <text>
        <t xml:space="preserve">[Threaded comment]
Your version of Excel allows you to read this threaded comment; however, any edits to it will get removed if the file is opened in a newer version of Excel. Learn more: https://go.microsoft.com/fwlink/?linkid=870924
Comment:
    Annual report Tele Columbus 2022, p.12. 
</t>
      </text>
    </comment>
    <comment ref="V42" authorId="10" shapeId="0" xr:uid="{A5CEEDD5-0EE0-564A-82F5-C6AA6FE4F851}">
      <text>
        <t>[Threaded comment]
Your version of Excel allows you to read this threaded comment; however, any edits to it will get removed if the file is opened in a newer version of Excel. Learn more: https://go.microsoft.com/fwlink/?linkid=870924
Comment:
    https://www.dslweb.de/news/dsl/vodafone-deutschland-im-q4-2023-optimistisch-vom-regen-in-die-traufe.php?utm_source=chatgpt.com</t>
      </text>
    </comment>
    <comment ref="V46" authorId="11" shapeId="0" xr:uid="{D4958DBE-20E3-5140-A030-3E5708D13F03}">
      <text>
        <t>[Threaded comment]
Your version of Excel allows you to read this threaded comment; however, any edits to it will get removed if the file is opened in a newer version of Excel. Learn more: https://go.microsoft.com/fwlink/?linkid=870924
Comment:
    Annual Report 2023 p.8</t>
      </text>
    </comment>
    <comment ref="V75" authorId="12" shapeId="0" xr:uid="{70AA622C-C49B-4B76-8A60-47353F1052D0}">
      <text>
        <t>[Threaded comment]
Your version of Excel allows you to read this threaded comment; however, any edits to it will get removed if the file is opened in a newer version of Excel. Learn more: https://go.microsoft.com/fwlink/?linkid=870924
Comment:
    Average quarterly subscribers, DT IR BackUp Q4/19, p.32</t>
      </text>
    </comment>
    <comment ref="V76" authorId="13" shapeId="0" xr:uid="{4B6008DB-EB34-4745-841C-CAD4094873DD}">
      <text>
        <t>[Threaded comment]
Your version of Excel allows you to read this threaded comment; however, any edits to it will get removed if the file is opened in a newer version of Excel. Learn more: https://go.microsoft.com/fwlink/?linkid=870924
Comment:
    Anual report Telefonica Deutschland 2020, p.4</t>
      </text>
    </comment>
    <comment ref="V77" authorId="14" shapeId="0" xr:uid="{AEA52E70-B218-49E0-9D70-403D1F836A1F}">
      <text>
        <t>[Threaded comment]
Your version of Excel allows you to read this threaded comment; however, any edits to it will get removed if the file is opened in a newer version of Excel. Learn more: https://go.microsoft.com/fwlink/?linkid=870924
Comment:
    Average subscriber Germany,Vodafone group 
Final report 2020, FY 2020, Spreadsheet - sheet mobile customers, https://investors.vodafone.com/performance/financial-results-and-presentations</t>
      </text>
    </comment>
    <comment ref="V78" authorId="15" shapeId="0" xr:uid="{CB9D7C7A-CEC8-4390-878E-8C665C018707}">
      <text>
        <t>[Threaded comment]
Your version of Excel allows you to read this threaded comment; however, any edits to it will get removed if the file is opened in a newer version of Excel. Learn more: https://go.microsoft.com/fwlink/?linkid=870924
Comment:
    Annual report 2020, p.2 only includes postpaid customers.</t>
      </text>
    </comment>
    <comment ref="W78" authorId="16" shapeId="0" xr:uid="{4F1ABD18-D45E-479F-BA8A-B5324FF28ED5}">
      <text>
        <t>[Threaded comment]
Your version of Excel allows you to read this threaded comment; however, any edits to it will get removed if the file is opened in a newer version of Excel. Learn more: https://go.microsoft.com/fwlink/?linkid=870924
Comment:
    Compared to other providers the ARPU is so high since the subscriber number only includes Postpaid customers. Since Freenet did not provided data for the amount of Prepaid customers.</t>
      </text>
    </comment>
    <comment ref="V79" authorId="17" shapeId="0" xr:uid="{320B90FA-74EB-4230-8591-81FCEF43F4BC}">
      <text>
        <t>[Threaded comment]
Your version of Excel allows you to read this threaded comment; however, any edits to it will get removed if the file is opened in a newer version of Excel. Learn more: https://go.microsoft.com/fwlink/?linkid=870924
Comment:
    Annual report 2020, p.17. (number of page could change depending how one counts, the report does not have page numbers.</t>
      </text>
    </comment>
    <comment ref="V81" authorId="18" shapeId="0" xr:uid="{D560B2F7-C14B-4D58-AFD2-1D10A7375354}">
      <text>
        <t>[Threaded comment]
Your version of Excel allows you to read this threaded comment; however, any edits to it will get removed if the file is opened in a newer version of Excel. Learn more: https://go.microsoft.com/fwlink/?linkid=870924
Comment:
    Average quarterly subscribers, DT IR BackUp Q4/2020, p.23</t>
      </text>
    </comment>
    <comment ref="V82" authorId="19" shapeId="0" xr:uid="{A5D98984-37E9-4C6A-AF18-67BCAFBD734F}">
      <text>
        <t>[Threaded comment]
Your version of Excel allows you to read this threaded comment; however, any edits to it will get removed if the file is opened in a newer version of Excel. Learn more: https://go.microsoft.com/fwlink/?linkid=870924
Comment:
    Annal report 2020, p.10 no average customer numbers given, pre + postpay</t>
      </text>
    </comment>
    <comment ref="V83" authorId="20" shapeId="0" xr:uid="{3876DA6D-788D-46DA-845C-1A098BD13CCF}">
      <text>
        <t>[Threaded comment]
Your version of Excel allows you to read this threaded comment; however, any edits to it will get removed if the file is opened in a newer version of Excel. Learn more: https://go.microsoft.com/fwlink/?linkid=870924
Comment:
    Average subscriber,
Vodafone group Final report 2020, Spreadsheet , Mobile customers. FY 2020, Spreadsheet - sheet 07, https://investors.vodafone.com/performance/financial-results-and-presentations</t>
      </text>
    </comment>
    <comment ref="V84" authorId="21" shapeId="0" xr:uid="{3EE645FC-3237-4FF2-ADDB-F6170F81526B}">
      <text>
        <t>[Threaded comment]
Your version of Excel allows you to read this threaded comment; however, any edits to it will get removed if the file is opened in a newer version of Excel. Learn more: https://go.microsoft.com/fwlink/?linkid=870924
Comment:
    Annual report  2020, p.38</t>
      </text>
    </comment>
    <comment ref="V85" authorId="22" shapeId="0" xr:uid="{9D844594-2434-41B8-8501-DEEC22F67FB1}">
      <text>
        <t xml:space="preserve">[Threaded comment]
Your version of Excel allows you to read this threaded comment; however, any edits to it will get removed if the file is opened in a newer version of Excel. Learn more: https://go.microsoft.com/fwlink/?linkid=870924
Comment:
    Annual report 2020, p.17
</t>
      </text>
    </comment>
    <comment ref="V87" authorId="23" shapeId="0" xr:uid="{E005B864-D7CF-4BF9-8D0F-91FF40888698}">
      <text>
        <t>[Threaded comment]
Your version of Excel allows you to read this threaded comment; however, any edits to it will get removed if the file is opened in a newer version of Excel. Learn more: https://go.microsoft.com/fwlink/?linkid=870924
Comment:
    Average quarterly subscribers, DT IR BackUp Q4/2021</t>
      </text>
    </comment>
    <comment ref="V88" authorId="24" shapeId="0" xr:uid="{B92F356E-F60F-46BD-BE23-D0AB5E0BFAE7}">
      <text>
        <t>[Threaded comment]
Your version of Excel allows you to read this threaded comment; however, any edits to it will get removed if the file is opened in a newer version of Excel. Learn more: https://go.microsoft.com/fwlink/?linkid=870924
Comment:
    Annual report Telefonica 2022, p.8</t>
      </text>
    </comment>
    <comment ref="V89" authorId="25" shapeId="0" xr:uid="{DB790653-1AB3-4228-AF9E-242359B954EA}">
      <text>
        <t>[Threaded comment]
Your version of Excel allows you to read this threaded comment; however, any edits to it will get removed if the file is opened in a newer version of Excel. Learn more: https://go.microsoft.com/fwlink/?linkid=870924
Comment:
    Average subscribers 
Full year spreadsheet  Mobile customers.
FY 2022, https://investors.vodafone.com/performance/financial-results-and-presentations</t>
      </text>
    </comment>
    <comment ref="V91" authorId="26" shapeId="0" xr:uid="{D940FA1B-2C8D-4566-A6B1-1DB1EB31C1DB}">
      <text>
        <t xml:space="preserve">[Threaded comment]
Your version of Excel allows you to read this threaded comment; however, any edits to it will get removed if the file is opened in a newer version of Excel. Learn more: https://go.microsoft.com/fwlink/?linkid=870924
Comment:
    Average subscribers, Annual report 2022, p.36 </t>
      </text>
    </comment>
    <comment ref="V93" authorId="27" shapeId="0" xr:uid="{CA6F4629-32B1-483C-AA56-DE4FEE842AD6}">
      <text>
        <t>[Threaded comment]
Your version of Excel allows you to read this threaded comment; however, any edits to it will get removed if the file is opened in a newer version of Excel. Learn more: https://go.microsoft.com/fwlink/?linkid=870924
Comment:
    Average quarterly subscribers, DT IR BackUp Q4/2022, p.24</t>
      </text>
    </comment>
    <comment ref="V94" authorId="28" shapeId="0" xr:uid="{CD154175-91D0-4A6D-81C6-C76AA0321ECD}">
      <text>
        <t>[Threaded comment]
Your version of Excel allows you to read this threaded comment; however, any edits to it will get removed if the file is opened in a newer version of Excel. Learn more: https://go.microsoft.com/fwlink/?linkid=870924
Comment:
    Annual report Telefonica 2022, p.8</t>
      </text>
    </comment>
    <comment ref="V95" authorId="29" shapeId="0" xr:uid="{12155D84-B9C9-4C76-8604-B919B0A83958}">
      <text>
        <t>[Threaded comment]
Your version of Excel allows you to read this threaded comment; however, any edits to it will get removed if the file is opened in a newer version of Excel. Learn more: https://go.microsoft.com/fwlink/?linkid=870924
Comment:
    Annual average, Full year spreadsheet 2022, Mobile customers
Full year spreadsheet  Mobile customers.
FY 2022, https://investors.vodafone.com/performance/financial-results-and-presentations</t>
      </text>
    </comment>
    <comment ref="V96" authorId="30" shapeId="0" xr:uid="{14EB6A36-7624-470C-A828-7A7B452D98F1}">
      <text>
        <t xml:space="preserve">[Threaded comment]
Your version of Excel allows you to read this threaded comment; however, any edits to it will get removed if the file is opened in a newer version of Excel. Learn more: https://go.microsoft.com/fwlink/?linkid=870924
Comment:
    Average subscribers, annual report 2022, p.36 </t>
      </text>
    </comment>
    <comment ref="V97" authorId="31" shapeId="0" xr:uid="{4399873A-9992-4700-B9FA-B4BDF05BEA4B}">
      <text>
        <t xml:space="preserve">[Threaded comment]
Your version of Excel allows you to read this threaded comment; however, any edits to it will get removed if the file is opened in a newer version of Excel. Learn more: https://go.microsoft.com/fwlink/?linkid=870924
Comment:
    Average subscribers not specified, but the high number strongly indicates Post + Prepaid, Zusammengefasster Lagebericht der 1&amp;1 AG für das Geschäftsjahr 2022, p.61 </t>
      </text>
    </comment>
    <comment ref="V99" authorId="32" shapeId="0" xr:uid="{933CF08A-C479-4256-919C-01242CE236BF}">
      <text>
        <t>[Threaded comment]
Your version of Excel allows you to read this threaded comment; however, any edits to it will get removed if the file is opened in a newer version of Excel. Learn more: https://go.microsoft.com/fwlink/?linkid=870924
Comment:
    Annuap report, p.70</t>
      </text>
    </comment>
    <comment ref="V100" authorId="33" shapeId="0" xr:uid="{366319C5-BB63-45F9-B178-E87209FD5C87}">
      <text>
        <t xml:space="preserve">[Threaded comment]
Your version of Excel allows you to read this threaded comment; however, any edits to it will get removed if the file is opened in a newer version of Excel. Learn more: https://go.microsoft.com/fwlink/?linkid=870924
Comment:
    Annual report 2023, p.9
</t>
      </text>
    </comment>
    <comment ref="V101" authorId="34" shapeId="0" xr:uid="{80E9FE4E-9B06-4183-9183-7D5824ADD040}">
      <text>
        <t>[Threaded comment]
Your version of Excel allows you to read this threaded comment; however, any edits to it will get removed if the file is opened in a newer version of Excel. Learn more: https://go.microsoft.com/fwlink/?linkid=870924
Comment:
    Averge subscribers from Q1 to Q4.  Source: Vodafone Group Plc
Additional Information Q3 FY24
Sheet 06, mobile customers</t>
      </text>
    </comment>
    <comment ref="V102" authorId="35" shapeId="0" xr:uid="{8BA75DE0-88E2-4379-B808-6E9707CDFAA2}">
      <text>
        <t>[Threaded comment]
Your version of Excel allows you to read this threaded comment; however, any edits to it will get removed if the file is opened in a newer version of Excel. Learn more: https://go.microsoft.com/fwlink/?linkid=870924
Comment:
    Annual report 2023, p.0 only includes only postpaid customers.</t>
      </text>
    </comment>
    <comment ref="V103" authorId="36" shapeId="0" xr:uid="{6343C344-C203-4E12-B10E-DDC062745912}">
      <text>
        <t>[Threaded comment]
Your version of Excel allows you to read this threaded comment; however, any edits to it will get removed if the file is opened in a newer version of Excel. Learn more: https://go.microsoft.com/fwlink/?linkid=870924
Comment:
    Average contracts. Annual report, p.0 after title page, „Daten und Fakten“ (Data and facs).</t>
      </text>
    </comment>
    <comment ref="V168" authorId="37" shapeId="0" xr:uid="{2FDFCED8-5F33-4CA9-9B5A-840A20F9B3FC}">
      <text>
        <t>[Threaded comment]
Your version of Excel allows you to read this threaded comment; however, any edits to it will get removed if the file is opened in a newer version of Excel. Learn more: https://go.microsoft.com/fwlink/?linkid=870924
Comment:
    Average Broadband Access Lines 2019
DT IR BackUp Q4/19, p.34</t>
      </text>
    </comment>
    <comment ref="V169" authorId="38" shapeId="0" xr:uid="{B411925A-4D3E-420B-B02C-7260B278B889}">
      <text>
        <t>[Threaded comment]
Your version of Excel allows you to read this threaded comment; however, any edits to it will get removed if the file is opened in a newer version of Excel. Learn more: https://go.microsoft.com/fwlink/?linkid=870924
Comment:
    Difference between Subscribers 2019/20 Q2 and Subscribers 2019/20Q1 in the accounting of Vodafone. The jump in subscribers is explained by the new accounting of Vodafone that now includes Unity Media that was bought up in August 2019. We assume that all the new subscribers were previously subscribers of Unity Media.</t>
      </text>
    </comment>
    <comment ref="V170" authorId="39" shapeId="0" xr:uid="{2C11A86D-133B-4EE9-9F56-F7AC3108756D}">
      <text>
        <t>[Threaded comment]
Your version of Excel allows you to read this threaded comment; however, any edits to it will get removed if the file is opened in a newer version of Excel. Learn more: https://go.microsoft.com/fwlink/?linkid=870924
Comment:
    Average subscribers, 
Full year, spreadshet sheet   https://investors.vodafone.com/reports-information/results-reports-presentations?tab=fy21, sheet 07, Fixed broadband customers",</t>
      </text>
    </comment>
    <comment ref="V171" authorId="40" shapeId="0" xr:uid="{B88B4A5A-566D-4B2B-935D-4799C12CB1B6}">
      <text>
        <t xml:space="preserve">[Threaded comment]
Your version of Excel allows you to read this threaded comment; however, any edits to it will get removed if the file is opened in a newer version of Excel. Learn more: https://go.microsoft.com/fwlink/?linkid=870924
Comment:
    Average subscribers, 1&amp;1 AG, Annual report 2019
</t>
      </text>
    </comment>
    <comment ref="V172" authorId="41" shapeId="0" xr:uid="{341651F9-CB83-4BC9-A106-721E97FCCAC2}">
      <text>
        <t>[Threaded comment]
Your version of Excel allows you to read this threaded comment; however, any edits to it will get removed if the file is opened in a newer version of Excel. Learn more: https://go.microsoft.com/fwlink/?linkid=870924
Comment:
    Estimate Subscribers = Revenue/Average ARPU 2019/12*1000</t>
      </text>
    </comment>
    <comment ref="W172" authorId="42" shapeId="0" xr:uid="{5072C307-EB52-49A8-8C74-99F58CDEE315}">
      <text>
        <t xml:space="preserve">[Threaded comment]
Your version of Excel allows you to read this threaded comment; however, any edits to it will get removed if the file is opened in a newer version of Excel. Learn more: https://go.microsoft.com/fwlink/?linkid=870924
Comment:
    Annual report 2020 = 23,8, Growth rate from 2019 to 2020 = 2,3%
Thus: 23,8/1,023 = 23,26 
Annual report p.10, 2020
</t>
      </text>
    </comment>
    <comment ref="V173" authorId="43" shapeId="0" xr:uid="{A5B6F294-A301-49F8-BCFB-92568FAE9371}">
      <text>
        <t>[Threaded comment]
Your version of Excel allows you to read this threaded comment; however, any edits to it will get removed if the file is opened in a newer version of Excel. Learn more: https://go.microsoft.com/fwlink/?linkid=870924
Comment:
    VATM 2019, p.13</t>
      </text>
    </comment>
    <comment ref="V174" authorId="44" shapeId="0" xr:uid="{6F293459-271E-4EAF-BDD8-1B00781254F1}">
      <text>
        <t>[Threaded comment]
Your version of Excel allows you to read this threaded comment; however, any edits to it will get removed if the file is opened in a newer version of Excel. Learn more: https://go.microsoft.com/fwlink/?linkid=870924
Comment:
    Annual report Tele Columbus 2020, p.3 RGUs</t>
      </text>
    </comment>
    <comment ref="W174" authorId="45" shapeId="0" xr:uid="{05BED4E0-C817-4192-8A46-E3F63CC33408}">
      <text>
        <t>[Threaded comment]
Your version of Excel allows you to read this threaded comment; however, any edits to it will get removed if the file is opened in a newer version of Excel. Learn more: https://go.microsoft.com/fwlink/?linkid=870924
Comment:
    Annual report Tele Columbus 2020, p.3</t>
      </text>
    </comment>
    <comment ref="V175" authorId="46" shapeId="0" xr:uid="{DCF9BB28-7A3E-4F2A-B1D1-86666FE9EC99}">
      <text>
        <t>[Threaded comment]
Your version of Excel allows you to read this threaded comment; however, any edits to it will get removed if the file is opened in a newer version of Excel. Learn more: https://go.microsoft.com/fwlink/?linkid=870924
Comment:
    VATM 2019, p.13</t>
      </text>
    </comment>
    <comment ref="V176" authorId="47" shapeId="0" xr:uid="{686858E1-D9BA-4135-8C6A-DF71EC02966F}">
      <text>
        <t>[Threaded comment]
Your version of Excel allows you to read this threaded comment; however, any edits to it will get removed if the file is opened in a newer version of Excel. Learn more: https://go.microsoft.com/fwlink/?linkid=870924
Comment:
    VATM 2019, p.13</t>
      </text>
    </comment>
    <comment ref="V178" authorId="48" shapeId="0" xr:uid="{3FB40FD8-6C3A-43E0-B92A-9144154C0C5C}">
      <text>
        <t>[Threaded comment]
Your version of Excel allows you to read this threaded comment; however, any edits to it will get removed if the file is opened in a newer version of Excel. Learn more: https://go.microsoft.com/fwlink/?linkid=870924
Comment:
    Average Broadband Access Lines 2020
DT IR BackUp Q4/2020, p.23</t>
      </text>
    </comment>
    <comment ref="V180" authorId="49" shapeId="0" xr:uid="{1E0E6C6C-A38A-4FB5-926A-1E53F8FCC2AE}">
      <text>
        <t>[Threaded comment]
Your version of Excel allows you to read this threaded comment; however, any edits to it will get removed if the file is opened in a newer version of Excel. Learn more: https://go.microsoft.com/fwlink/?linkid=870924
Comment:
    Average contracts broadband 2020, Annual report 1&amp;1 Drillisch p.16.</t>
      </text>
    </comment>
    <comment ref="AG180" authorId="50" shapeId="0" xr:uid="{DE7AC0F0-D0FF-A74F-B55E-EE2BF3FD9A34}">
      <text>
        <t>[Threaded comment]
Your version of Excel allows you to read this threaded comment; however, any edits to it will get removed if the file is opened in a newer version of Excel. Learn more: https://go.microsoft.com/fwlink/?linkid=870924
Comment:
    In the report there were no clear page numbers —&gt; approximately page 16.</t>
      </text>
    </comment>
    <comment ref="W181" authorId="51" shapeId="0" xr:uid="{8028F2E1-C200-484B-8E47-FC5897A040CA}">
      <text>
        <t>[Threaded comment]
Your version of Excel allows you to read this threaded comment; however, any edits to it will get removed if the file is opened in a newer version of Excel. Learn more: https://go.microsoft.com/fwlink/?linkid=870924
Comment:
    Annual report 2020, p.10</t>
      </text>
    </comment>
    <comment ref="V182" authorId="52" shapeId="0" xr:uid="{4CF84445-6786-462F-804A-F46ADE81D1F6}">
      <text>
        <t>[Threaded comment]
Your version of Excel allows you to read this threaded comment; however, any edits to it will get removed if the file is opened in a newer version of Excel. Learn more: https://go.microsoft.com/fwlink/?linkid=870924
Comment:
    VATM 2020, p.13</t>
      </text>
    </comment>
    <comment ref="W183" authorId="53" shapeId="0" xr:uid="{E0165BCE-7FC8-4C37-ACCB-6B0C35A09D85}">
      <text>
        <t>[Threaded comment]
Your version of Excel allows you to read this threaded comment; however, any edits to it will get removed if the file is opened in a newer version of Excel. Learn more: https://go.microsoft.com/fwlink/?linkid=870924
Comment:
    Internet and Telephony average, Annual report 2020, p.3</t>
      </text>
    </comment>
    <comment ref="V184" authorId="54" shapeId="0" xr:uid="{A19A30E0-0FA3-4191-970B-7CDDF1E11F13}">
      <text>
        <t>[Threaded comment]
Your version of Excel allows you to read this threaded comment; however, any edits to it will get removed if the file is opened in a newer version of Excel. Learn more: https://go.microsoft.com/fwlink/?linkid=870924
Comment:
    VATM 2020, p.13</t>
      </text>
    </comment>
    <comment ref="V185" authorId="55" shapeId="0" xr:uid="{100D5560-0C27-48AB-8879-9D8C9BB30331}">
      <text>
        <t>[Threaded comment]
Your version of Excel allows you to read this threaded comment; however, any edits to it will get removed if the file is opened in a newer version of Excel. Learn more: https://go.microsoft.com/fwlink/?linkid=870924
Comment:
    https://www.koeln.de/aktuelles/jahresbilanz-2022-netcologne-ergebnis-8917/#:~:text=F%C3%BCr%20NetCologne%20verlief%20das%20Jahr,auf%2022%2C9%20Millionen%20Euro.&amp;text=NetCologne%20schlie%C3%9Ft%20das%20Jahr%202022%20mit%20einer%20positiven%20Bilanz%20ab., lastly accessed 5.12.2023</t>
      </text>
    </comment>
    <comment ref="V187" authorId="56" shapeId="0" xr:uid="{13FC095A-8C5F-4FAC-A717-48198ED8C738}">
      <text>
        <t>[Threaded comment]
Your version of Excel allows you to read this threaded comment; however, any edits to it will get removed if the file is opened in a newer version of Excel. Learn more: https://go.microsoft.com/fwlink/?linkid=870924
Comment:
    Average Broadband Access Lines 2021
DT IR BackUp Q4/2021, p.23</t>
      </text>
    </comment>
    <comment ref="V188" authorId="57" shapeId="0" xr:uid="{B75334D4-238B-4705-9455-7854222AE1D1}">
      <text>
        <t>[Threaded comment]
Your version of Excel allows you to read this threaded comment; however, any edits to it will get removed if the file is opened in a newer version of Excel. Learn more: https://go.microsoft.com/fwlink/?linkid=870924
Comment:
    Average subscribers,
Vodafone Group Plc - Additional Information, Sheet "08 Fixed Broadband customers", https://investors.vodafone.com/reports-information/results-reports-presentations?tab=fy22, lastly accessed 4.12.23.</t>
      </text>
    </comment>
    <comment ref="V190" authorId="58" shapeId="0" xr:uid="{15AA4EB1-70A7-4DE8-9CB7-FEAE18363372}">
      <text>
        <t xml:space="preserve">[Threaded comment]
Your version of Excel allows you to read this threaded comment; however, any edits to it will get removed if the file is opened in a newer version of Excel. Learn more: https://go.microsoft.com/fwlink/?linkid=870924
Comment:
    Total Revenue/(24,92*12)
</t>
      </text>
    </comment>
    <comment ref="W190" authorId="59" shapeId="0" xr:uid="{F93572EE-06A3-4A33-A81A-4451781AFD06}">
      <text>
        <t xml:space="preserve">[Threaded comment]
Your version of Excel allows you to read this threaded comment; however, any edits to it will get removed if the file is opened in a newer version of Excel. Learn more: https://go.microsoft.com/fwlink/?linkid=870924
Comment:
    ARPU for private customers.
</t>
      </text>
    </comment>
    <comment ref="V191" authorId="60" shapeId="0" xr:uid="{6C7C3F83-EC59-46DB-838F-6E06ABF91A9B}">
      <text>
        <t>[Threaded comment]
Your version of Excel allows you to read this threaded comment; however, any edits to it will get removed if the file is opened in a newer version of Excel. Learn more: https://go.microsoft.com/fwlink/?linkid=870924
Comment:
    VATM 2021, p.12</t>
      </text>
    </comment>
    <comment ref="W192" authorId="61" shapeId="0" xr:uid="{EAE5EE33-2347-4891-BDB8-C3C3C63C74FD}">
      <text>
        <t xml:space="preserve">[Threaded comment]
Your version of Excel allows you to read this threaded comment; however, any edits to it will get removed if the file is opened in a newer version of Excel. Learn more: https://go.microsoft.com/fwlink/?linkid=870924
Comment:
    „Gesamt Internet und Telefonie ARPU-Durchschnitt (per Internet RGU)“, Zusammengefasster Lagebericht 2021 p.12., </t>
      </text>
    </comment>
    <comment ref="V193" authorId="62" shapeId="0" xr:uid="{AADB2020-878E-42FF-AAFA-CDCA7994D8EC}">
      <text>
        <t xml:space="preserve">[Threaded comment]
Your version of Excel allows you to read this threaded comment; however, any edits to it will get removed if the file is opened in a newer version of Excel. Learn more: https://go.microsoft.com/fwlink/?linkid=870924
Comment:
    VATM 2021, p.12
</t>
      </text>
    </comment>
    <comment ref="V194" authorId="63" shapeId="0" xr:uid="{2487B510-68BF-4140-B4E5-6C493B76C6DD}">
      <text>
        <t>[Threaded comment]
Your version of Excel allows you to read this threaded comment; however, any edits to it will get removed if the file is opened in a newer version of Excel. Learn more: https://go.microsoft.com/fwlink/?linkid=870924
Comment:
    Average subscribers, 
VATM 2021, p.12</t>
      </text>
    </comment>
    <comment ref="V197" authorId="64" shapeId="0" xr:uid="{8E6E4341-F7D9-4CCA-B989-E3DE3DA413AA}">
      <text>
        <t>[Threaded comment]
Your version of Excel allows you to read this threaded comment; however, any edits to it will get removed if the file is opened in a newer version of Excel. Learn more: https://go.microsoft.com/fwlink/?linkid=870924
Comment:
    Average Broadband Access Lines 2022
DT IR BackUp Q4/2022, p.24</t>
      </text>
    </comment>
    <comment ref="V198" authorId="65" shapeId="0" xr:uid="{B2E341BF-2067-407F-8B19-915BD1B703CF}">
      <text>
        <t>[Threaded comment]
Your version of Excel allows you to read this threaded comment; however, any edits to it will get removed if the file is opened in a newer version of Excel. Learn more: https://go.microsoft.com/fwlink/?linkid=870924
Comment:
    Vodafone Group Plc - Additional Information, Sheet "08 Fixed Broadband customers", https://investors.vodafone.com/reports-information/results-reports-presentations?tab=fy22, lastly accessed 4.12.23.</t>
      </text>
    </comment>
    <comment ref="V199" authorId="66" shapeId="0" xr:uid="{002C452C-34E1-4BEB-8DF1-6D7FDA232E90}">
      <text>
        <t>[Threaded comment]
Your version of Excel allows you to read this threaded comment; however, any edits to it will get removed if the file is opened in a newer version of Excel. Learn more: https://go.microsoft.com/fwlink/?linkid=870924
Comment:
    Annual report 2022, (End subscribers + Start subscribers)/2</t>
      </text>
    </comment>
    <comment ref="V200" authorId="67" shapeId="0" xr:uid="{FB287AE4-2596-4C2A-9AB1-8FEDAE777F44}">
      <text>
        <t xml:space="preserve">[Threaded comment]
Your version of Excel allows you to read this threaded comment; however, any edits to it will get removed if the file is opened in a newer version of Excel. Learn more: https://go.microsoft.com/fwlink/?linkid=870924
Comment:
    Total Revenue/(ARPU*12)
</t>
      </text>
    </comment>
    <comment ref="W200" authorId="68" shapeId="0" xr:uid="{331CF7DB-0ED8-4968-B017-027708361287}">
      <text>
        <t>[Threaded comment]
Your version of Excel allows you to read this threaded comment; however, any edits to it will get removed if the file is opened in a newer version of Excel. Learn more: https://go.microsoft.com/fwlink/?linkid=870924
Comment:
    ARPU for private customers.</t>
      </text>
    </comment>
    <comment ref="V201" authorId="69" shapeId="0" xr:uid="{F8297E21-57CE-467D-AAC6-EF5FF9794040}">
      <text>
        <t>[Threaded comment]
Your version of Excel allows you to read this threaded comment; however, any edits to it will get removed if the file is opened in a newer version of Excel. Learn more: https://go.microsoft.com/fwlink/?linkid=870924
Comment:
    VATM 2022, p.13</t>
      </text>
    </comment>
    <comment ref="W202" authorId="70" shapeId="0" xr:uid="{468DB762-1C4D-4FD0-984A-5B537428C43C}">
      <text>
        <t xml:space="preserve">[Threaded comment]
Your version of Excel allows you to read this threaded comment; however, any edits to it will get removed if the file is opened in a newer version of Excel. Learn more: https://go.microsoft.com/fwlink/?linkid=870924
Comment:
    Annual report Tele Columbus 2022, p.12. </t>
      </text>
    </comment>
    <comment ref="V203" authorId="71" shapeId="0" xr:uid="{E9F3CEA6-3962-4B91-99EB-79039605A074}">
      <text>
        <t>[Threaded comment]
Your version of Excel allows you to read this threaded comment; however, any edits to it will get removed if the file is opened in a newer version of Excel. Learn more: https://go.microsoft.com/fwlink/?linkid=870924
Comment:
    VATM 2022, p.13</t>
      </text>
    </comment>
    <comment ref="V204" authorId="72" shapeId="0" xr:uid="{9E876E44-92AB-4BB5-8910-8FD4EFA20DDE}">
      <text>
        <t>[Threaded comment]
Your version of Excel allows you to read this threaded comment; however, any edits to it will get removed if the file is opened in a newer version of Excel. Learn more: https://go.microsoft.com/fwlink/?linkid=870924
Comment:
    Average broadband subscribers. VATM 2022, p.13</t>
      </text>
    </comment>
    <comment ref="V205" authorId="73" shapeId="0" xr:uid="{A43D0985-89E1-4172-B517-232D1B322B5B}">
      <text>
        <t>[Threaded comment]
Your version of Excel allows you to read this threaded comment; however, any edits to it will get removed if the file is opened in a newer version of Excel. Learn more: https://go.microsoft.com/fwlink/?linkid=870924
Comment:
    https://www.koeln.de/aktuelles/jahresbilanz-2022-netcologne-ergebnis-8917/#:~:text=F%C3%BCr%20NetCologne%20verlief%20das%20Jahr,auf%2022%2C9%20Millionen%20Euro.&amp;text=NetCologne%20schlie%C3%9Ft%20das%20Jahr%202022%20mit%20einer%20positiven%20Bilanz%20ab., lastly accessed 5.12.2023</t>
      </text>
    </comment>
    <comment ref="V207" authorId="74" shapeId="0" xr:uid="{D6D2B292-0DF5-D24E-BE41-022DE1048E9B}">
      <text>
        <t>[Threaded comment]
Your version of Excel allows you to read this threaded comment; however, any edits to it will get removed if the file is opened in a newer version of Excel. Learn more: https://go.microsoft.com/fwlink/?linkid=870924
Comment:
    Annual Report 2023, p.70</t>
      </text>
    </comment>
    <comment ref="V208" authorId="75" shapeId="0" xr:uid="{03EC8EBA-9969-5E43-9152-65B8D66B7C00}">
      <text>
        <t xml:space="preserve">[Threaded comment]
Your version of Excel allows you to read this threaded comment; however, any edits to it will get removed if the file is opened in a newer version of Excel. Learn more: https://go.microsoft.com/fwlink/?linkid=870924
Comment:
Vodafone Group Plc
Additional Information FY 2024, Average Fixed Broadband Customers
</t>
      </text>
    </comment>
    <comment ref="V209" authorId="76" shapeId="0" xr:uid="{1F2EE33C-9E4C-7145-91B3-BB61CD1D44D7}">
      <text>
        <t>[Threaded comment]
Your version of Excel allows you to read this threaded comment; however, any edits to it will get removed if the file is opened in a newer version of Excel. Learn more: https://go.microsoft.com/fwlink/?linkid=870924
Comment:
    Annual Report 2023, p.3</t>
      </text>
    </comment>
    <comment ref="W210" authorId="77" shapeId="0" xr:uid="{BC52A25A-8A37-0047-B607-79F0C8379D0B}">
      <text>
        <t xml:space="preserve">[Threaded comment]
Your version of Excel allows you to read this threaded comment; however, any edits to it will get removed if the file is opened in a newer version of Excel. Learn more: https://go.microsoft.com/fwlink/?linkid=870924
Comment:
    Annual Report/Zusammengefasster Lagebericht, p.23  </t>
      </text>
    </comment>
    <comment ref="V211" authorId="78" shapeId="0" xr:uid="{BC87B34C-DF11-C94F-BA3C-7023E34ED681}">
      <text>
        <t>[Threaded comment]
Your version of Excel allows you to read this threaded comment; however, any edits to it will get removed if the file is opened in a newer version of Excel. Learn more: https://go.microsoft.com/fwlink/?linkid=870924
Comment:
    https://www.connect.de/vergleich/festnetztest-2023-breitband-anbieter-internet-speed-vergleich-test-regionale-anbieter-m-net-ewe-tel-pyur-tele-columbus-3203907-9727.html; lastly accessed 24.02.25</t>
      </text>
    </comment>
    <comment ref="V212" authorId="79" shapeId="0" xr:uid="{7A8AE0D3-E59A-8145-8899-BD389EE50159}">
      <text>
        <t>[Threaded comment]
Your version of Excel allows you to read this threaded comment; however, any edits to it will get removed if the file is opened in a newer version of Excel. Learn more: https://go.microsoft.com/fwlink/?linkid=870924
Comment:
    Annual report 2023, p.8</t>
      </text>
    </comment>
    <comment ref="W212" authorId="80" shapeId="0" xr:uid="{D888515C-06A8-D34E-B1A8-01C28718F306}">
      <text>
        <t>[Threaded comment]
Your version of Excel allows you to read this threaded comment; however, any edits to it will get removed if the file is opened in a newer version of Excel. Learn more: https://go.microsoft.com/fwlink/?linkid=870924
Comment:
    Annual report 2023, p.8</t>
      </text>
    </comment>
    <comment ref="V213" authorId="81" shapeId="0" xr:uid="{1BAF90AA-96A1-E047-8B9F-F88CC4F1E9BA}">
      <text>
        <t>[Threaded comment]
Your version of Excel allows you to read this threaded comment; however, any edits to it will get removed if the file is opened in a newer version of Excel. Learn more: https://go.microsoft.com/fwlink/?linkid=870924
Comment:
    VATM 2023, p.10</t>
      </text>
    </comment>
    <comment ref="V214" authorId="82" shapeId="0" xr:uid="{A47361B7-5492-7C43-8908-B69FF2B1BF4A}">
      <text>
        <t xml:space="preserve">[Threaded comment]
Your version of Excel allows you to read this threaded comment; however, any edits to it will get removed if the file is opened in a newer version of Excel. Learn more: https://go.microsoft.com/fwlink/?linkid=870924
Comment:
    VATM 2023, p.12
</t>
      </text>
    </comment>
    <comment ref="V215" authorId="83" shapeId="0" xr:uid="{1692D38F-AC17-E948-A052-BCF6ECB82178}">
      <text>
        <t>[Threaded comment]
Your version of Excel allows you to read this threaded comment; however, any edits to it will get removed if the file is opened in a newer version of Excel. Learn more: https://go.microsoft.com/fwlink/?linkid=870924
Comment:
    Source: https://netcologne-unternehmen.de/jahresbilanz-2023-netcologne-gruppe-steigert-erneut-ergebnis-umsatz-und-kundenzahl/, lastly accessed 24.02.2025</t>
      </text>
    </comment>
    <comment ref="C242" authorId="84" shapeId="0" xr:uid="{F48DE789-FE59-483D-AD41-25388B12BC79}">
      <text>
        <r>
          <rPr>
            <b/>
            <sz val="9"/>
            <color indexed="81"/>
            <rFont val="Segoe UI"/>
            <charset val="1"/>
          </rPr>
          <t>Administrator:</t>
        </r>
        <r>
          <rPr>
            <sz val="9"/>
            <color indexed="81"/>
            <rFont val="Segoe UI"/>
            <charset val="1"/>
          </rPr>
          <t xml:space="preserve">
</t>
        </r>
      </text>
    </comment>
    <comment ref="G247" authorId="85" shapeId="0" xr:uid="{3D1D4FAF-5641-5C46-942F-2BB2E67C7AC4}">
      <text>
        <t>[Threaded comment]
Your version of Excel allows you to read this threaded comment; however, any edits to it will get removed if the file is opened in a newer version of Excel. Learn more: https://go.microsoft.com/fwlink/?linkid=870924
Comment:
    RTL Group annual report 2021, p.37 and 39 
Average paying subscribers RTL Group 2021 = 2996,5
Average RTL+ subscribers 2021 = 1999
1999/2996,5 =0,667 
Total Streaming revenue 2021 = 223
Since the prices of Videoland and RTL Now are similar we estimate: 0,667*223 = 148,74</t>
      </text>
    </comment>
    <comment ref="W250" authorId="86" shapeId="0" xr:uid="{CF9196A2-FFA4-594E-A2D6-8BC8C779CE12}">
      <text>
        <t>[Threaded comment]
Your version of Excel allows you to read this threaded comment; however, any edits to it will get removed if the file is opened in a newer version of Excel. Learn more: https://go.microsoft.com/fwlink/?linkid=870924
Comment:
    ARPU$: 10,99 in Euro: 10,45
based on: https://www.exchange-rates.org/de/wechselkursverlauf/usd-eur-2022</t>
      </text>
    </comment>
    <comment ref="W260" authorId="87" shapeId="0" xr:uid="{829F3990-B5CA-F34B-BA51-9CDFBC21AC4F}">
      <text>
        <t>[Threaded comment]
Your version of Excel allows you to read this threaded comment; however, any edits to it will get removed if the file is opened in a newer version of Excel. Learn more: https://go.microsoft.com/fwlink/?linkid=870924
Comment:
    ARPU EMEA: 10,87$; in Euro: 10,05
based on:https://www.exchange-rates.org/de/wechselkursverlauf/usd-eur-2023</t>
      </text>
    </comment>
    <comment ref="X1039" authorId="88" shapeId="0" xr:uid="{1B982E5E-78FA-45B0-8E91-8D5A1B836424}">
      <text>
        <t xml:space="preserve">[Threaded comment]
Your version of Excel allows you to read this threaded comment; however, any edits to it will get removed if the file is opened in a newer version of Excel. Learn more: https://go.microsoft.com/fwlink/?linkid=870924
Comment:
    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
</t>
      </text>
    </comment>
    <comment ref="X1041" authorId="89" shapeId="0" xr:uid="{25BF05C6-3C6E-4462-9C06-D5313FE452A0}">
      <text>
        <t>[Threaded comment]
Your version of Excel allows you to read this threaded comment; however, any edits to it will get removed if the file is opened in a newer version of Excel. Learn more: https://go.microsoft.com/fwlink/?linkid=870924
Comment:
    LinkedIn’s ad audience figures are based on total registered members rather than monthly active users. Thus it might not accurate to call these 11 millions users monthly active users.</t>
      </text>
    </comment>
    <comment ref="X1054" authorId="90" shapeId="0" xr:uid="{88EE905E-AB84-4ABA-987C-039F2E5B7448}">
      <text>
        <t xml:space="preserve">[Threaded comment]
Your version of Excel allows you to read this threaded comment; however, any edits to it will get removed if the file is opened in a newer version of Excel. Learn more: https://go.microsoft.com/fwlink/?linkid=870924
Comment:
    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
</t>
      </text>
    </comment>
    <comment ref="X1056" authorId="91" shapeId="0" xr:uid="{2AF9EF0E-B541-4466-855E-038A30292B05}">
      <text>
        <t>[Threaded comment]
Your version of Excel allows you to read this threaded comment; however, any edits to it will get removed if the file is opened in a newer version of Excel. Learn more: https://go.microsoft.com/fwlink/?linkid=870924
Comment:
    LinkedIn’s ad audience figures are based on total registered members rather than monthly active users. Thus it might not accurate to call these 11 millions users monthly active users.</t>
      </text>
    </comment>
    <comment ref="X1071" authorId="92" shapeId="0" xr:uid="{AD485B47-844E-4A9E-A016-421D0570DFB7}">
      <text>
        <t xml:space="preserve">[Threaded comment]
Your version of Excel allows you to read this threaded comment; however, any edits to it will get removed if the file is opened in a newer version of Excel. Learn more: https://go.microsoft.com/fwlink/?linkid=870924
Comment:
    „However,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
</t>
      </text>
    </comment>
    <comment ref="X1073" authorId="93" shapeId="0" xr:uid="{F107AD7D-890B-4E5B-8258-66D39E7793CB}">
      <text>
        <t>[Threaded comment]
Your version of Excel allows you to read this threaded comment; however, any edits to it will get removed if the file is opened in a newer version of Excel. Learn more: https://go.microsoft.com/fwlink/?linkid=870924
Comment:
    LinkedIn’s ad audience figures are based on total registered members rather than monthly active users. Thus it might not accurate to call these 12,5 millions users monthly active users.</t>
      </text>
    </comment>
    <comment ref="F1087" authorId="94" shapeId="0" xr:uid="{DD34C7D7-8A6F-4C54-A6A4-B35D8E3DA75D}">
      <text>
        <t>[Threaded comment]
Your version of Excel allows you to read this threaded comment; however, any edits to it will get removed if the file is opened in a newer version of Excel. Learn more: https://go.microsoft.com/fwlink/?linkid=870924
Comment:
    „However,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t>
      </text>
    </comment>
    <comment ref="X1087" authorId="95" shapeId="0" xr:uid="{3A6C532C-3BE7-40EF-B13E-D40F6DD03FFC}">
      <text>
        <t>[Threaded comment]
Your version of Excel allows you to read this threaded comment; however, any edits to it will get removed if the file is opened in a newer version of Excel. Learn more: https://go.microsoft.com/fwlink/?linkid=870924
Comment:
    „However,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t>
      </text>
    </comment>
    <comment ref="X1089" authorId="96" shapeId="0" xr:uid="{8A6FF8D4-2261-4A5F-A2AD-256564F0FDDB}">
      <text>
        <t>[Threaded comment]
Your version of Excel allows you to read this threaded comment; however, any edits to it will get removed if the file is opened in a newer version of Excel. Learn more: https://go.microsoft.com/fwlink/?linkid=870924
Comment:
    LinkedIn’s ad audience figures are based on total registered members rather than monthly active users. Thus it might not accurate to call these 14 millions users monthly active users.</t>
      </text>
    </comment>
    <comment ref="F1092" authorId="97" shapeId="0" xr:uid="{7445DB34-0FF3-48D2-920E-515273EE8BEF}">
      <text>
        <t xml:space="preserve">[Threaded comment]
Your version of Excel allows you to read this threaded comment; however, any edits to it will get removed if the file is opened in a newer version of Excel. Learn more: https://go.microsoft.com/fwlink/?linkid=870924
Comment:
    „Data published in ByteDance’s own ad planning tools show that TikTok’s potential ad reach in Germany increased by 3.7 million (+21.5 percent) between the start of 2022 and early 2023.
However, figures indicate that the potential reach of ads on TikTok in Germany actually increased by 5.8 million (+39.0 percent) between October 2022 and January 2023, suggesting that reach may have fallen between January 2022 and October 2022.
Having said that, ad audiences often only account for a subset of a platform’s total users, and given that TikTok’s ad tools only publish data for users aged 18 and above, it’s important to remember that these changes in TikTok ad reach may not necessarily match changes in the platform’s overall user base.“
Source: https://datareportal.com/reports/digital-2023-germany?rq=germany
</t>
      </text>
    </comment>
    <comment ref="X1104" authorId="98" shapeId="0" xr:uid="{0B41613C-3783-4041-8259-C579AE47D84A}">
      <text>
        <t>[Threaded comment]
Your version of Excel allows you to read this threaded comment; however, any edits to it will get removed if the file is opened in a newer version of Excel. Learn more: https://go.microsoft.com/fwlink/?linkid=870924
Comment:
    „However,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t>
      </text>
    </comment>
    <comment ref="X1106" authorId="99" shapeId="0" xr:uid="{BDAB90EA-BC3B-4018-BB7C-369EB65FE754}">
      <text>
        <t>[Threaded comment]
Your version of Excel allows you to read this threaded comment; however, any edits to it will get removed if the file is opened in a newer version of Excel. Learn more: https://go.microsoft.com/fwlink/?linkid=870924
Comment:
    LinkedIn’s ad audience figures are based on total registered members rather than monthly active users. Thus it might not accurate to call these 16,5 millions users monthly active users.</t>
      </text>
    </comment>
    <comment ref="F1110" authorId="100" shapeId="0" xr:uid="{91168E99-E414-47EF-99F4-1014CB7FAC35}">
      <text>
        <t xml:space="preserve">[Threaded comment]
Your version of Excel allows you to read this threaded comment; however, any edits to it will get removed if the file is opened in a newer version of Excel. Learn more: https://go.microsoft.com/fwlink/?linkid=870924
Comment:
    „Data published in ByteDance’s own ad planning tools show that TikTok’s potential ad reach in Germany increased by 3.7 million (+21.5 percent) between the start of 2022 and early 2023.
However, figures indicate that the potential reach of ads on TikTok in Germany actually increased by 5.8 million (+39.0 percent) between October 2022 and January 2023, suggesting that reach may have fallen between January 2022 and October 2022.
Having said that, ad audiences often only account for a subset of a platform’s total users, and given that TikTok’s ad tools only publish data for users aged 18 and above, it’s important to remember that these changes in TikTok ad reach may not necessarily match changes in the platform’s overall user base.“
Source: https://datareportal.com/reports/digital-2023-germany?rq=germany
</t>
      </text>
    </comment>
    <comment ref="V1377" authorId="101" shapeId="0" xr:uid="{2347CCAE-CC7C-4B70-9E78-B8F9125EC1FE}">
      <text>
        <t>[Threaded comment]
Your version of Excel allows you to read this threaded comment; however, any edits to it will get removed if the file is opened in a newer version of Excel. Learn more: https://go.microsoft.com/fwlink/?linkid=870924
Comment:
    Includes only IPTV and Satelites. Since TV is often sold with a broadband access the real TV-customers are higher.
 Average subscribers, Annual report 2020, p.62</t>
      </text>
    </comment>
    <comment ref="V1378" authorId="102" shapeId="0" xr:uid="{337EAB9A-D675-400F-A728-5D16270B9CD4}">
      <text>
        <t>[Threaded comment]
Your version of Excel allows you to read this threaded comment; however, any edits to it will get removed if the file is opened in a newer version of Excel. Learn more: https://go.microsoft.com/fwlink/?linkid=870924
Comment:
    Average subscribers Germany, Quarterly average, Full year, spreadshet sheet   https://investors.vodafone.com/reports-information/results-reports-presentations?tab=fy21, sheet 10, TV customers",</t>
      </text>
    </comment>
    <comment ref="V1379" authorId="103" shapeId="0" xr:uid="{5EC5C17F-9140-47AE-AA46-4D7C59DAD429}">
      <text>
        <t>[Threaded comment]
Your version of Excel allows you to read this threaded comment; however, any edits to it will get removed if the file is opened in a newer version of Excel. Learn more: https://go.microsoft.com/fwlink/?linkid=870924
Comment:
    Difference between Subscribers 2019/20 Q2 and Subscribers 2019/20. Q3 The jump in subscribers is explained by the new accounting of Vodafone that now includes Unity Media that was bought up in August 2019. We assume that all the new subscribers were previously subscribers of Unity Media.</t>
      </text>
    </comment>
    <comment ref="V1381" authorId="104" shapeId="0" xr:uid="{DF63960C-48A3-4008-9BDF-F6DF4807C358}">
      <text>
        <t>[Threaded comment]
Your version of Excel allows you to read this threaded comment; however, any edits to it will get removed if the file is opened in a newer version of Excel. Learn more: https://go.microsoft.com/fwlink/?linkid=870924
Comment:
    RGUs CableTV and Premium TV, Annual report 2020, p.40</t>
      </text>
    </comment>
    <comment ref="W1381" authorId="105" shapeId="0" xr:uid="{FDABF7EA-81B9-4969-93D9-31EAA5A1916B}">
      <text>
        <t>[Threaded comment]
Your version of Excel allows you to read this threaded comment; however, any edits to it will get removed if the file is opened in a newer version of Excel. Learn more: https://go.microsoft.com/fwlink/?linkid=870924
Comment:
    Annual report Tele-Columbus 2020, p.3</t>
      </text>
    </comment>
    <comment ref="E1383" authorId="106" shapeId="0" xr:uid="{6D5717CB-B40B-454B-81BC-0882721488B5}">
      <text>
        <t>[Threaded comment]
Your version of Excel allows you to read this threaded comment; however, any edits to it will get removed if the file is opened in a newer version of Excel. Learn more: https://go.microsoft.com/fwlink/?linkid=870924
Comment:
    The FreenetAG has a majority shareholding in the Exairing AG with 71,5%. I do not understand why Exairing still has the AG title. I can neither find stocks from them nor annual reports.</t>
      </text>
    </comment>
    <comment ref="V1383" authorId="107" shapeId="0" xr:uid="{7139E4CB-4EEB-4CF7-A9FF-12A8DF6FD34C}">
      <text>
        <t>[Threaded comment]
Your version of Excel allows you to read this threaded comment; however, any edits to it will get removed if the file is opened in a newer version of Excel. Learn more: https://go.microsoft.com/fwlink/?linkid=870924
Comment:
    FreenetTV average subscribers = 849,25
WaipuTV average subscribers: = 647,5
Annual report 2021,p.48</t>
      </text>
    </comment>
    <comment ref="V1384" authorId="108" shapeId="0" xr:uid="{34782D12-52B5-45ED-8740-673608E6B165}">
      <text>
        <t>[Threaded comment]
Your version of Excel allows you to read this threaded comment; however, any edits to it will get removed if the file is opened in a newer version of Excel. Learn more: https://go.microsoft.com/fwlink/?linkid=870924
Comment:
    Average WaipuTV subscribers = 330,05
Average Freenet TV subscribers = 1017,65
Annual report
—&gt;Freenet TV has a large „sleeping“ customer base (no clear source found, but it goes in the millions) that has a terrestrial from Freenet, but is not paying the subscription that enables the private TV channels.
We only reported the paying subscribers.
Annual report 2019, p.52</t>
      </text>
    </comment>
    <comment ref="V1388" authorId="109" shapeId="0" xr:uid="{5880648A-DFB8-4B03-97CF-86CD4FA39D67}">
      <text>
        <t>[Threaded comment]
Your version of Excel allows you to read this threaded comment; however, any edits to it will get removed if the file is opened in a newer version of Excel. Learn more: https://go.microsoft.com/fwlink/?linkid=870924
Comment:
    Includes only IPTV and Satelites. Since TV is often sold with a broadband access the real TV-customers are higher.
Average subscribers, Annual report 2020, p.62</t>
      </text>
    </comment>
    <comment ref="V1389" authorId="110" shapeId="0" xr:uid="{BEEED30E-E190-463B-80C4-170D843CAA82}">
      <text>
        <t>[Threaded comment]
Your version of Excel allows you to read this threaded comment; however, any edits to it will get removed if the file is opened in a newer version of Excel. Learn more: https://go.microsoft.com/fwlink/?linkid=870924
Comment:
    Average subscriber Germany, Quarterly average, Full year, spreadshet sheet   https://investors.vodafone.com/reports-information/results-reports-presentations?tab=fy20, sheet 09, TV and fixed line voice„,
We used only the subscribers from Q2, Q3 and Q4 to calculate the average. Vodafone acquired Unity media and its subscribers in August 2019. But the subscribers increased only at Q2 2020 in the accounting of Vodafone. We assume that this is due to a delay of accounting and that the revenues of the former Unity Media customers go for the whole year to Vodafone.
This allows us to not lose any revenues.</t>
      </text>
    </comment>
    <comment ref="V1391" authorId="111" shapeId="0" xr:uid="{A4B38C45-3865-4DE1-A222-CD995F0C9B48}">
      <text>
        <t>[Threaded comment]
Your version of Excel allows you to read this threaded comment; however, any edits to it will get removed if the file is opened in a newer version of Excel. Learn more: https://go.microsoft.com/fwlink/?linkid=870924
Comment:
    RGUs CableTV and PremiumTV, Annual report 2020, p.40</t>
      </text>
    </comment>
    <comment ref="W1391" authorId="112" shapeId="0" xr:uid="{09E9BEEA-A22C-4696-93E2-9656D22BDAE9}">
      <text>
        <t>[Threaded comment]
Your version of Excel allows you to read this threaded comment; however, any edits to it will get removed if the file is opened in a newer version of Excel. Learn more: https://go.microsoft.com/fwlink/?linkid=870924
Comment:
    Annual report Tele-Columbus 2020, p.3</t>
      </text>
    </comment>
    <comment ref="V1393" authorId="113" shapeId="0" xr:uid="{3221ED95-8FF2-4A18-B3D4-A82FABB8980E}">
      <text>
        <t>[Threaded comment]
Your version of Excel allows you to read this threaded comment; however, any edits to it will get removed if the file is opened in a newer version of Excel. Learn more: https://go.microsoft.com/fwlink/?linkid=870924
Comment:
    FreenetTV average subscribers = 849,25
WaipuTV average subscribers: = 647,5
Annual report 2021,p.48</t>
      </text>
    </comment>
    <comment ref="V1395" authorId="114" shapeId="0" xr:uid="{CB835B19-5BD8-4821-A3F9-DE5D4B99DE2B}">
      <text>
        <t>[Threaded comment]
Your version of Excel allows you to read this threaded comment; however, any edits to it will get removed if the file is opened in a newer version of Excel. Learn more: https://go.microsoft.com/fwlink/?linkid=870924
Comment:
    Avereage subscribers WaipuTV = 490,4
Average subscribers FreenetTV = 961,55
Annual, report Freenet AG 2020, p.56</t>
      </text>
    </comment>
    <comment ref="V1398" authorId="115" shapeId="0" xr:uid="{5FD09A36-A7D7-4A11-9D94-5DFF6B48D16D}">
      <text>
        <t>[Threaded comment]
Your version of Excel allows you to read this threaded comment; however, any edits to it will get removed if the file is opened in a newer version of Excel. Learn more: https://go.microsoft.com/fwlink/?linkid=870924
Comment:
    Includes only IPTV and Satelites. Since TV is often sold with a broadband access the real TV-customers are higher.
Average subscribers, annual report 2022,p.76</t>
      </text>
    </comment>
    <comment ref="V1399" authorId="116" shapeId="0" xr:uid="{9461A7F1-F27B-4ECF-B2D1-55B9035CEDA4}">
      <text>
        <t xml:space="preserve">[Threaded comment]
Your version of Excel allows you to read this threaded comment; however, any edits to it will get removed if the file is opened in a newer version of Excel. Learn more: https://go.microsoft.com/fwlink/?linkid=870924
Comment:
    Average customers, Vodafone Group Plc Additional infos —&gt;https://investors.vodafone.com/reports-information/results-reports-presentations?tab=fy21--&gt;Full Year 21 Spreadsheet. Sheet: Fixed TV Customer. </t>
      </text>
    </comment>
    <comment ref="W1400" authorId="117" shapeId="0" xr:uid="{04344BA5-1BC0-4501-9B8A-52CA642C18A8}">
      <text>
        <t xml:space="preserve">[Threaded comment]
Your version of Excel allows you to read this threaded comment; however, any edits to it will get removed if the file is opened in a newer version of Excel. Learn more: https://go.microsoft.com/fwlink/?linkid=870924
Comment:
    Annual report Tele-Columbus 2022 p.12. </t>
      </text>
    </comment>
    <comment ref="V1403" authorId="118" shapeId="0" xr:uid="{4DC99B51-2577-40BE-8370-5FE79F64A5C2}">
      <text>
        <t>[Threaded comment]
Your version of Excel allows you to read this threaded comment; however, any edits to it will get removed if the file is opened in a newer version of Excel. Learn more: https://go.microsoft.com/fwlink/?linkid=870924
Comment:
    FreenetTV average subscribers = 849,25
WaipuTV average subscribers: = 647,5
Annual report 2021,p.48</t>
      </text>
    </comment>
    <comment ref="V1405" authorId="119" shapeId="0" xr:uid="{BB496464-5919-4570-97DB-5ED7B551BE35}">
      <text>
        <t>[Threaded comment]
Your version of Excel allows you to read this threaded comment; however, any edits to it will get removed if the file is opened in a newer version of Excel. Learn more: https://go.microsoft.com/fwlink/?linkid=870924
Comment:
    FreenetTV average subscribers = 849,25
WaipuTV average subscribers: = 647,5
Annual report 2021,p.48</t>
      </text>
    </comment>
    <comment ref="V1407" authorId="120" shapeId="0" xr:uid="{24A46076-763D-43C8-8701-15356C0541C7}">
      <text>
        <t>[Threaded comment]
Your version of Excel allows you to read this threaded comment; however, any edits to it will get removed if the file is opened in a newer version of Excel. Learn more: https://go.microsoft.com/fwlink/?linkid=870924
Comment:
    „included approximately 5 million
customer relationships receiving Sky services in Germany“, Annual Report Comcast 2023,p.38</t>
      </text>
    </comment>
    <comment ref="W1407" authorId="121" shapeId="0" xr:uid="{8BF27E02-B73A-4635-AFBD-9D4FD36E78D6}">
      <text>
        <t>[Threaded comment]
Your version of Excel allows you to read this threaded comment; however, any edits to it will get removed if the file is opened in a newer version of Excel. Learn more: https://go.microsoft.com/fwlink/?linkid=870924
Comment:
    We calculated with an ARPU od 27,5 Euro. This number is an educated guess. Based on the variety of offers 
The prices for different Sky packaging vary between 15 Euro to 80 Euro. Based on the VAUNET report it is evident, that a vast amount of subscribers use at least one package.
However, Sky provides a variety of special offers for new customers or on special dates, which makes to determine the real ARPU impossible. 
Since the minimum price for Sky is 15 Euro a month in Germany it is self-evident that we can not use the annual ARPU of 129,1$ in the annual report.
Yearly ARPU: 129,1 in $,
Average Dollar/Euro exchange rate in 2022 = 0,95
Sources: Customers: Annual report Comcast, 2023, p.38 
Exchange rate:  Deutsche Bundesbank. (2. Januar, 2024). Jährliche Entwicklung des Wechselkurses des Euro gegenüber dem US-Dollar von 1999 bis 2023 (in US-Dollar) [Graph]. In Statista. Zugriff am 25. November 2024, von https://de.statista.com/statistik/daten/studie/200194/umfrage/wechselkurs-des-euro-gegenueber-dem-us-dollar-seit-2001/
Sky Deutschland Prices 2022: https://kostenblick.de/was-kostet-sky/
Sky-packaging numbers: PAY-TV &amp; PAID-VOD IN DEUTSCHLAND 2020/2021, VAUNET, p.16</t>
      </text>
    </comment>
    <comment ref="V1408" authorId="122" shapeId="0" xr:uid="{34B6A5D8-4AAD-490B-A4DB-DC1E65BE75B8}">
      <text>
        <t>[Threaded comment]
Your version of Excel allows you to read this threaded comment; however, any edits to it will get removed if the file is opened in a newer version of Excel. Learn more: https://go.microsoft.com/fwlink/?linkid=870924
Comment:
    Includes only IPTV and Satelites. Since TV is often sold with a broadband access the real TV-customers are higher.
Average subscribers, annual report 2022,p.76</t>
      </text>
    </comment>
    <comment ref="V1409" authorId="123" shapeId="0" xr:uid="{548C63EB-5A1A-40CA-96D9-F8A9CDAC1F8E}">
      <text>
        <t xml:space="preserve">[Threaded comment]
Your version of Excel allows you to read this threaded comment; however, any edits to it will get removed if the file is opened in a newer version of Excel. Learn more: https://go.microsoft.com/fwlink/?linkid=870924
Comment:
    Average customers, Vodafone Group Plc Additional infos —&gt;https://investors.vodafone.com/reports-information/results-reports-presentations?tab=fy21--&gt;Full Year 22 Spreadsheet. Sheet: Fixed TV Customer
</t>
      </text>
    </comment>
    <comment ref="W1410" authorId="124" shapeId="0" xr:uid="{35095B3F-3D32-44E6-85EB-8904541C63B1}">
      <text>
        <t>[Threaded comment]
Your version of Excel allows you to read this threaded comment; however, any edits to it will get removed if the file is opened in a newer version of Excel. Learn more: https://go.microsoft.com/fwlink/?linkid=870924
Comment:
    Annual report Tele-Columbus 2022, p.12.</t>
      </text>
    </comment>
    <comment ref="V1413" authorId="125" shapeId="0" xr:uid="{1F05A13A-7FE4-4BC7-9945-39176904513B}">
      <text>
        <t>[Threaded comment]
Your version of Excel allows you to read this threaded comment; however, any edits to it will get removed if the file is opened in a newer version of Excel. Learn more: https://go.microsoft.com/fwlink/?linkid=870924
Comment:
    Average Waipu subscribers = 846,25
Average FreenetTV subscribers = 741,1 
Annual report 2022, p.30</t>
      </text>
    </comment>
    <comment ref="V1414" authorId="126" shapeId="0" xr:uid="{9A0F2DD3-175B-F34D-AD8A-67545C8F6F8E}">
      <text>
        <t>[Threaded comment]
Your version of Excel allows you to read this threaded comment; however, any edits to it will get removed if the file is opened in a newer version of Excel. Learn more: https://go.microsoft.com/fwlink/?linkid=870924
Comment:
    Average Waipu subscribers = 846,25
Average FreenetTV subscribers = 741,1 
Annual report 2022, p.30</t>
      </text>
    </comment>
    <comment ref="V1418" authorId="127" shapeId="0" xr:uid="{49CD9411-11B2-6C4D-87EF-B40EB9E0578E}">
      <text>
        <t>[Threaded comment]
Your version of Excel allows you to read this threaded comment; however, any edits to it will get removed if the file is opened in a newer version of Excel. Learn more: https://go.microsoft.com/fwlink/?linkid=870924
Comment:
    DT IR BackUp Q4/2023; p.23</t>
      </text>
    </comment>
    <comment ref="V1419" authorId="128" shapeId="0" xr:uid="{46246663-8A24-E744-A798-3A7C6150D1F3}">
      <text>
        <t xml:space="preserve">[Threaded comment]
Your version of Excel allows you to read this threaded comment; however, any edits to it will get removed if the file is opened in a newer version of Excel. Learn more: https://go.microsoft.com/fwlink/?linkid=870924
Comment:
    Vodafone Group Plc
Additional Information FY 2024, TV Customers Average
</t>
      </text>
    </comment>
    <comment ref="W1420" authorId="129" shapeId="0" xr:uid="{EA3E9494-8375-EA4C-B103-87D88F34E8BF}">
      <text>
        <t>[Threaded comment]
Your version of Excel allows you to read this threaded comment; however, any edits to it will get removed if the file is opened in a newer version of Excel. Learn more: https://go.microsoft.com/fwlink/?linkid=870924
Comment:
    Annual Report 2023, p.8</t>
      </text>
    </comment>
    <comment ref="V1421" authorId="130" shapeId="0" xr:uid="{976CE209-3A20-DF4F-9EED-5A1EAA6DFEE6}">
      <text>
        <t>[Threaded comment]
Your version of Excel allows you to read this threaded comment; however, any edits to it will get removed if the file is opened in a newer version of Excel. Learn more: https://go.microsoft.com/fwlink/?linkid=870924
Comment:
    Annual Report, p.8</t>
      </text>
    </comment>
    <comment ref="I1428" authorId="131" shapeId="0" xr:uid="{1658CCC1-91A2-4C83-95A0-AA40C4B21432}">
      <text>
        <t xml:space="preserve">[Threaded comment]
Your version of Excel allows you to read this threaded comment; however, any edits to it will get removed if the file is opened in a newer version of Excel. Learn more: https://go.microsoft.com/fwlink/?linkid=870924
Comment:
    Chip.de (3.1%) and Fokus.de (2.1%) Marketshare </t>
      </text>
    </comment>
    <comment ref="I1442" authorId="132" shapeId="0" xr:uid="{EF401178-EE31-45E6-971C-12131D496E5F}">
      <text>
        <t xml:space="preserve">[Threaded comment]
Your version of Excel allows you to read this threaded comment; however, any edits to it will get removed if the file is opened in a newer version of Excel. Learn more: https://go.microsoft.com/fwlink/?linkid=870924
Comment:
    KEK 2023, based on Nielsen Data (basis Unique audience) </t>
      </text>
    </comment>
    <comment ref="I1446" authorId="133" shapeId="0" xr:uid="{613A29D5-FDE6-46E6-A4ED-B0247B3220EE}">
      <text>
        <t>[Threaded comment]
Your version of Excel allows you to read this threaded comment; however, any edits to it will get removed if the file is opened in a newer version of Excel. Learn more: https://go.microsoft.com/fwlink/?linkid=870924
Comment:
    1.77% Bild.de, 1.07% Welt.de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tc={3E741052-9DDC-4022-92EF-CD099DD2FCC0}</author>
  </authors>
  <commentList>
    <comment ref="E7" authorId="0" shapeId="0" xr:uid="{3E741052-9DDC-4022-92EF-CD099DD2FCC0}">
      <text>
        <t xml:space="preserve">[Threaded comment]
Your version of Excel allows you to read this threaded comment; however, any edits to it will get removed if the file is opened in a newer version of Excel. Learn more: https://go.microsoft.com/fwlink/?linkid=870924
Comment:
    Was the association of municipial shareholders already the main shareholder ? </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<sst xmlns="http://schemas.openxmlformats.org/spreadsheetml/2006/main" count="9730" uniqueCount="1146">
  <si>
    <t>Country</t>
  </si>
  <si>
    <t>Year</t>
  </si>
  <si>
    <t>Sector</t>
  </si>
  <si>
    <t>Total Revenue (Millions local$)</t>
  </si>
  <si>
    <t>Total Revenue (Millions US$)</t>
  </si>
  <si>
    <t>Subscriber Revenue (Millions)+F:I</t>
  </si>
  <si>
    <t>Mobile Voice Revenue (Millions)</t>
  </si>
  <si>
    <t>Mobile Data Revenue (Millions)</t>
  </si>
  <si>
    <t>Ad Revenue (Millions)</t>
  </si>
  <si>
    <t>Public Funding (Millions)</t>
  </si>
  <si>
    <t>Console (Millions)</t>
  </si>
  <si>
    <t>PC (Millions)</t>
  </si>
  <si>
    <t>Mobile (Millions)</t>
  </si>
  <si>
    <t>Physical Sales (Millions)</t>
  </si>
  <si>
    <t>Digital Sales/Download (Millions)</t>
  </si>
  <si>
    <t>Recorded Music Revenue (Millions)</t>
  </si>
  <si>
    <t>Live Entertainment Revenue (Millions)</t>
  </si>
  <si>
    <t>Publishing Royalties (Millions)</t>
  </si>
  <si>
    <t>Micropayments (Millions)</t>
  </si>
  <si>
    <t>Other Revenue (Millions)</t>
  </si>
  <si>
    <t>Audience (000s)</t>
  </si>
  <si>
    <t>Notes</t>
  </si>
  <si>
    <t>Germany</t>
    <phoneticPr fontId="4" type="noConversion"/>
  </si>
  <si>
    <t>Wireline</t>
  </si>
  <si>
    <t xml:space="preserve">Germany </t>
  </si>
  <si>
    <t>DIALOG CONSULT / VATM 23. TK-Marktanalyse Deutschland 2019, p.13; The VATM categorizes "broadband" to include wholesale, PayTV, content, and related services. To estimate the total revenue for the wireline sector, we applied our own methodology as follows:
According to the VATM, companies with a market share greater than 1% account for 95.4% of the entire landline sector. Based on our calculations, the combined revenue for wireline from these companies is €8,386.76 million. To estimate the total revenue, we adjusted for the 95.4% coverage:
We applied the same methodology for the years 2020–2022. 
Our key assumption is that the share of companies exceeding 1% in the VATM's "broadband" category is equivalent to their share in the wireline sector. Given the relative stability of the telecommunications industry over the observed period, this assumption is reasonable. However; I clearly state that this makes our Total Revenue endogenous, which is by far not optimal. Furthermore, with only two companies - Telekom and TeleColumbus (and Vodafone in 2019) - giving revenues which satisfying the sectors definition the whole sector is build on estimations, mostly build on the RGU of Telephony/Internet RGUs, this is problematic since firstly, it can be doubted that the ratio is optimal, secondly building proxies on one comapany is quite likely not a depiction of the reality of different companies which further reduces the accuracy of our estimate. Overall companies are reporting less and less the sector specific revenues and are generally bundling the revenue under Telecommunication/Broadband and Wireless. This trend will continue which will make estimation of this sector in the future harder.</t>
  </si>
  <si>
    <t>Germany</t>
  </si>
  <si>
    <t>DIALOG CONSULT / VATM 23. TK-Marktanalyse Deutschland 2021, p.13, Used methodology explined in U53</t>
  </si>
  <si>
    <t>DIALOG CONSULT / VATM 23. TK-Marktanalyse Deutschland 2021, S.12; Used methodology explained in U53</t>
  </si>
  <si>
    <t>DIALOG CONSULT / VATM 24. TK-Marktanalyse Deutschland 2022, S.13; Used Methodology explained inU53</t>
  </si>
  <si>
    <t>DIALOG CONSULT / VATM 24. TK-Marktanalyse Deutschland 2023, S.10; Used Methodology explained inU53</t>
  </si>
  <si>
    <t>Wireless</t>
  </si>
  <si>
    <t>Jahrestelekommunikationsbericht 2020, Bundesnetzagentur, p.51</t>
  </si>
  <si>
    <t>Jahrestelekommunikationsbericht 2022, Bundesnetzagentur, p.9</t>
  </si>
  <si>
    <t xml:space="preserve">Jahrestelekommunikationsbericht 2023, Bundesnetzagentur, p.9 </t>
  </si>
  <si>
    <t>Jahrestelekommunikationsbericht 2023, Bundesnetzagentur, p.9; forecast prediction</t>
  </si>
  <si>
    <t>ISP</t>
  </si>
  <si>
    <t xml:space="preserve">DIALOG CONSULT / VATM 23. TK-Marktanalyse Deutschland 2019, p.13; The VATM categorizes "broadband" to include wholesale, PayTV, content, and other related services. To estimate the total revenue of ISPs, we applied our own methodology.
According to VATM data, companies with a market share greater than 1% account for 95.4% of the entire landline sector. Based on this, we estimated the total ISP revenue by calculating 9,692.56 divided by 0.954, resulting in approximately 10,162.5.
We applied the same approach to estimate ISP revenues for the years 2020–2022.
</t>
  </si>
  <si>
    <t>DIALOG CONSULT / VATM 23. TK-Marktanalyse Deutschland 2021, p.13; Used methodology explained in U65</t>
  </si>
  <si>
    <t>DIALOG CONSULT / VATM 23. TK-Marktanalyse Deutschland 2021, p.12; Used methodology explained in U65</t>
  </si>
  <si>
    <t>DIALOG CONSULT / VATM 24. TK-Marktanalyse Deutschland 2022, p.13; Used methodology explained in U65</t>
  </si>
  <si>
    <t>DIALOG CONSULT / VATM 24. TK-Marktanalyse Deutschland 2023, p.13; Used methodology explained in U65</t>
  </si>
  <si>
    <t>Broadcast TV</t>
  </si>
  <si>
    <t>Vaunet Annual report 2022/23, p.77</t>
  </si>
  <si>
    <t>Advertisement revenue = 4400; Vaunet Annual report 2022/23, p.77 + Total GEZ (state funding) invested into the Sector (based on our research).</t>
  </si>
  <si>
    <t>Advertisement revenue = 4012; Vaunet Annual report 2022/23, p.77 + Total GEZ (state funding) invested into the Sector (based on our research).</t>
  </si>
  <si>
    <t>Advertisement revenue = 4341; Vaunet Annual report 2022/23, p.77 + Total GEZ (state funding) invested into the Sector (based on our research).</t>
  </si>
  <si>
    <t>Advertisement revenue = 4018; Vaunet Annual report 2022/23, p.77 + Total GEZ (state funding) invested into the Sector (based on our research).</t>
  </si>
  <si>
    <t>Advertisement revenue = 3869; Werbemarktanalyse, p.16 + Total GEZ (state funding) invested into the Sector (based on our research). Vaunet revenue is an estimation.</t>
  </si>
  <si>
    <t>Pay TV Programming Services</t>
  </si>
  <si>
    <t>PAY-TV &amp; PAID-VOD IN DEUTSCHLAND 2020/2021, VAUNET, p.6</t>
  </si>
  <si>
    <t>Pay-TV &amp; Paid-VOD in Deutschland 2022-23, p.6</t>
  </si>
  <si>
    <t>Online Video Services</t>
  </si>
  <si>
    <t xml:space="preserve">German Entertainment &amp; Media Outlook 2024 - 2028; p.146 (Appendix); This sector includes revenue made from users and ads on standalone Over-the-Top (OTT) or streaming services like Netflix. These services let people watch movies and shows over the internet on devices like TVs, phones, tablets, or computers—no traditional TV subscription needed. It also includes ad money from online TV content offered by traditional TV channels through their own websites or apps.
Subscription VoD (S-VoD) means streaming services that charge a monthly or yearly fee, like Netflix. Some subscriptions may be cheaper because they include ads. If a service is part of a bundle (like Pay-TV plus OTT), only the OTT part is counted here. Services like Now TV are included, but services like Sky Go, which require a Pay-TV login, are not. The total money made each year is based on how many paid subscriptions there are and how much each one earns on average.
The number of subscriptions only includes active, paying accounts—not free trials. Free, ad-based services don’t count as subscriptions. For standalone services, this means users who are paying at the end of the year. For bundled services, it counts users who used the service at least once in the last month of the year.
Advertising VoD (A-VoD) includes money from ads shown on streaming services like Netflix (in its ad-supported version) or Amazon Freevee. It also includes ad money from free services like Joyn. This only includes platforms focused on high-quality, TV-style content—social video platforms like YouTube are not included.
This inclusion differs from other GMICP Teams. Since the original definition includes Youtube explicitly. We decided to do so, since the German Media and Entertainment Outlook and the European Audiovisual Survey as reliable sources depicted the named sub-sectors. Introducing other platforms such Youtube, would habe brought uncertainity and inprecision in our data, In future work it might be worthwile to integrate Youtube in Sector, as originally planned. </t>
  </si>
  <si>
    <t>German Entertainment &amp; Media Outlook 2024 - 2028; p.146 (Appendix)</t>
  </si>
  <si>
    <t>German Entertainment &amp; Media Outlook 2024 - 2028; p.146  (Appendix)</t>
  </si>
  <si>
    <t>Film Exhibition</t>
  </si>
  <si>
    <t>FFA (Filmförderungsanstalt) Report 2023, p.4,</t>
  </si>
  <si>
    <t>FFA (Filmförderungsanstalt) Report 2023, p.4</t>
  </si>
  <si>
    <t xml:space="preserve">Das Kinojahr 2023 Daten und Entwicklungen zum deutschen Kinomarkt, p.10; </t>
  </si>
  <si>
    <t>Digital Games</t>
  </si>
  <si>
    <t>German Entertainment &amp; Media Outlook 2024 - 2028; p.146 (Appendix); Total revenue Videogamemarket - E-Sport</t>
  </si>
  <si>
    <t>Broadcast Radio</t>
  </si>
  <si>
    <t>Advertisement revenue = 784 ; Vaunet Annual report 2022/23, p.78 + Public Channel Revenue (ARD + Deutschlandradio) = 1498,89</t>
  </si>
  <si>
    <t>Advertisement revenue = 713 ; Vaunet Annual report 2022/23, p.78 + Public Channel Revenue (ARD + Deutschlandradio) = 1506,85</t>
  </si>
  <si>
    <t>Advertisement revenue = 707; Vaunet Annual report 2022/23, p.78 + Public Channel Revenue (ARD + Deutschlandradio) = 1561,45</t>
  </si>
  <si>
    <t>Advertisement revenue = 717; Vaunet Annual report 2022/23, p.78 + Public Channel Revenue (ARD + Deutschlandradio) = 1584,09</t>
  </si>
  <si>
    <t>Advertisement revenue = 699, Vaunet Annual report 2024, p.77 + Public Channel Revenue (ARD + Deutschlandradio) = 1671,52</t>
  </si>
  <si>
    <t>Music Services</t>
  </si>
  <si>
    <t>German Entertainment &amp; Media Outlook 2024-2028, p.153</t>
  </si>
  <si>
    <t>Newspapers</t>
  </si>
  <si>
    <t>Online News Media</t>
  </si>
  <si>
    <t>Magazines</t>
  </si>
  <si>
    <t>Books</t>
  </si>
  <si>
    <t xml:space="preserve">CD: Total revenue source Börsenverein des deutschen Buchhandels (https://www.boersenverein.de/markt-daten/marktforschung/wirtschaftszahlen/branchenumsatz-und-branchenentwicklung/) estimated number according to source.   </t>
  </si>
  <si>
    <t xml:space="preserve">CD: Total revenue source Börsenverein des deutschen Buchhandels (https://www.boersenverein.de/markt-daten/marktforschung/wirtschaftszahlen/branchenumsatz-und-branchenentwicklung/) estimated number according to source.   ; alternative 7.388,- : PWC report </t>
  </si>
  <si>
    <t xml:space="preserve">CD: Total revenue source Börsenverein des deutschen Buchhandels (https://www.boersenverein.de/markt-daten/marktforschung/wirtschaftszahlen/branchenumsatz-und-branchenentwicklung/) estimated number according to source.   ; alternative 7.555,- : PWC report </t>
  </si>
  <si>
    <t xml:space="preserve">CD: Total revenue source Börsenverein des deutschen Buchhandels (https://www.boersenverein.de/markt-daten/marktforschung/wirtschaftszahlen/branchenumsatz-und-branchenentwicklung/) estimated number according to source.   ; alternative 7.552,- : PWC report </t>
  </si>
  <si>
    <t xml:space="preserve">CD: Total revenue source Börsenverein des deutschen Buchhandels (https://www.boersenverein.de/markt-daten/marktforschung/wirtschaftszahlen/branchenumsatz-und-branchenentwicklung/) estimated number according to source.   ; alternative  7.892,- : PWC report </t>
  </si>
  <si>
    <t xml:space="preserve">CD: Total revenue source Börsenverein des deutschen Buchhandels (https://www.boersenverein.de/markt-daten/marktforschung/wirtschaftszahlen/branchenumsatz-und-branchenentwicklung/) estimated number according to source.   ; alternative 7.763,- : PWC report </t>
  </si>
  <si>
    <t xml:space="preserve">CD: Total revenue source Börsenverein des deutschen Buchhandels (https://www.boersenverein.de/markt-daten/marktforschung/wirtschaftszahlen/branchenumsatz-und-branchenentwicklung/) estimated number according to source. </t>
  </si>
  <si>
    <t>Search Engines-Mobile</t>
  </si>
  <si>
    <t>Source: PWC. German Global Entertainment &amp; Media Outlook 2023-2027, p.141 Mobile paid search Internet advertising (Subsection of: Mobile Internet advertising)</t>
  </si>
  <si>
    <t>Search Engines-Desktop</t>
  </si>
  <si>
    <t>Source: PWC. German Global Entertainment &amp; Media Outlook 2023-2027., p.141 Mobile display Internet advertising (Subsection of: Mobile Internet advertising)</t>
  </si>
  <si>
    <t>Search Engines</t>
  </si>
  <si>
    <t>Data obtained by combining revenues for the "Mobile Paid Search Interent Advertising" and "Paid Search Internet Advertising". Source: PWC. German Entertainment &amp; Media Outlook 2023–2027, p.141,Mobile display Internet advertising (Subsection of: Mobile Internet advertising) and  Paid search Internet advertising (Subsection of: Wired Internet advertising)</t>
  </si>
  <si>
    <t>Desktop Browsers</t>
  </si>
  <si>
    <t>App Distribution</t>
  </si>
  <si>
    <t>Estimae: Own calculations based on Results of the sector</t>
  </si>
  <si>
    <t>Desktop Browser</t>
  </si>
  <si>
    <t>Source: PWC. German Global Entertainment &amp; Media Outlook 2023-2027, p.141. Display Internet advertising (Subsection of: Wired Internet advertising)</t>
  </si>
  <si>
    <t>Film TV Online Video Distribution</t>
  </si>
  <si>
    <t xml:space="preserve">Internet Advertising </t>
  </si>
  <si>
    <t>revenue based on Germany Digital Ad Spending, EMARKETER Forecast, https://forecasts-na1.emarketer.com/584b26021403070290f93a77/585191880626310a2c18678c</t>
  </si>
  <si>
    <t xml:space="preserve">Magazines </t>
  </si>
  <si>
    <t xml:space="preserve"> CD: Ad revenue in Mio: gross: 3,571; net: 1,281 (source Nielsen Media Research in Medienperspektiven 2018, p.289)</t>
  </si>
  <si>
    <t xml:space="preserve"> CD: Ad revenue in Mio: gross: 3,548; net: 1,235 (source Nielsen Media Research in Medienperspektiven 2018, p.289)</t>
  </si>
  <si>
    <t xml:space="preserve"> CD: Ad revenue in Mio: gross: 3.541; net: 1.190 (source Nielsen Media Research in Medienperspektiven 2018, p.289)</t>
  </si>
  <si>
    <t xml:space="preserve"> CD: Ad revenue in Mio: gross: 3.476; net: 1.075 (source Nielsen Media Research in Medienperspektiven 2018, p.289)</t>
  </si>
  <si>
    <t xml:space="preserve"> CD: CD:PWC: Market Revenue source: German entertainment and media outlook 2021 - 2025 ; Ad revenuein Mio: gross: 3.461; net: 1.015 (source Nielsen Media Research in Medienperspektiven 2018, p.289)</t>
  </si>
  <si>
    <t xml:space="preserve"> CD: CD:PWC: Market Revenue source: German entertainment and media outlook 2021 - 2025  Ad revenue in Mio: gross: 3.404; net: 965 (source Nielsen Media Research in Medienperspektiven 2018, p.289)</t>
  </si>
  <si>
    <t>CD: Ad revenue in Mio: gross: 3.293; net: 915 (source Nielsen Media Research in Medienperspektiven 2020, p.354)</t>
  </si>
  <si>
    <r>
      <rPr>
        <sz val="12"/>
        <color rgb="FF000000"/>
        <rFont val="Times New Roman"/>
        <family val="1"/>
      </rPr>
      <t xml:space="preserve">CD:PWC: Market Revenue source: German entertainment and media outlook 2023 - 2027 p.134  Alternative Source: Ad revenue in Mio: gross: 2.911; net: 720 (source Nielsen Media Research in Medienperspektiven 2018, p.289) </t>
    </r>
    <r>
      <rPr>
        <b/>
        <sz val="12"/>
        <color rgb="FF000000"/>
        <rFont val="Times New Roman"/>
        <family val="1"/>
      </rPr>
      <t>Alternative source:</t>
    </r>
    <r>
      <rPr>
        <sz val="12"/>
        <color rgb="FF000000"/>
        <rFont val="Times New Roman"/>
        <family val="1"/>
      </rPr>
      <t xml:space="preserve">Ad revenue in Mio: gross: 3.220; net: 840 (source Nielsen Media Research in Medienperspektiven 2020, p.354); </t>
    </r>
  </si>
  <si>
    <t>CD:PWC: Market Revenue source: German entertainment and media outlook 2023 - 2027 p.134  Alternative Source: Ad revenue in Mio: gross: 2.911; net: 720 (source Nielsen Media Research in Medienperspektiven 2018, p.289)</t>
  </si>
  <si>
    <t>CD: Ad revenue in Mio: gross: 2.891; net: 710 (source Nielsen Media Research in Medienperspektiven 2018, p.289)</t>
  </si>
  <si>
    <t xml:space="preserve">CD:PWC: Market Revenue source: German entertainment and media outlook 2023 - 2027 p.134 </t>
  </si>
  <si>
    <t>Mobile Browser</t>
  </si>
  <si>
    <t xml:space="preserve">Source: PWC. German Global Entertainment &amp; Media Outlook 2023-2027, p.141 Other Display-advertisement and Displayvideoadvertisement </t>
  </si>
  <si>
    <t xml:space="preserve">Multichannel Video Distribution </t>
  </si>
  <si>
    <t>Data from the European Audiovisual Observatory - Yearbook 2017 - 2021,  https://yearbook.obs.coe.int/s/document/6954/de-market-revenues-in-germany-2017-2021</t>
  </si>
  <si>
    <t>Data from the European Audiovisual Observatory - Yearbook 2017 - 2021,  https://yearbook.obs.coe.int/s/document/6954/de-market-revenues-in-germany-2017-2022</t>
  </si>
  <si>
    <t>Data from the European Audiovisual Observatory - Yearbook 2017 - 2021,  https://yearbook.obs.coe.int/s/document/6954/de-market-revenues-in-germany-2017-2023</t>
  </si>
  <si>
    <t>Data from the European Audiovisual Observatory - Yearbook 2018 - 2022,  https://yearbook.obs.coe.int/s/document/7250/de-market-revenues-in-germany-2018-2022</t>
  </si>
  <si>
    <t>Data from the European Audiovisual Observatory - Yearbook 2024,  https://yearbook.obs.coe.int/s/document/7250/de-market-revenues-in-germany-2018-2023</t>
  </si>
  <si>
    <t>Newspaper</t>
  </si>
  <si>
    <t>CD: Between 2000 and 2010 the highest total revenue  (only incl E-papers from digital revenue) secondary Data using BDZV: ARD-media report (Medienperspectiven 2020) using BDZV data (Page 334) https://www.ard-media.de/fileadmin/user_upload/media-perspektiven/pdf/2020/0620_Roeper_20-07-20.pdf</t>
  </si>
  <si>
    <t>CD: (only incl E-papers from digital revenue) secondary Data using BDZV: ARD-media report (Medienperspectiven 2020) using BDZV data (Page 334) https://www.ard-media.de/fileadmin/user_upload/media-perspektiven/pdf/2020/0620_Roeper_20-07-20.pdf</t>
  </si>
  <si>
    <t xml:space="preserve">CD: Secondary source [https://www.grin.com/document/151637?lang=en] citing primary BDZV report data (primary report not available) </t>
  </si>
  <si>
    <t>CD:(only incl E-papers from digital revenue) secondary Data using BDZV: ARD-media report (Medienperspectiven 2020) using BDZV data (Page 334) https://www.ard-media.de/fileadmin/user_upload/media-perspektiven/pdf/2020/0620_Roeper_20-07-20.pdf</t>
  </si>
  <si>
    <t xml:space="preserve">CD: Secondary Data using BDZV report: Statista Report on Newspapers Germany </t>
  </si>
  <si>
    <t>CD: annual report 2014 BDZV https://issuu.com/bdzv/docs/zahlendaten_2014</t>
  </si>
  <si>
    <t>CD: annual report 2015 BDZV https://issuu.com/bdzv/docs/zahlendaten_2015</t>
  </si>
  <si>
    <t>CD: annual report 2017 BDZV Tageszeitungen https://epub.sub.uni-hamburg.de/epub/volltexte/2018/76584/pdf/ZDF_2017.pdf</t>
  </si>
  <si>
    <t>CD: (only incl E-papers from digital revenue) BDZV economic status of newspapers 2022 report https://www.bdzv.de/fileadmin/content/7_Alle_Themen/Marktdaten/2022/Branchenbeitrag_2022/BZDV_Branchenbeitrag2022_v2.pdf</t>
  </si>
  <si>
    <t>CD: (only incl E-papers from digital revenue) BDZV - economic status of newspapers 2023 report: revenue going down mostly due to advertising revenue which has been recorded as more vulnerable to crisis  (Covid-19) than the "reading-market". https://www.bdzv.de/fileadmin/content/7_Alle_Themen/Marktdaten/2023/Branchenbeitrag_2023/230831_BZDV_Branchenbeitrag2023.pdf</t>
  </si>
  <si>
    <t>CD: (only incl E-papers from digital revenue) BDZV economic status of newspapers 2023 report; results for 2020 and 2021 differ slightly in report from 2022 vs. 2023 (2022: 7199)(https://www.bdzv.de/fileadmin/content/7_Alle_Themen/Marktdaten/2023/Branchenbeitrag_2023/230831_BZDV_Branchenbeitrag2023.pdf)</t>
  </si>
  <si>
    <t xml:space="preserve">CD: (only incl E-papers from digital revenue, incl all digital revenue: 7,59 Billion Euro [-3% to 2021]) BDZV economic status of newspapers 2023 report https://www.bdzv.de/fileadmin/content/7_Alle_Themen/Marktdaten/2023/Branchenbeitrag_2023/230831_BZDV_Branchenbeitrag2023.pdf; conversely, PwC report, German entertainment and media outlook, refers to 6,7 billion revenue in 2022 incl 13,9% digital revenue. </t>
  </si>
  <si>
    <t>CD: (only incl E-papers from digital revenue, incl all digital revenue: 7,59 Billion Euro [-3% to 2021]) BDZV economic status of newspapers 2023 report https://www.bdzv.de/alle-themen/marktdaten/bdzv-branchenbericht-2024-zur-wirtschaftlichen-situation-der-deutschen-zeitungen?no_cache=1</t>
  </si>
  <si>
    <t>Social Media Plattforms</t>
  </si>
  <si>
    <t>Source Audience:https://datareportal.com/reports/digital-2020-germany?rq=germany%202019; based on increase of social media users of Social Media Users from April 2019 to January 2020 of 6,5%. We used the Audience we estimated in 2020 to calculate the 2019 audience to secure data harmony since datareportal changed its methodology in 2021</t>
  </si>
  <si>
    <t>Source Audience: https://datareportal.com/reports/digital-2021-germany?rq=germany; Dataportal changed its proximation from the 2020 to 2021 report. Before the emphasized more to represent unique individuals, while in their newer method this might not be the case. I used the growth rate of 13,2% in the 2021 report to calculate the amount of Social Media users in 2020</t>
  </si>
  <si>
    <t>Source Audience: https://datareportal.com/reports/digital-2021-germany?rq=germany</t>
  </si>
  <si>
    <t>Source Audience:: https://datareportal.com/reports/digital-2022-germany</t>
  </si>
  <si>
    <t xml:space="preserve">Source Audience: https://datareportal.com/reports/digital-2023-germany </t>
  </si>
  <si>
    <t>Parent Ownership Group</t>
  </si>
  <si>
    <t>Operating Division/Company</t>
  </si>
  <si>
    <t>Operating Brand/Title</t>
  </si>
  <si>
    <t>Market Shares by Revenue (%)</t>
  </si>
  <si>
    <t>Subscriber Revenue (Millions)</t>
  </si>
  <si>
    <t>Advertising Revenue (Millions)</t>
  </si>
  <si>
    <t>Government / Public Revenue (Millions)</t>
  </si>
  <si>
    <t>Other (Millions)</t>
  </si>
  <si>
    <t>Subscribers (000s)</t>
  </si>
  <si>
    <t xml:space="preserve">Average Revenue / User </t>
  </si>
  <si>
    <t>Monthly Unique Visitors (000s)</t>
    <phoneticPr fontId="0" type="noConversion"/>
  </si>
  <si>
    <t>Circulation (000s)</t>
  </si>
  <si>
    <t>Audiences (000s)</t>
  </si>
  <si>
    <t>Market Shares by 1,000 Monthly Unique Visitors (%)</t>
  </si>
  <si>
    <t>Market Shares by Subscriber (%)</t>
  </si>
  <si>
    <t>Market Shares by Circulation (%)</t>
  </si>
  <si>
    <t>Market Shares by Audience (%)</t>
  </si>
  <si>
    <t>Sub-sector</t>
  </si>
  <si>
    <t>Ownership</t>
  </si>
  <si>
    <t xml:space="preserve">Deutsche Telekom </t>
  </si>
  <si>
    <t>Deutsche Telekom</t>
  </si>
  <si>
    <t>plc</t>
  </si>
  <si>
    <t>Source Revenue + Subscribers: Deutsche Telekom Investor Relations Backup, Q4 2019, p.32. Revenue: Voice-only revenue and wholesale service fixed networks. Subscribers: Yearly average access line.</t>
  </si>
  <si>
    <t>Indy ISP</t>
  </si>
  <si>
    <t>Sole proprietorship</t>
  </si>
  <si>
    <t>Vodafone</t>
  </si>
  <si>
    <t xml:space="preserve">Vodafone </t>
  </si>
  <si>
    <t>Source Revenue: Vodafone Group Plc, FY20 Results, Reports and Presentations, spreadsheet, sheet 10: TV customers. Available at: https://investors.vodafone.com/reports-information/results-reports-presentations?tab=fy20, last accessed 26 February 2024.; Source Average Subscribers: Source: Vodafone, FY20 Annual Results, Sheet 09 - "TV and Fixed Line Voice"</t>
  </si>
  <si>
    <t>Telco</t>
  </si>
  <si>
    <t>Partnership</t>
  </si>
  <si>
    <t>Liberty Global</t>
  </si>
  <si>
    <t xml:space="preserve">Unitiy Media </t>
  </si>
  <si>
    <t>Unity Media</t>
  </si>
  <si>
    <t>Average Subscribers * ARPU Pyür; "According to Vodafone Group Plc's FY21 results, the proxy subscriber base and ARPU data for TV customers are detailed in Sheet 10 of the spreadsheet titled 'TV Customers' (Vodafone Group Plc, FY21 Results, Reports and Presentations, available at: https://investors.vodafone.com/reports-information/results-reports-presentations?tab=fy21, last accessed 4 December 2023). Furthermore, the difference in subscriber numbers between Q1 and Q2 of FY20 is explained by Vodafone's new accounting practice, which now includes Unity Media, a company acquired by Vodafone in August 2019. This change in accounting leads to an increase in subscriber figures, with the assumption that all new subscribers were previously customers of Unity Media."</t>
  </si>
  <si>
    <t>CableCo</t>
  </si>
  <si>
    <t>Limited liability companies</t>
  </si>
  <si>
    <t>United Internet</t>
  </si>
  <si>
    <t xml:space="preserve">1&amp;1 </t>
  </si>
  <si>
    <t>1&amp;1</t>
  </si>
  <si>
    <t>Estimate Revnue: Proxy subscriber base * ARPU Pyür; To estimate the number of wireless subscribers for 1&amp;1, we applied a ratio of 0.74 between telephony and broadband customers, based on PYÜR's data. Given that 4,340 broadband subscribers were reported, the estimated wireless subscribers are calculated as follows: 4,340 × 0.74 = 3,211.6: Source Broadband Subscribers: 1&amp;1 Annual Report 2019, p.40.</t>
  </si>
  <si>
    <t>Co-operative societies</t>
  </si>
  <si>
    <t xml:space="preserve">Telefonica </t>
  </si>
  <si>
    <t xml:space="preserve">Telefónica Germany </t>
  </si>
  <si>
    <t>O2</t>
  </si>
  <si>
    <t>Estimate Revenue: Average quarterly subscribers Telephony Access* Pyür ARPU 2019: Telefónica Annual Report 2020, p.21. Available at: https://www.telefonica.com/en/shareholders-investors/financial-reports/quarterly-reports/2020/, last accessed 26 August 2024.</t>
  </si>
  <si>
    <t>AVOD</t>
  </si>
  <si>
    <t>Non-profit making bodies</t>
  </si>
  <si>
    <t>EWE</t>
  </si>
  <si>
    <t>EWE TEL</t>
  </si>
  <si>
    <t>State owned LLC</t>
  </si>
  <si>
    <t>Estimate Revenue: Subscriber estimate * Pyür ARPU: VATM Report 2019, p.19.; To estimate the number of wireline subscribers for EWE-Tel, we applied a ratio of 0.74 between telephony and broadband customers based on Pyür's data. Given that there are 700 broadband subscribers, the estimated number of wireline subscribers is calculated as follows:
700 × 0.74 = 518</t>
  </si>
  <si>
    <t>SVOD</t>
  </si>
  <si>
    <t>Enterprises with other forms of legal constitution</t>
  </si>
  <si>
    <t>Tele Columbus</t>
  </si>
  <si>
    <t>PYÜR</t>
  </si>
  <si>
    <t>Source Revenue: Annual Report Tele Columbus 2020: p.3.</t>
  </si>
  <si>
    <t>TVOD</t>
  </si>
  <si>
    <t>Other</t>
  </si>
  <si>
    <t>Municipal Utilities Munich</t>
  </si>
  <si>
    <t>Mnet Telecommunications</t>
  </si>
  <si>
    <t>Mnet</t>
  </si>
  <si>
    <t>Estimate Revenue: Subscriber estimate * Pyür ARPU: VATM Report 2019, p.19.; To estimate the number of subscribers for the Municipalities of Munich, we applied a ratio of 0.74 between telephony and broadband customers based on Pyür's data. Given that 500 broadband subscribers were reported, the estimated number of subscribers is calculated as follows:
500 × 0.74 = 370</t>
  </si>
  <si>
    <t>HVOD</t>
  </si>
  <si>
    <t>Municipal Utilities Cologne</t>
  </si>
  <si>
    <t>NetCologne</t>
  </si>
  <si>
    <t>State Owned LLC</t>
  </si>
  <si>
    <t>Estimate Revenue: Subscriber estimate * Pyür ARPU: Available at: https://www.stadtwerkekoeln.de/aktuell/jahresbilanz-netcologne-2020-anhaltendes-wachstum-und-stabiles-netz-fuer-koeln-und-die-region, last accessed 26 February 2024.; To estimate the number of subscribers for the municipalities of Cologne, we applied a ratio of 0.74 between telephony and broadband customers. Given that 422 broadband subscribers were reported, the estimated number of subscribers is calculated as follows:
422 × 0.74 = 312.28</t>
  </si>
  <si>
    <t>Others</t>
  </si>
  <si>
    <t>Estimate Revenue: Sector Total Revenue - Revenue of al companies with a market share above 1%</t>
  </si>
  <si>
    <t>Source Revenue: Voice-only Revenue + Wholesale Service Fixed Networks: Deutsche Telekom Investor Relations Backup, Q4 2020, p.24.; Revenue: Voice-only revenue and wholesale service fixed networks. Subscribers: Yearly average access line.</t>
  </si>
  <si>
    <t>Estimate Revenue: Average quarterly Subscriber * ARPU of Pyür: Vodafone Group Plc, FY21 Results, Reports and Presentations, spreadsheet, sheet 07: Fixed broadband customers. Available at: https://investors.vodafone.com/reports-information/results-reports-presentations?tab=fy21, last accessed 4 December 2023.</t>
  </si>
  <si>
    <t>Estimate Revenue: Estimate Subscribers * ARPU Pyür: 1&amp;1 Annual Report 2020, p.16.; To estimate the number of subscribers for Telefónica, we applied a ratio of 0.724 between telephony and broadband customers based on Pyür's data. Given that 4,325 broadband subscribers were reported, the estimated number of subscribers is calculated as follows:
4,325 × 0.724 = 3,200.5</t>
  </si>
  <si>
    <t>Estimate Revenue: Average quarterly subscribers * Pyür ARPU: Telefónica Quarterly Results 2020, Report, p.21. Available at: https://www.telefonica.com/en/shareholders-investors/financial-reports/quarterly-reports/2020/, last accessed 26 August 2024.</t>
  </si>
  <si>
    <t>Estimate Revenue: Subscriber estimate * Pyür ARPU: VATM Report 2020, p.13.; To estimate the number of subscribers for EWE Tel, we applied a ratio of 0.724 between telephony and broadband customers based on Pyür's data. Given that 700 broadband subscribers were reported in the VATM, the estimated number of subscribers is calculated as follows:
700 × 0.724 = 506.8</t>
  </si>
  <si>
    <t>Source Revenue: Telephony RGUs * ARPU Internet and Telephony per RGU: Annual Report 2020, p.3.</t>
  </si>
  <si>
    <t>Estimate Revenue: Subscriber estimate * Pyür ARPU: VATM Report 2020, p.13.; To estimate the number of subscribers for Mnet, we applied a ratio of 0.724 between telephony and broadband customers based on Pyür's data. Given that 500 broadband subscribers were reported in the VATM, the estimated number of subscribers is calculated as follows:
500 × 0.724 = 362</t>
  </si>
  <si>
    <t>Estimate Revenue: Subscriber estimate * Pyür ARPU: Available at: https://www.stadtwerkekoeln.de/aktuell/jahresbilanz-netcologne-2020-anhaltendes-wachstum-und-stabiles-netz-fuer-koeln-und-die-region, last accessed 26 February 2024.; To estimate the number of subscribers for Net Cologne, we applied a ratio of 0.724 between telephony and broadband customers based on Pyür's data. Given that 441 broadband subscribers were reported, the estimated number of subscribers is calculated as follows:
441 × 0.724 = 319.2</t>
  </si>
  <si>
    <t>Source Revenue: Voice-only Revenue + Wholesale Service Fixed Networks: Deutsche Telekom Investor Relations Backup, Q4 2022, p.24.; Revenue: Voice-only revenue and wholesale service fixed networks. Subscribers: Yearly average access line.</t>
  </si>
  <si>
    <t>Estimate Revenue: Proxy Subscriber * ARPU of Pyür: Vodafone Group Plc, FY22 Additional Information, spreadsheet, sheet 10: TV Customers. Available at: https://investors.vodafone.com/reports-information/results-reports-presentations?tab=fy22, last accessed 4 December 2023.; Vodafone stopped reporting the exact number of telephony customers in 2021, instead only reporting TV customers. In 2020, the share of TV to telephony customers was 77.1%. We applied this ratio to estimate the number of telephony subscribers for 2021. Given that there were 13,462.71 TV subscribers in 2021, the estimated number of telephony subscribers is calculated as follows:
13,462.71 × 0.77 = 10,366.29</t>
  </si>
  <si>
    <t>Estimate Revenue: Estimate subscribers * ARPU Pyür: 1&amp;1 Annual Report 2022, p.61.</t>
  </si>
  <si>
    <t>Source Revenue: Average quarterly Telephony Access subscribers * Pyür ARPU: Telefónica Quarterly Results 2022, Report, p.17. Available at: https://www.telefonica.com/en/shareholders-investors/financial-reports/quarterly-reports/2022/, last accessed 26 August 2024.</t>
  </si>
  <si>
    <t>Estimate Revenue: Subscribers estimate * Pyür ARPU: VATM Report 2021, p.12.; To estimate the number of subscribers for EWE, we applied a ratio of 0.722 between telephony and broadband customers based on Pyür's data. Given that 700 broadband subscribers were reported in the VATM, the estimated number of subscribers is calculated as follows:
700 × 0.722 = 505.4</t>
  </si>
  <si>
    <t xml:space="preserve">HL Komm Telekommunikations </t>
  </si>
  <si>
    <t>Source Revenue: Telephony RGUs 2021 * ARPU Internet and Telephony per RGU 2021: Tele Columbus Annual Report 2022, p.12.</t>
  </si>
  <si>
    <t>Mnet Telecommunication</t>
  </si>
  <si>
    <t>Estimate Revenue: Subscribers estimate * Pyür ARPU: VATM Report 2021, p.12.; To estimate the number of subscribers for Mnet, we applied a ratio of 0.722 between telephony and broadband customers based on Pyür's data. Given that 500 broadband subscribers were reported in the VATM, the estimated number of telephony subscribers is calculated as follows:
500 × 0.722 = 361</t>
  </si>
  <si>
    <t>EQT</t>
  </si>
  <si>
    <t xml:space="preserve">Deutsche Glasfaser Business </t>
  </si>
  <si>
    <t>Deutsche Glasfaser</t>
  </si>
  <si>
    <t>LLC</t>
  </si>
  <si>
    <t>Estimate Revenue: Subscriber Estimate * ARPU Pyür: VATM Report 2021, p.12.; To estimate the number of subscribers for EQT, we applied a ratio of 0.722 between telephony and broadband customers based on Pyür's data. Given that 350 broadband subscribers were reported in the VATM, the estimated number of telephony subscribers is calculated as follows:
350 × 0.722 = 252.7EQT acquired Deutsche Glasfaser Business GmbH on 31 December 2019 and merged it with Inexio Informationstechnologie und Telekommunikation GmbH in 2020. Available at: https://www.inexio.net/news/digitalisierungsmotor-fuer-deutschland-neue-deutsche-glasfaser-unternehmensgruppe-wird-glasfaserausbau-massiv-vorantreiben.</t>
  </si>
  <si>
    <t>Estimate Revenue: Subscriber estimate * Pyür ARPU: Available at: https://www.koeln.de/aktuelles/jahresbilanz-2022-netcologne-ergebnis-8917/#:~:text=F%C3%BCr%20NetCologne%20verlief%20das%20Jahr, last accessed 5 December 2023.; To estimate the number of subscribers for NetCologne, we applied a ratio of 0.722 between telephony and broadband customers based on Pyür's data. Given that 458 broadband subscribers were reported, the estimated number of telephony subscribers is calculated as follows:
458 × 0.722 = 339.68</t>
  </si>
  <si>
    <t>570.6</t>
  </si>
  <si>
    <t>Source Revenue:Voice-only Revenue + Wholesale Service Fixed Networks: Deutsche Telekom Investor Relations Backup, Q4 2022, p.24.; Voice-only revenue and wholesale service fixed networks. Subscribers: Yearly average access line.</t>
  </si>
  <si>
    <t>Estimate Revenue:Estimate Subscriber * ARPU of Pyür: Vodafone Group Plc, FY22 Additional Information, spreadsheet, sheet 10: TV Customers. Available at: https://investors.vodafone.com/reports-information/results-reports-presentations?tab=fy22, last accessed 4 December 2023.; Vodafone ceased reporting exact numbers for telephony customers in 2021 and began reporting only TV customers. In 2020, the share of TV to telephony customers was 77.1%. We applied this ratio to the 2021 and 2022 data. With an average of 13,315.75 TV subscribers in 2022, the estimated number of telephony subscribers is calculated as follows:
13,315.75 × 0.77 = 10,266.44
The decrease in revenue between 2021 and 2022 aligns with sector expectations, suggesting that the applied proxy is reasonable.</t>
  </si>
  <si>
    <t>Estimate Revenue: Estimate subscribers * ARPU Pyür: 1&amp;1 Annual Report 2022, p.61.; To estimate the number of subscribers for 1&amp;1, we applied a ratio of 0.721 between telephony and broadband customers based on Pyür's data. Given that 4,170 broadband subscribers were reported, the estimated number of telephony subscribers is calculated as follows:
4,170 × 0.721 =3006,57</t>
  </si>
  <si>
    <t>Source Revenue: Average quarterly telephony acces subscribers * Pyür ARPU: Telefónica Quarterly Results 2022, Report, p.17. Available at: https://www.telefonica.com/en/shareholders-investors/financial-reports/quarterly-reports/2022/, last accessed 26 August 2024.</t>
  </si>
  <si>
    <t>Estimate Revenue: Subscribers estimate * Pyür ARPU: VATM Report 2022, p.13.; To estimate the number of subscribers for EWE, we applied a ratio of 0.721 between telephony and broadband customers based on Pyür's data. Given that 700 broadband subscribers were reported in the VATM, the estimated number of telephony subscribers is calculated as follows:
700 × 0.721 = 482.3</t>
  </si>
  <si>
    <t>HL Komm Telecommunications</t>
  </si>
  <si>
    <t>Source Revenue: Telephony RGUs 2022 * ARPU Internet and Telephony per RGU 2022: Annual Report Tele Columbus 2022, p.12.</t>
  </si>
  <si>
    <t>Estimate Revenue: Subscriber estimate * Pyür ARPU: VATM Report 2022, p.13.; To estimate the number of subscribers for Mnet, we applied a ratio of 0.721 between telephony and broadband customers based on Pyür's data. Given that 500 broadband subscribers were reported in the VATM, the estimated number of telephony subscribers is calculated as follows:
500 × 0.721 = 360.5</t>
  </si>
  <si>
    <t xml:space="preserve">Deutsche Glasfaser  </t>
  </si>
  <si>
    <t>Estimate Revenue: Subscriber estimate * Pyür ARPU: Available at: https://www.koeln.de/aktuelles/jahresbilanz-2022-netcologne-ergebnis-8917/#:~:text=F%C3%BCr%20NetCologne%20verlief%20das%20Jahr, last accessed 5 December 2023.; To estimate the number of subscribers for EQT, we applied a ratio of 0.721 between telephony and broadband customers based on Pyür's data. Given that 500 broadband subscribers were reported in the VATM, the estimated number of telephony subscribers is calculated as follows:
500 × 0.721 = 360.5</t>
  </si>
  <si>
    <t>Estimate Revenue: Subscriber estimate*Pyürs ARPU,https://www.koeln.de/aktuelles/jahresbilanz-2022-netcologne-ergebnis-8917/#:~:text=F%C3%BCr%20NetCologne%20verlief%20das%20Jahr,auf%2022%2C9%20Millionen%20Euro.&amp;text=NetCologne%20schlie%C3%9Ft%20das%20Jahr%202022%20mit%20einer%20positiven%20Bilanz%20ab., lastly accessed 5.12.2023; To estimate the number of subscribers for EWE, we applied a ratio of 0.721 between telephony and broadband customers based on Pyür's data. Given that 462 broadband subscribers were reported in the VATM, the estimated number of telephony subscribers is calculated as follows:
462 × 0.721 = 333.1</t>
  </si>
  <si>
    <t>Source Revenue: DT IR BackUp Q4/2023, p.24; Voice only Revenue and wholesale service fixed networks</t>
  </si>
  <si>
    <t>Estimate Revenue: Subscriber*Average ARPU 2023*12; https://www.dslweb.de/news/dsl/vodafone-deutschland-im-q4-2023-optimistisch-vom-regen-in-die-traufe.php?utm_source=chatgpt.com</t>
  </si>
  <si>
    <t>Estimate Revenie: Subscriber Estimate*Pyür ARPU*12, To estimate the subscribers we applied the ratio of 0,721 between telephony and broadband customers based on Pyürs Data.  Source: Broadband subscribers Annual report,p.2</t>
  </si>
  <si>
    <t>Based on Revenue Growth of 4,7%; Annual Report p.62</t>
  </si>
  <si>
    <t xml:space="preserve">Based on increase in Revenue for Infrastructure of 3,1%:  </t>
  </si>
  <si>
    <t>Source Revenue: Annual report 2023; Average Subscribers*ARPU (bundled internet and telephony services)*12</t>
  </si>
  <si>
    <t>360.5</t>
  </si>
  <si>
    <t>Estimate Revenue: Subscriber estimate * Pyür ARPU: VATM Report 2022, p.13.; To estimate the number of subscribers for Mnet, we applied a ratio of 0.721 between telephony and broadband customers based on Pyür's data. Given that 500 broadband subscribers were reported in the VATM, the estimated number of telephony subscribers is calculated as follows:
500 × 0.723 = 365,5</t>
  </si>
  <si>
    <t>Estimate Revenue: Subscriber estimate * Pyür ARPU: VATM Report 2022, p.13.; To estimate the number of subscribers for Deutsche Glasfaßer, we applied a ratio of 0.721 between telephony and broadband customers based on Pyür's data. Given that 500 broadband subscribers were reported in the VATM, the estimated number of telephony subscribers is calculated as follows:
500 × 0.721 = 360.5</t>
  </si>
  <si>
    <t>Estimate Revenue: Subscriber estimate * Pyür ARPU: VATM Report 2022, p.13.; To estimate the number of subscribers for NetCologne, we applied a ratio of 0.721 between telephony and broadband customers based on Pyür's data. Given that 500 broadband subscribers were reported in the VATM, the estimated number of telephony subscribers is calculated as follows:
500 × 0.721 = 360.5</t>
  </si>
  <si>
    <t>T-Mobile, formerly D1; Deutsche Post Telecom privatized and Telekom founded in 1995</t>
  </si>
  <si>
    <t>Source: 2012 Minitel GMN Snapshot. 2012 update provided by editors. Mobile networks started on June 30, 1992 in Germany. Sources
for market shares: Bundesnetzagentur, Annual reports of the mobile network operators. Sources for total revenue: VATM (number for 2008),
Bundesnetzagentur (numbers for 2000, 2004), Solon (1996), estimation by the revenue of D2 (1992). No figure for revenue in 1992, because
mobile telephony only started in June 1992 in Germany.; formerly D2, UK</t>
  </si>
  <si>
    <t>E-Plus</t>
  </si>
  <si>
    <t xml:space="preserve">E-Plus </t>
  </si>
  <si>
    <t>(Netherlands)</t>
  </si>
  <si>
    <t>Telefonica (Spain; O2 formerly Viag Interkom)</t>
  </si>
  <si>
    <t>Deutsche Telekom (T-Mobile, formerly D1)</t>
  </si>
  <si>
    <t>Vodafone (formerly D2, UK)</t>
  </si>
  <si>
    <t>E-Plus (Netherlands)</t>
  </si>
  <si>
    <t>Deutsche Telekom, Congstar</t>
  </si>
  <si>
    <t>Source Revenue: DT IR BackUp Q4/2020, p.24.</t>
  </si>
  <si>
    <t>Telefonica</t>
  </si>
  <si>
    <t>Source Revenue: Annual report 2020, p.20/21</t>
  </si>
  <si>
    <t>Source Revenue: VATM 2019, p.24</t>
  </si>
  <si>
    <t xml:space="preserve">Freenet </t>
  </si>
  <si>
    <t>Freenet</t>
  </si>
  <si>
    <t>Source Revenue: Annual report 2020, p.148</t>
  </si>
  <si>
    <t xml:space="preserve">1&amp;1 Drillisch </t>
  </si>
  <si>
    <t>Source Revenue: VATM 2020, p.24</t>
  </si>
  <si>
    <t>Source Revenue: Annual report 2020, p.4</t>
  </si>
  <si>
    <t>Estimated Service Revenue Vodafone = 4653,99 (23,3%) ; Other Total Wireless revenue (VATM) = 5700, TR Vodafone = 4653,99 + 0,233*5700 = 1328,1</t>
  </si>
  <si>
    <t>Source Revenue: Annual report 2021, p.147</t>
  </si>
  <si>
    <t>Estimate Based on VATM: 1&amp;1 Service Revenue 2020 = 1422,37 (7,12%) ; Other Revenue in Sector = 5700; TR = 1422,37 + 5700*0,0712 = 1828,21</t>
  </si>
  <si>
    <t>Source Reveue: DT IR BackUp Q4/2022, p.24</t>
  </si>
  <si>
    <t>Source Revenue: Annual report 2022, p.23</t>
  </si>
  <si>
    <t>Vodafone Service Revenue = 5056 based on Vodafone Group Plc Additional Information FY 2022, Segmental analysis:  ; TR Other Revenue in Wireless sector (VATM 2021, p.23) = 5700 and marketshare in the VATM of Vodafone is 0,25; Combined: 5056+5700*0,25 = 6481</t>
  </si>
  <si>
    <t xml:space="preserve">Source Revenue: Annual report 2022, p. 129,  </t>
  </si>
  <si>
    <t>Estimate bases on VATM: 1&amp;1 2021 = 1479,32 (7,28% of Total Service Revenue),TR Other Total  Revenues (VATM) = 5600 (in Millions); 5600*0,0728 = 407,68; 1479,32 + 407,68 = 1887</t>
  </si>
  <si>
    <t>Source Revenue: DT IR BackUp Q4/2022, p.24</t>
  </si>
  <si>
    <t>Source Revenue: Annual report 2023, p.97</t>
  </si>
  <si>
    <t>Vodafone Service Revenue = 5124 based on Vodafone Group Plc Additional Information FY 2022, Segmental analysis:  ; TR Other Revenue in Wireless sector (VATM) = 5900 and marketshare in the VATM of Vodafone is 0,251; Combined: 5124+5400*0,251 = 6.529,60</t>
  </si>
  <si>
    <t>Source Revenue: Annual report 2022, p.129</t>
  </si>
  <si>
    <t>Estimate based on VATM: estimate that 1&amp;1 has marketshare of 0,0715 Mobile Service revenue 1&amp;1 = 1493,87 (7,15% Service TR); Other Revenue in Mobile sector (VATM 2022) = 5900, 5900*0,0715 = 421,85, Total Revenue Wireless = 1493,87 + 421,85 = 1915,72</t>
  </si>
  <si>
    <t>Source Revenue: DT IR BackUp Q4/2023, p.24</t>
  </si>
  <si>
    <t>Source Revenue: Vodafone Group Plc, Additional Information Q3 FY24 Sheet 03 Segmential results</t>
  </si>
  <si>
    <t>Source Revenue: Annual report 2023, p.29</t>
  </si>
  <si>
    <t>Based on the increase of 4,5 percent in mobile contracts in 2023 of 1&amp;1. Annual report 2023, Data and Facts, p.0</t>
  </si>
  <si>
    <t>ISP</t>
    <phoneticPr fontId="4" type="noConversion"/>
  </si>
  <si>
    <t xml:space="preserve"> </t>
  </si>
  <si>
    <r>
      <rPr>
        <b/>
        <sz val="12"/>
        <color theme="1"/>
        <rFont val="Times New Roman"/>
        <family val="1"/>
      </rPr>
      <t>ISP</t>
    </r>
    <r>
      <rPr>
        <sz val="12"/>
        <color theme="1"/>
        <rFont val="Times New Roman"/>
        <family val="1"/>
      </rPr>
      <t xml:space="preserve">: Internet access services, including broadband and dial-up, using wireline, cable, satellite, or fixed point-to-point wireless connections. In general, the sector does not include “mobile data” or mobile Internet access. However, in some countries, this sector may include “mobile data/Internet” and if this is the case, then indicate as much in the note to this sector. In the “Sub-sector” column, if possible, please indicate which of the following categories best describes each firm’s activities: Telco (e.g. a legacy telecoms/telephone company), Cableco (i.e. a legacy cable company) or Indy ISP (i.e. an independent ISP that either builds, owns and controls its own network infrastructure or purchases wholesale network access from either an incumbent telephone or cable company’s network and bandwidth in order to provide a retail level Internet access service). Insofar as possible, the revenue figure for this should not include rental income or fees/taxes in the revenue. This will depend on the reporting practices in your country. 
</t>
    </r>
  </si>
  <si>
    <t>Arcor (Vodafone, UK)</t>
  </si>
  <si>
    <t>Source: PricewaterhouseCoopers (2010)</t>
  </si>
  <si>
    <t>1&amp;1 (United Internet)</t>
  </si>
  <si>
    <t>Source: 2012: Statista. 2012, for updates provided by editors. Bundesnetzagentur Jahresbericht 2011, 77.</t>
  </si>
  <si>
    <t>Alice (Hansenet)</t>
  </si>
  <si>
    <t>Versatel</t>
  </si>
  <si>
    <t>Versatel (US)</t>
  </si>
  <si>
    <t>Source Revenue: DT IR BackUp Q4/2019, p.33; Broadband Customer Revenue</t>
  </si>
  <si>
    <t>Estimate Revenue: Subscribers*Average ARPU 2019, FY 2020, Spreadsheet,sheet 07,  https://investors.vodafone.com/performance/financial-results-and-presentations</t>
  </si>
  <si>
    <t>Vodafone Germany</t>
  </si>
  <si>
    <t>Estimate Revenue:Subscribers*Average ARPU 2019, FY 2020, Spreadsheet - sheet 07, https://investors.vodafone.com/performance/financial-results-and-presentations</t>
  </si>
  <si>
    <t>Source Revenue: Annual report 2020, p.16</t>
  </si>
  <si>
    <t>Telcp</t>
  </si>
  <si>
    <t>Source Revenue: Annual report, 2020, p.116/117</t>
  </si>
  <si>
    <t>Ewe TEL</t>
  </si>
  <si>
    <t>Cableco</t>
  </si>
  <si>
    <t>Estimate Revenue: Subscribers VATM*Average ARPU 2019,  VATM 22. 2020,p.13</t>
  </si>
  <si>
    <t xml:space="preserve">Tele Columbus </t>
  </si>
  <si>
    <t>Pyür</t>
  </si>
  <si>
    <t>Source Revenue: Annual report Tele Columbus 2020, p.3</t>
  </si>
  <si>
    <t xml:space="preserve">Mnet Telecommunications </t>
  </si>
  <si>
    <t>Estimate Revenue: Subscribers VATM*Avereage ARPU 2019*12,  VATM 22. 2020,p.13</t>
  </si>
  <si>
    <t xml:space="preserve">Net Cologne </t>
  </si>
  <si>
    <t>Net Cologne</t>
  </si>
  <si>
    <t>Estimate Revenue: Subscribers*Average ARPU 2019*12, https://www.stadtwerkekoeln.de/aktuell/jahresbilanz-netcologne-2020-anhaltendes-wachstum-und-stabiles-netz-fuer-koeln-und-die-region, lastly accessed 5.12.23.</t>
  </si>
  <si>
    <t>Source Revenue: DT IR BackUp Q4/2020, p.24, Broadband Customer Revenues</t>
  </si>
  <si>
    <t>Estimate Revenue: Average Subscribers*Average ARPU 2020*12, FY 2020, Spreadsheet - sheet 07, https://investors.vodafone.com/performance/financial-results-and-presentations</t>
  </si>
  <si>
    <t>Estimate Revenue: Average Subscribers 2020*Average ARPU 2020*12, Annual report 1&amp;1 2020, p.16</t>
  </si>
  <si>
    <t xml:space="preserve">Telefonica Germany </t>
  </si>
  <si>
    <t>Source Revenue: Annual report 2020, p.116/117</t>
  </si>
  <si>
    <t xml:space="preserve">EWE TEL </t>
  </si>
  <si>
    <t>Estimate Revenue: Subscribers VATM* Average ARPU 2020*12, VATM 22. 2020,p.13</t>
  </si>
  <si>
    <t>Estimate Revenue: Internet RGUs*ARPU Internet and Telephony per RGUs*12, Annual report 2020, p.3</t>
  </si>
  <si>
    <t>Estimate Revenue: VATM subscribers*Average ARPU 2020*12, , VATM 22.  2020,p.13</t>
  </si>
  <si>
    <t>State owned LLc</t>
  </si>
  <si>
    <t>Estimate Revenue: Broadband-subscribers*Average ARPU 2020*12, https://www.stadtwerkekoeln.de/aktuell/jahresbilanz-netcologne-2020-anhaltendes-wachstum-und-stabiles-netz-fuer-koeln-und-die-region, lastly accessed 5.12.23.</t>
  </si>
  <si>
    <t>Source Revenue: DT IR BackUp Q4/2021, p.24, Broadband Customer Revenues</t>
  </si>
  <si>
    <t>Estimate Revenue: Average subscribers*Average ARPU 2021*12,  FY 2022, Spreadsheet - sheet 08, https://investors.vodafone.com/performance/financial-results-and-presentations</t>
  </si>
  <si>
    <t>Estimate Revenue: Broadband Contracts 2021*Average ARPU 2021*Contracts 2021)*12, Annual report 2021, p.49</t>
  </si>
  <si>
    <t>Source Revenue: Annual report 2022, p.94</t>
  </si>
  <si>
    <t>Estimate Revenue: Subscribers VATM*Average ARPU 2021*12,VATM 23.2021,p.12</t>
  </si>
  <si>
    <t>HL Komm Telekommunikations GmbH</t>
  </si>
  <si>
    <t>Estimate Revenue: (RGUs Internet*ARPU Internet and Telephony per RGU)*12, Annual report 2022, p.12</t>
  </si>
  <si>
    <t>Estimate Revenue: Subscriber VATM*Average ARPU 2021*12,VATM 23. 2021,p.12</t>
  </si>
  <si>
    <t>Deutsche Glasfaser Business GmbH</t>
  </si>
  <si>
    <t>IndyISP</t>
  </si>
  <si>
    <t>Estimate Revenue: Subscribers VATM*Average ARPU 2021*12,VATM 23. 2021,p.12</t>
  </si>
  <si>
    <t>Estimate Revenue: (Broadband-subscribers*Average ARPU 2021)*12, https://netcologne-unternehmen.de/jahresbilanz-2021-netcologne-gruppe-waechst-profitabel-und-wird-gruen-mehr-glasfaser-fuer-koeln-und-die-region/</t>
  </si>
  <si>
    <t>Source Revenue: DT IR BackUp Q4/2022, p.24 Broadband Customer Revenues</t>
  </si>
  <si>
    <t>Estimate Revenue: Average Subscribers*Average ARPU 2022*12,FY 2022, Spreadsheet - sheet 08, https://investors.vodafone.com/performance/financial-results-and-presentations</t>
  </si>
  <si>
    <t xml:space="preserve">Estimate Revenue: Broadband Contracts 2022*Average ARPU 2022*12, Annual report 2022, p.61. </t>
  </si>
  <si>
    <t>Estimate Revenue: Subscribers VATM*Average ARPU 2022**12, VATM 24. 2022,p.13</t>
  </si>
  <si>
    <t>Estimate Revenue: RGUs Internet*ARPU Internet and Telephony per RGU*12, Annual report Tele Columbus 2022, p.12</t>
  </si>
  <si>
    <t>Estimate Revenue: Subscribers VATM*Average ARPU 2022*12, VATM 24. 2022,p.13</t>
  </si>
  <si>
    <t>Estimate Revenue: Subscribers VATM*Average ARPU 2022*12,VATM 24.2022,p.13</t>
  </si>
  <si>
    <t>Estimate Revenue:Broadband-connections*Average ARPU 2022*12, https://www.koeln.de/aktuelles/jahresbilanz-2022-netcologne-ergebnis-8917/#:~:text=F%C3%BCr%20NetCologne%20verlief%20das%20Jahr,auf%2022%2C9%20Millionen%20Euro.&amp;text=NetCologne%20schlie%C3%9Ft%20das%20Jahr%202022%20mit%20einer%20positiven%20Bilanz%20ab., lastly accessed 5.12.2023</t>
  </si>
  <si>
    <t>Source Revenue: DT IR BackUp Q4/2023; p.24</t>
  </si>
  <si>
    <t>Esrimate Revenue: Subscriber*Average ARPU 2023; Vodafone Group Plc
Additional Information FY 2024, Average Fixed Broadband Customers</t>
  </si>
  <si>
    <t>Estimate Revenue: Broadband Contracts 2023*Average ARPU (24,945)*12; Annual Report United Internet 2023</t>
  </si>
  <si>
    <t>Source Revenue: Annual Report/Zusammengefasster Lagebericht p.23; Fixed Services Customers*ARPU*12</t>
  </si>
  <si>
    <t>Estimate Revenue: Broadband Subscribers*Average ARPU 2023*12, https://www.connect.de/vergleich/festnetztest-2023-breitband-anbieter-internet-speed-vergleich-test-regionale-anbieter-m-net-ewe-tel-pyur-tele-columbus-3203907-9727.html; lastly accessed 24.02.25</t>
  </si>
  <si>
    <t>Source Revenue: Annual Report 2023; RGUs*ARPU*12</t>
  </si>
  <si>
    <t>Estimate Revenue: VATM Subscribers*Average ARPU 2023; VATM 2023, p.12</t>
  </si>
  <si>
    <t>Estimate Revenue: Subscribers*Average ARPU 2023 (24,945)*12;  https://netcologne-unternehmen.de/jahresbilanz-2023-netcologne-gruppe-steigert-erneut-ergebnis-umsatz-und-kundenzahl/, lastly accessed 24.02.2025</t>
  </si>
  <si>
    <t>ZDF</t>
  </si>
  <si>
    <t>ZDF, ZDFneo, ZDFinfo, Arte, kika</t>
  </si>
  <si>
    <t>Public owned</t>
  </si>
  <si>
    <t>https://www.zdf.de/zdfunternehmen/2020-jahrbuch-finanzen-jahresabschluss-100.html</t>
  </si>
  <si>
    <t>ARD</t>
  </si>
  <si>
    <t>Das Erste, Norddeutscher Rundfunk. 
Radio Bremen. Westdeutscher Rundfunk, Hessischer Rundfunk, Saarländischer Rundfunk, Südwest-Rundfunk, Rundfunk Berlin-Brandenburg, Mitteldeutscher Rundfunk,
Bayerischer Rundfunk</t>
  </si>
  <si>
    <t>Das Erst, 3Sat, ARD, BR Fernsehen, HR Fernsehen, MDR, NDR, Radio Bremen TV,
 rbb Fernsehen, SR, SWR Fernsehen Baden Würtenberg, SWR Fernsehen Rheinland Pfalz, WDR ARD alpha, Tagesschau24, Kika, phoenix</t>
  </si>
  <si>
    <t>Public Owned</t>
  </si>
  <si>
    <t>Total GEZ for ARD = 5828,99, Share Radio = 1268,4 (21,76%), Share Multimedia = 553,75(9,9%) Share Rest = Share TV = 3985,86 (68,38%) Source: Rundfunkbeitrag Annual report 2019, p.11;
Source Distribution of GEZ: https://www.ard.de/die-ard/organisation-der-ard/Verwendung-des-Rundfunkbeitrags-100/; these numbers are the averages of 2022/23, which means that in 2019 they most likely deviate since the Multimedia sector was expanded by ARD. However, we could not find any data for the distribution for the other years. That is why we used the distribution for all years.
ARDs total revenue consists of 86% of the GEZ.  5% are Advertisment and Sponsoring revenue, 9% are other Revenue like liscenscing. This leads to:  3985,86/0,86 = 4634,72
Source revenue composition: https://www.ard.de/die-ard/organisation-der-ard/Finanzen-der-ARD-Einnahmen-und-Ausgaben-100/; or ARD Website; lastly accessed at 25.04. The numbers are for the year 2022, since we could not find any other data we used the compositionfrom 2019 - 2023</t>
  </si>
  <si>
    <t>ProSiebenSat.1 Media</t>
  </si>
  <si>
    <t>Pro7, Sat.1, Kabel Eins, Pro7 Max
x, Sat.1 Gold, Kabel Eins Doku, ProSieben Fun, Sat.1 emotions, Kabel Eins classic</t>
  </si>
  <si>
    <t>Advertisement Revenue DACH = 2030,04, TR Austria  = 178,17 (Estimated on growth rate) , Swizerland = n/a, TR Germany (+Swizerland) = 1801, Sources: Annual report 2020, p.148 + https://www.derstandard.at/story/2000137755018/oesterreichs-groesste-medienhaeuser-2022-gis-riese-orf</t>
  </si>
  <si>
    <t xml:space="preserve">RTL </t>
  </si>
  <si>
    <t>RTL Germany</t>
  </si>
  <si>
    <t>RTL, Vox, RTL Zwei, Nitro, NTV, RTL Up, Vox Up, Super RTL, Toggo Plus, NOW!,
 RTL Crime, RTL Passion, RTL Living, GEO</t>
  </si>
  <si>
    <t>TR Germany RTL Group = 2133, TV-Share of revenue = 44,2%, RTL Group Annual report 2019, p.55-56</t>
  </si>
  <si>
    <t>The audience share data for Warner Bros. Discovery suggests that the company could account for more than 1% of the total revenue. However, we were unable to find reliable data to accurately estimate its revenues. As a result, we have classified this revenue under "Other." It is important to note, though, that their stations have a relatively small audience share of just 3.1% in 2022.
In Germany, the largest share of revenue for broadcasters comes from the GEZ (public broadcasting fees), rather than advertising revenue. Therefore, Warner Bros. Discovery's share of total revenue will likely be smaller than their audience share of 3.1%, as non-publicly funded companies generally have a lower revenue share compared to their audience share</t>
  </si>
  <si>
    <t>https://www.zdf.de/zdfunternehmen/2022-jahrbuch-finanzen-jahresabschluss-100.html</t>
  </si>
  <si>
    <t>Das Erste
Norddeutscher Rundfunk
Radio Bremen
Westdeutscher Rundfunk
Hessischer Rundfunk
Saarländischer Rundfunk
Südwest-Rundfunk
Rundfunk Berlin-Brandenburg
Mitteldeutscher Rundfunk
Bayerischer Rundfunk</t>
  </si>
  <si>
    <t>Total GEZ for ARD = 5859,29, Share Radio = 1274,98 (21,76%), Share Multimedia = 580,07 (9,9%) Share TV = 3986,07 (68,38%) Source:Rundfunkbeitrag Annual report 2020, p.11
Source Distribution of GEZ: https://www.ard.de/die-ard/organisation-der-ard/Verwendung-des-Rundfunkbeitrags-100/; these numbers are the averages of 2022/23, which means that in 2019 they most likely deviate since the Multimedia sector was expanded by ARD. However, we could not find any data for the distribution for the other years. That is why we used the distribution for all years.
ARDs total revenue consists of 86% of the GEZ.  5% are Advertisment and Sponsoring revenue, 9% are other Revenue like liscenscing. This leads to:  3986/0,86 = 4634,96
Source revenue composition: https://www.ard.de/die-ard/organisation-der-ard/Finanzen-der-ARD-Einnahmen-und-Ausgaben-100/; or ARD Website; lastly accessed at 25.04. The numbers are for the year 2022, since we could not find any other data we used the compositionfrom 2019 - 2023</t>
  </si>
  <si>
    <t>Advertisement Revenue DACH = 1961, TR Austria  = 160, Swizerland = n/a, TR Germany (+Swizerland) = 1801, Sources: Annual report 2020, p.148 + https://www.derstandard.at/story/2000137755018/oesterreichs-groesste-medienhaeuser-2022-gis-riese-orf</t>
  </si>
  <si>
    <t>RTL, Vox, RTL Zwei, Nitro, NTV, RTL Up, Vox Up, Super RTL, Toggo Plus, NOW!, 
RTL Crime, RTL Passion, RTL Living, GEO</t>
  </si>
  <si>
    <t>TR TV advertisement RTL 2020 = 2636, Germany share of TR 2020 = 33,8%, TRL Group annual report 2021, p.62</t>
  </si>
  <si>
    <t>Financial report 2022;https://www.zdf.de/zdfunternehmen/2022-jahrbuch-finanzen-jahresabschluss-100.html</t>
  </si>
  <si>
    <t>Das Erste, Norddeutscher Rundfunk.
 Radio Bremen. Westdeutscher Rundfunk, Hessischer Rundfunk, Saarländischer Rundfunk, Südwest-Rundfunk, Rundfunk Berlin-Brandenburg, Mitteldeutscher Rundfunk,
Bayerischer Rundfunk</t>
  </si>
  <si>
    <t>Das Erste, 3Sat, ARD, BR Fernsehen, HR Fernsehen, MDR, NDR, Radio Bremen TV, 
rbb Fernsehen, SR, SWR Fernsehen Baden Würtenberg, SWR Fernsehen Rheinland Pfalz, WDR ARD alpha, Tagesschau24, Kika, phoenix</t>
  </si>
  <si>
    <t>Total GEZ for ARD = 6058,6, Share Radio = 1318,351 (21,76%), Share Multimedia = 599,8 (9,9%); Share TV = 4142,87 (68,38%), Source: Rundfunkbeitrag Annual report 2021, p.11
Source Distribution of GEZ: https://www.ard.de/die-ard/organisation-der-ard/Verwendung-des-Rundfunkbeitrags-100/; these numbers are the averages of 2022/23, which means that in 2019 they most likely deviate since the Multimedia sector was expanded by ARD. However, we could not find any data for the distribution for the other years.
ARDs total revenue consists of 86% of the GEZ.  5% are Advertisment and Sponsoring revenue, 9% are other Revenue like liscenscing. This leads to:  4006,58/0,86 = 4817,29
Source revenue composition: https://www.ard.de/die-ard/organisation-der-ard/Finanzen-der-ARD-Einnahmen-und-Ausgaben-100/; or ARD Website; lastly accessed at 25.04. The numbers are for the year 2022, since we could not find any other data we used the composition from 2019 - 2023</t>
  </si>
  <si>
    <t>Pro7, Sat.1, Kabel Eins, Pro7 Max
x, Sat.1 Gold, Kabel Eins Doku, ProSieben Fun, Sat.1 emotions, Kabel Eins classic"</t>
  </si>
  <si>
    <t>Advertisement Revenue DACH = 2233, TR Austria  = 173,3, Swizerland = n/a, TR Germany (+Swizerland) = 2059,7, Sources: Annual report 2022, p.160 + https://www.derstandard.at/story/2000137755018/oesterreichs-groesste-medienhaeuser-2022-gis-riese-orf</t>
  </si>
  <si>
    <t>TR RTL TV Advertisement = 3057, Germany share of TR = 33,8%, Annual report RTL Group 2022, p.64</t>
  </si>
  <si>
    <t>Financial report 2022https://www.zdf.de/zdfunternehmen/2023-jahrbuch-finanzen-jahresabschluss-100.html</t>
  </si>
  <si>
    <t>Total GEZ for ARD = 6128  Share Radio = 1333,45  (21,76%), Share Multimedia =  582,16 (9,9%) Share TV = 4190,32 (68,38%), Source: Rundfunkbeitrag Annual report 2022, p.11.;
Source Distribution of GEZ: https://www.ard.de/die-ard/organisation-der-ard/Verwendung-des-Rundfunkbeitrags-100/; these numbers are the averages of 2022/23, which means that in 2019 they most likely deviate since the Multimedia sector was expanded by ARD. However, we could not find any data for the distribution for the other years.
ARDs total revenue consists of 86% of the GEZ.  5% are Advertisment and Sponsoring revenue, 9% are other Revenue like liscenscing. This leads to:  4190,327/0,86 = 4872,47
Source revenue composition: https://www.ard.de/die-ard/organisation-der-ard/Finanzen-der-ARD-Einnahmen-und-Ausgaben-100/; or ARD Website; lastly accessed at 25.04. The numbers are for the year 2022, since we could not find any other data we used the composition from 2019 - 2023</t>
  </si>
  <si>
    <t>Advertisement Revenue DACH = 2083, TR Austria  = 175, Swizerland = n/a, TR Germany (+Swizerland) = 1908, Sources: Annual report 2022, p.160 + https://www.derstandard.at/story/2000137755018/oesterreichs-groesste-medienhaeuser-2022-gis-riese-orf</t>
  </si>
  <si>
    <t>TR RTL TV Advertisement =2923, Germany share of TR = 36,1%, Annual report RTL Group 2022, p.64</t>
  </si>
  <si>
    <t xml:space="preserve">Source Revenue: ZDF Haushaltsplan 2024; https://www.zdf.de/unternehmen/organisation/publikationen/zdf-jahrbuch/2023-jahrbuch-finanzen-haushaltsplan-100.html; </t>
  </si>
  <si>
    <t>Total GEZ for ARD = 6455,71  Share Radio = 1404,76  (21,76%), Share Multimedia =  582,16 (9,9%) Share TV = 4414,41 (68,38%), Source: Rundfunkbeitrag Annual report 2023, p.11.;
Source Distribution of GEZ: https://www.ard.de/die-ard/organisation-der-ard/Verwendung-des-Rundfunkbeitrags-100/; these numbers are the averages of 2022/23, which means that in 2019 they most likely deviate since the Multimedia sector was expanded by ARD. However, we could not find any data for the distribution for the other years.
ARDs total revenue consists of 86% of the GEZ.  5% are Advertisment and Sponsoring revenue, 9% are other Revenue like liscenscing. This leads to:  4414,41/0,86 = 4872,47
Source revenue composition: https://www.ard.de/die-ard/organisation-der-ard/Finanzen-der-ARD-Einnahmen-und-Ausgaben-100/; or ARD Website; lastly accessed at 25.04. The numbers are for the year 2022, since we could not find any other data we used the composition from 2019 - 2023</t>
  </si>
  <si>
    <t>Estimate: Based on 7% decrease in Advertisement revenue from 2022 - 2023, Annual report 2023, p.155, https://www.prosiebensat1.com/files/2024/03/06/2a0695cc-98d6-41e5-b744-f09d9de6578d.pdf; lastly accessed 15.04.25</t>
  </si>
  <si>
    <t>Estimate revenue: RTL Toral Revenue = 6234; TV advertisment has a 38% share of the TR. Germanies share of the Revenue = 38,7% It follows: 6234*0,38*0,387 = 916,77; Source Annual Report RTL, p.2-3 &amp; 65</t>
  </si>
  <si>
    <t>Amazon</t>
  </si>
  <si>
    <t xml:space="preserve">Amazon </t>
  </si>
  <si>
    <t>Amazon Prime Video</t>
  </si>
  <si>
    <t>Source Subscriber: : European Audiovisual Observatory based on data by Ampere Analysis; Yearbook 2022. 
Since Prime Video is usually sold within a Bundle of goods, such as faster Delivery, Prime Music, Prime Reading it is hard to determine how to weight its revenue relative to the revenue of the other services. 
The price for a prime subscription peryear in 2021 was 69 Euro until August.  I decided to choose the yearly subscription since special offers, like students discounts reduces the ARPU while monthly subscription plans might increase it.  Euro, but what part can be attributed to Prime Video? I personally, can not think about a reasonable method to estimate it. However, I argue that it is fair to assume that Prime Video is combined with the faster delivery the biggest selling point for prime video. Most of the Streaming Services news and statistics treat prime users as video users. However, on the revenue level this might not be possible. I suggest to ascribe something between 30 and 40%  to the Total Revenue to Prime Video. I calculated with 40%. This is only an educated guess and definitely can be challenged. Following: 75,97*12117*0,4 = 368,21
Source: https://www.techbook.de/shop-pay/shops-marktplaetze/amazon-prime-abo-preiserhoehung?; lastly accessed 2.4.25</t>
  </si>
  <si>
    <t xml:space="preserve"> Walt Disney</t>
  </si>
  <si>
    <t>Disney</t>
  </si>
  <si>
    <t>Disney+</t>
  </si>
  <si>
    <t>Source Subscriber: : European Audiovisual Observatory based on data by Ampere Analysis; Average of Yearbook 2022.
Disney+ subscription price in 2021 was 6,99 until February. Then it increased to 8,99. This gives an average yearly monthly price of 8,66. 
Source: https://www.dealdoktor.de/magazin/disney-plus-streamingdienst/?, lastly accessed 2.4.25</t>
  </si>
  <si>
    <t>DAZN</t>
  </si>
  <si>
    <t>Source Subscriber: : European Audiovisual Observatory based on data by Ampere Analysis; Yearbook 2022.; Source Revenue: Annual Report DAZN GmbH:https://www.bundesanzeiger.de/pub/de/suchergebnis?33, lastly accessed 02.04.202</t>
  </si>
  <si>
    <t>Comcast</t>
  </si>
  <si>
    <t>SkyTicket</t>
  </si>
  <si>
    <t>Source Subscriber: : European Audiovisual Observatory based on data by Ampere Analysis; Yearbook 2022. The estimate again is quite difficult due to the different price and subscription models. There exist 4 packages: Sky Entertainment: 9,99; Sky Supersport: 29,99; Sky Entertainment and Cinema: 15. I estimated with an ARPU of 15 Euro. This is an educated guess. Sky is notorious for special offers and contracts to lower prices. 
Source prices: https://www.computerbild.de/artikel/cb-Tipps-Streaming-Sky-Ticket-Preise-und-Kategorien-in-der-uebersicht-31381379.html?</t>
  </si>
  <si>
    <t>Apple</t>
  </si>
  <si>
    <t>AppleTV+ &amp; Itunes</t>
  </si>
  <si>
    <t>Source Subscriber: : European Audiovisual Observatory based on data by Ampere Analysis; Yearbook 2022. Price 2021 was 4,99. It follows: 4,99*12*1338. Source price:https://www.techbook.de/streaming/anbieter/alle-infos-zu-apple-tv-plus
Since Prime Video is usually sold within a Bundle of goods, such as faster Delivery, Prime Music, Prime Reading it is har</t>
  </si>
  <si>
    <t>RTL Group</t>
  </si>
  <si>
    <t>RTL+</t>
  </si>
  <si>
    <t>Source Subscriber: : European Audiovisual Observatory based on data by Ampere Analysis; Yearbook 2022.  Estimate RTL Group annual report 2021, p.37 and 39 
RTL offered RTL+ for its German-speaking audience and Videoland for the Dutch market.  Thus, the revenue for Videoland is not Revenue generated in Germany. However, it must be stated that the indicated revenue includes Swizerland and Austria.
Average paying subscribers RTL Group 2021 = 2996,5
Average RTL+ subscribers 2021 = 1999
1999/2996,5 =0,667 
Total Streaming revenue 2021 = 223
Since the prices of Videoland and RTL Now are similar we estimate: 0,667*223 = 148,74</t>
  </si>
  <si>
    <t>ProSiebenSat.1.Media</t>
  </si>
  <si>
    <t>Joyn GmbH</t>
  </si>
  <si>
    <t>Source Subscriber: : European Audiovisual Observatory based on data by Ampere Analysis;  2022 was taken.; Source Revenue: Annual Report Joyn GmbH: https://www.bundesanzeiger.de/pub/de/suchergebnis?25m, lastly accessed 02.04.2025</t>
  </si>
  <si>
    <t xml:space="preserve">Netflix </t>
  </si>
  <si>
    <t>Netflix</t>
  </si>
  <si>
    <t>Source ARPU: Netflix, Inc. (2024). Annual report for the fiscal year ended December 31, 2023 (p. 21). U.S. Securities and Exchange Commission.; Source Subscriber: Source: European Audiovisual Observatory based on data by Ampere Analysis; Average of Yearbook 2022 and 2023 was taken.ARPU*Subscribers*12</t>
  </si>
  <si>
    <t>Source Subscriber: Source: European Audiovisual Observatory based on data by Ampere Analysis; Average of Yearbook 2022 and 2023 was taken. 
. Since Prime Video is usually sold within a Bundle of goods, such as faster Delivery, Prime Music, Prime Reading it is hard to determine how to weight its revenue relative to the revenue of the other services. 
The price for a prime subscription peryear in 2022 was 69 Euro until August and starting from September 89,9. Calculating (8*69 + 4*89.9)/12 is equal to 75,97, which I took as the ARPU. I decided to choose the yearly subscription since special offers, like students discounts reduces the ARPU while monthly subscription plans might increase it.  Euro, but what part can be attributed to Prime Video? I personally, can not think about a reasonable method to estimate it. However, I argue that it is fair to assume that Prime Video is
combined with the faster delivery the biggest selling point for prime video. Most of the Streaming Services news and statistics treat prime users as video users. However, on the revenue level this might not be possible. I suggest to ascribe something between 30 and 40%  to the Total Revenue to Prime Video. I calculated with 40%. This is only an educated guess and definitely can be challenged. Following: 75,97*12117*0,4 = 368,21
Source: https://www.techbook.de/shop-pay/shops-marktplaetze/amazon-prime-abo-preiserhoehung?; lastly accessed 2.4.25</t>
  </si>
  <si>
    <t>Source Subscriber: Source: European Audiovisual Observatory based on data by Ampere Analysis; Average of Yearbook 2022 and 2023 was taken. 
Price Disney+ 2022 8,99 Euro. Estimate: 8,99*12*5149 = 555,47 
Source: https://www.moviepilot.de/news/disney-erhoeht-die-preise-in-deutschland-die-3-neuen-abo-modelle-erklaert-1142847?, lastly accessed 2.04.25</t>
  </si>
  <si>
    <t xml:space="preserve">Source Subscriber: Source: European Audiovisual Observatory based on data by Ampere Analysis; Average of Yearbook 2022 and 2023 was taken. DAZN changed ist pricing system in 1.2.2022 from 149,99 to 274,99. 
Exisitng customers keept the original price until June of the year. To implement this in our estimates I assumed that all the customers in 2021 remained (1725, cell U708) and thus paid the lower price until June and that the new customers 2172 - 1725 = 402 paid the new higher price. Furthermore, I still only considered the yearly subscription price. Thus: 
</t>
  </si>
  <si>
    <t>Source Subscriber: Source: European Audiovisual Observatory based on data by Ampere Analysis; Average of Yearbook 2022 and 2023 was taken.
The estimate again is quite difficult due to the different price and subscription models. There exist 4 packages: Sky Entertainment: 9,99; Sky Supersport: 29,99; Sky Entertainment and Cinema: 15. I estimated with an ARPU of 15 Euro. This is an educated guess. Sky is notorious for special offers and contracts to lower prices. 
Source: https://praxistipps.chip.de/sky-ticket-wow-preise-im-ueberblick_92491?, lastly accessed 2.4.2025</t>
  </si>
  <si>
    <t>AppleTV+</t>
  </si>
  <si>
    <t xml:space="preserve">Source Subscriber: Source: European Audiovisual Observatory based on data by Ampere Analysis; Average of Yearbook 2022 and 2023 was taken.; https://matthesv.de/apple-tv-kosten/?, lastly accessed 2.4.2025
Until October APPle TVs price per month was 4,99 afterwards 6,99. This yields an average price of 5,49. It follows: 5,49*12*1693
</t>
  </si>
  <si>
    <t>Source Subscriber: Source: European Audiovisual Observatory based on data by Ampere Analysis; Average of Yearbook 2022 and 2023 was taken.;  Revenue was retrived from the Annual report found in the:https://www.unternehmensregister.de/ureg/index.html?dest=ureg&amp;language=de</t>
  </si>
  <si>
    <t>Source Subscriber: Source: European Audiovisual Observatory based on data by Ampere Analysis; Average of Yearbook 2022 and 2023 was taken.; Revenue was retrived from the Annual financial statement for the fiscal year from January 1, 2023, to December 31, 2023 pf Joyn GmbH the:https://www.unternehmensregister.de/ureg/index.html?dest=ureg&amp;language=de</t>
  </si>
  <si>
    <t>Source Subscriber: Source: European Audiovisual Observatory based on data by Ampere Analysis; Average of Yearbook 2023 and 2024 was taken.; 
Since Prime Video is usually sold within a Bundle of goods, such as faster Delivery, Prime Music, Prime Reading it is hard to determine how to weight its revenue relative to the revenue of the other services. 
The price for a yearly prime subscription was 89,9 Euro. I decided to choose the yearly subscription since special offers, like students discounts reduces the ARPU while monthly subscription plans might increase it. But what part can be attributed to Prime Video? I personally, can not think about a reasonable method to estimate it. However, I argue that it is fair to assume that Prime Video is combined with the faster delivery the biggest selling point for prime video. Most of the Streaming Services news and statistics treat prime users as video users. However, on the revenue level this might not be possible. I suggest to ascribe something between 30 and 40%  to the Total Revenue to Prime Video. I calculated with 40%. This is only an educated guess and definitely can be challenged. Following: 13858*8,99*12*0,4 = 598</t>
  </si>
  <si>
    <t>Source ARPU: Netflix, Inc. (2024). Annual report for the fiscal year ended December 31, 2023 (p. 21). U.S. Securities and Exchange Commission.; Source Subscriber: Source: European Audiovisual Observatory based on data by Ampere Analysis; Average of Yearbook 2023 and 2024 was taken.ARPU*Subscribers*12</t>
  </si>
  <si>
    <t xml:space="preserve">Source Subscriber: European Audiovisual Observatory based on data by Ampere Analysis; Average of Yearbook 2023 and 2024 was taken.; 
Until 1.November of 2023 the price of Disney+ was 8,99 Euro. Afterwards Disney introduced different subscription models. I calculated with the 8,99 Euros for the whole year to ensure consistency in methodology. Source Prices: https://www.moviepilot.de/news/disney-erhoeht-die-preise-in-deutschland-die-3-neuen-abo-modelle-erklaert-1142847
</t>
  </si>
  <si>
    <t>RTL</t>
  </si>
  <si>
    <t>Source Subscriber: RTL Annual Report 2023, p.70; https://company.rtl.com/export/sites/rtlunited/.galleries/downloads/annual_reports/Annual-Report-2023.pdf; lastly accessed 26.03.2025 ; 
Estimate Revenue: Based on the Annual report Germanies share of Paying subscribers is equal to 4479/5600 = 0,8 = 80%; Total Streaming Revenue = 283 German Share = 283*0,8 = 226,4 Source Streaming Revenue and Total Paying Subscribers: Annual Report 2023, p.100; https://company.rtl.com/export/sites/rtlunited/.galleries/downloads/annual_reports/Annual-Report-2023.pdf</t>
  </si>
  <si>
    <t xml:space="preserve">Source Subscriber: Source: European Audiovisual Observatory based on data by Ampere Analysis; Average of Yearbook 2023 and 2024 was taken.
Estimate DAZN: The Estimate of DAZN's Revenue is a challenging one, since DAZN offers three different packages that are differing in prices and supplied video services. Furthermore, these are distinguished in subscription model, monthly and yearly. Lastly, DAZN had significant cheaper prices in the year before, customers who made their subscriptions in 2022 continued to pay their prices. For a more accurate calculation of ARPU, we need to consider the prices of the different subscription models DAZN offers in Germany:
Annual Subscription:
DAZN Unlimited: €34.99 per month
DAZN Super Sports: €19.99 per month
DAZN World: €9.99 per month
Monthly Subscriptions:
DAZN Unlimited: €44.99 per month
DAZN Super Sports: €24.99 per month
DAZN World: €11.99 per month 
While there is no clear data about the subscription splits. I propose to estimate the ARPU to firstly, use the Annual prices since it seems to be more popular than monthly subscriptions. However, more importantly it is expected that old contracts and special offers which are often given in such services drag the ARPU down, thus using the yearly ARPU balances out the lowering force of special offers and the increasing force of higher monthly subscription. Secondly, I propose to calculate with a  40 - 40 - 20 split the packages. This is only an educated guess. Based that DAZN Unlimited offers full access to Champions League which was definitely a driver for sales particularly in a Football nation like Germany. DAZN Super Sports excluded some mostly Football licenses and was more marketed towards sports fans such as combat, tennis, racing and others it seems to still enjoy popularity. DAZN World was a very watered down version of both Unlimited and Super Sports it did offer some matches, but not the big ones such as Champions League or UFC. It also did not survive and is not offered anymore. So I use as my proxy for ARPU: 34,99*(0,4)+19,99*(0,4)+9,99*(0,2) = 24,39. And then as a proxy for the total revenue: 2082*24,39*12 = 609,4 
As stated, these numbers are educated guesses. However, I believe that at least the area should be realistic. DAZN made in 2023 around 3000 billions of revenue in Euro. 600 billions would be 20% of that. Considering that Germany is one of DAZNs strongest markets due to their colaboration with the Bundesliga, that seems a possible share.
Source Prices: https://www.basicthinking.de/blog/2023/06/05/dazn-kosten-abo-2023/; Source Revenue: DAZN Annual Review, p.6 (Revenue was calculated into euros); https://dazngroup.com/company-reports/, lastly accessed 26.04.2025
</t>
  </si>
  <si>
    <t xml:space="preserve">Apple </t>
  </si>
  <si>
    <t>Apple TV</t>
  </si>
  <si>
    <t>Source Subscriber: Source: European Audiovisual Observatory based on data by Ampere Analysis; Average of Yearbook 2023 and 2024 was taken.
Estimate Revenue: The price for AppleTV+ in 2022 was until October 6,99 Euro starting from October the price was raised to 9,99 Euro. To estimate the ARPU I calculated 6,99*(2/3) + 9,99*(1/3) = 7,99. It is reasonable to assume that the real ARPU is lower. Since customers who had a subscription before October paid 6,99 until November until they were forced to pay 9,99. Furthermore, annual subscriptions that are cheaper and special offers should reduce the ARPU. However, I chose the 7,99 for the sake of consistent methodology. 
Source subscription prices: https://www.techbook.de/streaming/anbieter/apple-tv-plus-preiserhoehung-2023</t>
  </si>
  <si>
    <t xml:space="preserve">Source Subscriber: Source: European Audiovisual Observatory based on data by Ampere Analysis; Average of Yearbook 2023 and 2024 was taken.; Revenue was retrived from the Annual financial statement for the fiscal year from January 1, 2023, to December 31, 2023 pf Joyn GmbH the:https://www.unternehmensregister.de/ureg/index.html?dest=ureg&amp;language=de
</t>
  </si>
  <si>
    <t>Sky</t>
  </si>
  <si>
    <t>Sky Online; Sky Ticket; Now TV; WOW</t>
  </si>
  <si>
    <t>Source Subscriber: Source: European Audiovisual Observatory based on data by Ampere Analysis; Average of Yearbook 2023 and 2024 was taken.
The estimate again is quite difficult due to the different price and subscription models. There exist 4 packages: WOW Serien: 9,99; WOW Supersport: 29,99; WOW Series and Movies: 15. I estimated with an ARPU of 15 Euro. This is an educated guess. Since I could not find any information about the distribution.
Source: https://praxistipps.chip.de/sky-ticket-wow-preise-im-ueberblick_92491?, lastly accessed 2.4.2025</t>
  </si>
  <si>
    <t>Deutschlandradio</t>
  </si>
  <si>
    <t>Source revenue: Annual report GEZ,p.11; https://presse.rundfunkbeitrag.de/documents/jahresbericht-2019-97210; Source Audience Share: Quelle: AGF/GfK, KEK, BLM; Basis: Zuschauer ab 3 Jahre Medienvielfaltsmonitor 2019-II, p.22 (We calculated the average audience for 2019). 
companies. Deutschlandradio was in the 2019 report marked as ZDF, which was changed in the following reports. To assure data harmonization we named the ZDF share Deutschlandradio.</t>
  </si>
  <si>
    <t>Regiocast</t>
  </si>
  <si>
    <t xml:space="preserve">Source Audience Share: Quelle: AGF/GfK, KEK, BLM; Basis: Zuschauer ab 3 Jahre Medienvielfaltsmonitor 2019-II, p.22 (We calculated the average audience for 2019). 
To estimate the revenue we calculated: Advertisement revenue*Audience share. This methodology assumes that audience share translates into revenue share. Which is not optimal, but due to the given data limitations the best we could come up with. The total accumulated audience share exceeds 100% because the Medienvielfaltsmonitor attributes each radio station's audience share fully to every company holding at least a 25% ownership stake. In cases of co-ownership, each qualifying company is credited with the station's entire audience share, rather than a proportionate one. This results in overlapping counts and an aggregated total beyond 100%.
To ensure comparability in the revenue analysis, I normalized the data back to 100%. Specifically, I attributed the residual share of advertising revenue (i.e., total advertising market revenue minus the sum of all private companies’ revenue) to the "Other" or non-attributed segment. This adjustment ensures consistency between audience share and revenue distributions.
Any improvements are welcomed! 
</t>
  </si>
  <si>
    <t>Müller Medien</t>
  </si>
  <si>
    <t>Medien Union</t>
  </si>
  <si>
    <t>Burda</t>
  </si>
  <si>
    <t>Springer</t>
  </si>
  <si>
    <t>Nordwest-Zeitung</t>
  </si>
  <si>
    <t xml:space="preserve">NOZ-Medien  </t>
  </si>
  <si>
    <t>Bauer</t>
  </si>
  <si>
    <t>Annual Report GEZ 2020, p.11</t>
  </si>
  <si>
    <t>Source Audio Share: ma 2020 Audio II, KEK, BLM; Basis: Deutschsprachige Bevölkerung ab 14 Jahre To estimate the revenue we calculated: Advertisement revenue*Audience share for the private companies while excluding the Deutschlandradio and ARD since they are funded by the state. This methodology assumes that audience share translates into revenue share. Which is not optimal, but due to the given data limitations the best we could come up with. The total accumulated audience share exceeds 100% because the Medienvielfaltsmonitor attributes each radio station's audience share fully to every company holding at least a 25% ownership stake. In cases of co-ownership, each qualifying company is credited with the station's entire audience share, rather than a proportionate one. This results in overlapping counts and an aggregated total beyond 100%.
To ensure comparability in the revenue analysis, I normalized the data back to 100%. Specifically, I attributed the residual share of advertising revenue (i.e., total advertising market revenue minus the sum of all private companies’ revenue) to the "Other" or non-attributed segment. This adjustment ensures consistency between audience share and revenue distributions.
Any improvements are welcomed!
Medienvielfaltsmonitor 2020-II, p.22</t>
  </si>
  <si>
    <t>Nordwest-Medien</t>
  </si>
  <si>
    <t>Madsack</t>
  </si>
  <si>
    <t>Source and Estimation Revenue:Total GEZ for ARD = 6058,6, Share Radio = 1318,351 (21,76%), Share Multimedia = 599,8 (9,9%); Share TV = 4142,87 (68,38%), Source: Rundfunkbeitrag Annual report 2021, p.11
Source Distribution of GEZ: https://www.ard.de/die-ard/organisation-der-ard/Verwendung-des-Rundfunkbeitrags-100/; these numbers are the averages of 2022/23, which means that in 2019 they most likely deviate since the Multimedia sector was expanded by ARD. However, we could not find any data for the distribution for the other years.
ARDs total revenue consists of 86% of the GEZ.  5% are Advertisment and Sponsoring revenue, 9% are other Revenue like liscenscing. This leads to:  4006,58/0,86 = 4817,29
Source revenue composition: https://www.ard.de/die-ard/organisation-der-ard/Finanzen-der-ARD-Einnahmen-und-Ausgaben-100/; or ARD Website; lastly accessed at 25.04. The numbers are for the year 2022, since we could not find any other data we used the composition from 2019 - 2023</t>
  </si>
  <si>
    <t>Source Revenue: Annual report GEZ 2021, p.11</t>
  </si>
  <si>
    <t>Source Audience Share: Quelle: ma 2021 Audio I, KEK, BLM; Basis: Deutschsprachige Bevölkerung ab 14 Jahre
Medienvielfaltsmonitor 2021-I, p.21. ; To estimate the revenue we calculated: Advertisement revenue*Audience share for the private companies while excluding the Deutschlandradio and ARD since they are funded by the state.. This methodology assumes that audience share translates into revenue share. Which is not optimal, but due to the given data limitations the best we could come up with. The total accumulated audience share exceeds 100% because the Medienvielfaltsmonitor attributes each radio station's audience share fully to every company holding at least a 25% ownership stake. In cases of co-ownership, each qualifying company is credited with the station's entire audience share, rather than a proportionate one. This results in overlapping counts and an aggregated total beyond 100%.
To ensure comparability in the revenue analysis, I normalized the data back to 100%. Specifically, I attributed the residual share of advertising revenue (i.e., total advertising market revenue minus the sum of all private companies’ revenue) to the "Other" or non-attributed segment. This adjustment ensures consistency between audience share and revenue distributions.
Any improvements are welcomed!</t>
  </si>
  <si>
    <t xml:space="preserve">ARD </t>
  </si>
  <si>
    <t>Source Revenue: Total GEZ for ARD = 6128  Share Radio = 1333,45  (21,76%), Share Multimedia =  582,16 (9,9%) Share TV = 4190,32 (68,38%), Source: Rundfunkbeitrag Annual report 2022, p.11.;
Source Distribution of GEZ: https://www.ard.de/die-ard/organisation-der-ard/Verwendung-des-Rundfunkbeitrags-100/; these numbers are the averages of 2022/23, which means that in 2019 they most likely deviate since the Multimedia sector was expanded by ARD. However, we could not find any data for the distribution for the other years.
ARDs total revenue consists of 86% of the GEZ.  5% are Advertisment and Sponsoring revenue, 9% are other Revenue like liscenscing. This leads to:  4190,327/0,86 = 4872,47
Source revenue composition: https://www.ard.de/die-ard/organisation-der-ard/Finanzen-der-ARD-Einnahmen-und-Ausgaben-100/; or ARD Website; lastly accessed at 25.04. The numbers are for the year 2022, since we could not find any other data we used the composition from 2019 - 2023</t>
  </si>
  <si>
    <t>Source Revenue: Annual report GEZ 2022, p.10</t>
  </si>
  <si>
    <t xml:space="preserve">Regiocast  </t>
  </si>
  <si>
    <t>Source Audience Shares: Medienvielfaltsmonitor 2022-I, p.21; To estimate the revenue we calculated: Advertisement revenue*Audience share for the private companies while excluding the Deutschlandradio and ARD since they are funded by the state. This methodology assumes that audience share translates into revenue share. Which is not optimal, but due to the given data limitations the best we could come up with. The total accumulated audience share exceeds 100% because the Medienvielfaltsmonitor attributes each radio station's audience share fully to every company holding at least a 25% ownership stake. In cases of co-ownership, each qualifying company is credited with the station's entire audience share, rather than a proportionate one. This results in overlapping counts and an aggregated total beyond 100%.
To ensure comparability in the revenue analysis, I normalized the data back to 100%. Specifically, I attributed the residual share of advertising revenue (i.e., total advertising market revenue minus the sum of all private companies’ revenue) to the "Other" or non-attributed segment. This adjustment ensures consistency between audience share and revenue distributions.
Any improvements are welcomed!</t>
  </si>
  <si>
    <t xml:space="preserve">Bertelsmann  </t>
  </si>
  <si>
    <t xml:space="preserve">Müller Medien  </t>
  </si>
  <si>
    <t xml:space="preserve">Medien Union  </t>
  </si>
  <si>
    <t xml:space="preserve">Nordwest-Medien  </t>
  </si>
  <si>
    <t xml:space="preserve">Burda  </t>
  </si>
  <si>
    <t xml:space="preserve">Springer  </t>
  </si>
  <si>
    <t>Radio NRW</t>
  </si>
  <si>
    <t>Source Revenue: Total GEZ for ARD = 6455,71  Share Radio = 1404,76  (21,76%), Share Multimedia =  582,16 (9,9%) Share TV = 4414,41 (68,38%), Source: Rundfunkbeitrag Annual report 2023, p.11.;
Source Distribution of GEZ: https://www.ard.de/die-ard/organisation-der-ard/Verwendung-des-Rundfunkbeitrags-100/; these numbers are the averages of 2022/23, which means that in 2019 they most likely deviate since the Multimedia sector was expanded by ARD. However, we could not find any data for the distribution for the other years.
ARDs total revenue consists of 86% of the GEZ.  5% are Advertisment and Sponsoring revenue, 9% are other Revenue like liscenscing. This leads to:  4414,41/0,86 = 4872,47
Source revenue composition: https://www.ard.de/die-ard/organisation-der-ard/Finanzen-der-ARD-Einnahmen-und-Ausgaben-100/; or ARD Website; lastly accessed at 25.04. The numbers are for the year 2022, since we could not find any other data we used the composition from 2019 - 2023</t>
  </si>
  <si>
    <t>Source Revenue: Annual report Rundfunkbeitrag 2023, p. 10</t>
  </si>
  <si>
    <t>Source Audience Share:Medienvielfaltsmonitor 2023, p.21, To estimate the revenue we calculated: Advertisement revenue*Audience share for the private companies while excluding the Deutschlandradio and ARD since they are funded by the state..This methodology assumes that audience share translates into revenue share. Which is not optimal, but due to the given data limitations the best we could come up with. The total accumulated audience share exceeds 100% because the Medienvielfaltsmonitor attributes each radio station's audience share fully to every company holding at least a 25% ownership stake. In cases of co-ownership, each qualifying company is credited with the station's entire audience share, rather than a proportionate one. This results in overlapping counts and an aggregated total beyond 100%.
To ensure comparability in the revenue analysis, I normalized the data back to 100%. Specifically, I attributed the residual share of advertising revenue (i.e., total advertising market revenue minus the sum of all private companies’ revenue) to the "Other" or non-attributed segment. This adjustment ensures consistency between audience share and revenue distributions.
Any improvements are welcomed!</t>
  </si>
  <si>
    <t xml:space="preserve">Klassik Radio </t>
  </si>
  <si>
    <t>Spotify</t>
  </si>
  <si>
    <t xml:space="preserve">Spotify </t>
  </si>
  <si>
    <t>Apple Music</t>
  </si>
  <si>
    <t>Others (Subscription/Ad-Based Music Services)</t>
  </si>
  <si>
    <t>Liberty Nation Entertainment</t>
  </si>
  <si>
    <t>Live Nation Germany</t>
  </si>
  <si>
    <t>Live Nation</t>
  </si>
  <si>
    <t>Eventim</t>
  </si>
  <si>
    <t>Eventim Live</t>
  </si>
  <si>
    <t>Eventim Live Germany</t>
  </si>
  <si>
    <t>Others (Live Entertainment)</t>
  </si>
  <si>
    <t>Bertelsmann</t>
  </si>
  <si>
    <t>BMG Rights Management</t>
  </si>
  <si>
    <t>Sony Music</t>
  </si>
  <si>
    <t>Sony Music Italy</t>
  </si>
  <si>
    <t>Sony Music Germany</t>
  </si>
  <si>
    <t>Universal</t>
  </si>
  <si>
    <t>Universal Music</t>
  </si>
  <si>
    <t>Warner</t>
  </si>
  <si>
    <t>Warner Music Group</t>
  </si>
  <si>
    <t>Warner Music Germany</t>
  </si>
  <si>
    <t>Axel Springer</t>
  </si>
  <si>
    <r>
      <rPr>
        <b/>
        <sz val="12"/>
        <color rgb="FF000000"/>
        <rFont val="Times New Roman"/>
      </rPr>
      <t>Newspapers</t>
    </r>
    <r>
      <rPr>
        <sz val="12"/>
        <color rgb="FF000000"/>
        <rFont val="Times New Roman"/>
      </rPr>
      <t>: daily, community, local and national papers. This sector includes revenues from news stand sales, subscriptions, advertising, patronage and public funds. Insofar as possible, revenue for this sector should not include their online versions. That, however, may not be possible. Regardless, please indicate in a note whether you have included or excluded revenue from online versions.</t>
    </r>
  </si>
  <si>
    <t xml:space="preserve">WAZ Media Group </t>
  </si>
  <si>
    <t xml:space="preserve">Westdeutsche Allgemeine Zeitung </t>
  </si>
  <si>
    <t xml:space="preserve">CD: In 1948, Jakob Funke and Erich Brost founded WAZ. In 2013, with the widow of Erich Brost passing, the majority shares are transfered to the family of Jakob Funke (Petra Grotkamp) and renamed from WAZ to Funke Media Group </t>
  </si>
  <si>
    <t xml:space="preserve">Sueddeutsche Publishing House </t>
  </si>
  <si>
    <t>Süddeutsche Zeitung</t>
  </si>
  <si>
    <t xml:space="preserve">Publishing Group DuMont </t>
  </si>
  <si>
    <t>Stuttgarter Zeitung</t>
  </si>
  <si>
    <t>Source: Röper (2002, 2004, 2008)</t>
  </si>
  <si>
    <t>Publishing Group Ippen</t>
  </si>
  <si>
    <t xml:space="preserve">Publishing Group Frankfurter Allgemeine Zeitung </t>
  </si>
  <si>
    <t xml:space="preserve">Axel Springer </t>
  </si>
  <si>
    <t>Holtzbrinck</t>
  </si>
  <si>
    <t>Gruner + Jahr</t>
  </si>
  <si>
    <t xml:space="preserve">CD: Bertelsmann acquired first shares of Gruner + Jahr from Founder Gruner (1/3) already in 1969 https://www.ndr.de/geschichte/koepfe/Richard-Gruner-Das-grosse-G-vom-Verlag-Gruner-Jahr,richardgruner100.html. Between 1969 and 1973 Bertelsmann acquired majority share, gradually increased it over time until the takeover in 2014: In 2014 (November) Bertelsmann takes over 100% of the shares in Grunder + Jahr. Previously the Jahr family was involved as minority shareholder with Jahr Holding. https://www.bertelsmann.de/news-und-media/nachrichten/bertelsmann-uebernimmt-gruner-jahr-vollstaendig.jsp. </t>
  </si>
  <si>
    <t>CD: In 1948, Jakob Funke and Erich Brost founded WAZ. In 2013, with the widow of Erich Brost passing, the majority shares are transfered to the family of Jakob Funke (Petra Grotkamp) and renamed from WAZ to Funke Media Group (Source: History Funke Mediengruppe https://www.funkemedien.de/de/mediengruppe/historie)</t>
  </si>
  <si>
    <t>Frankfurter Neue Presse/Höchster Kreisblatt/Taunus Zeitung/Nassauische Neue Presse/Rhein-Main-Zeitung, Märkische Allgemeine</t>
  </si>
  <si>
    <t>CF: Source Konzentrationsbericht KEK 2007</t>
  </si>
  <si>
    <t>Döbelner Anzeiger, Sächsische Zeitung etc.</t>
  </si>
  <si>
    <t>CF: Source Konzentrationsbericht KEK 2007 for Gruner + Jahr</t>
  </si>
  <si>
    <t>Axel Springer Deutschland GmbH</t>
  </si>
  <si>
    <t xml:space="preserve">Suedwestdeutsche Medien Holding </t>
  </si>
  <si>
    <t>Südthüringer Presse Plus (Neue Presse,_x000D_Coburg/Freies Wort/stz Südthüringer_x000D_Zeitung/Meininger Tageblatt), Frankenpost</t>
  </si>
  <si>
    <t xml:space="preserve">Deutsche Druck und Verlagsgesellschaft </t>
  </si>
  <si>
    <t xml:space="preserve">Bild, Hamburger Abendblatt, B.Z., Die Welt, Welt Kompakt, Berliner Morgenpost, Bergedorfer Zeitung, Harburger, </t>
  </si>
  <si>
    <t>Column G/H: The segment "Newspaper National" contributed 46,8% of the Group's consolidated revenue in 2008 (source: annual report 2008, p.24 https://www.axelspringer.com/data/uploads/2018/07/annual_report_2008.pdf) Total revenue in 2008: 2,728.5 euro (in millions)</t>
  </si>
  <si>
    <t xml:space="preserve">Medien Union </t>
  </si>
  <si>
    <t>Suedwestdeutsche Medien Holding</t>
  </si>
  <si>
    <t>Stuttgarter Zeitung, Stuttgarter Nachrichten, Die Rheinpfalz, Die Süddeutsche Zeitung etc.</t>
  </si>
  <si>
    <t>CF: In 2008, SWMH (Medien Union) takes over majority shares at Süddeutsche Zeitung</t>
  </si>
  <si>
    <t xml:space="preserve">CD: Ownership change: In 2011, Holtzbrinck Publishing Group sells its Newspaper shares (minus its share in the ZEIT) (Source: Holtzbrinck about section https://holtzbrinck.com/de/about): in 2010/2011, Media Group Augsburger Allgemeine (daughter company of Mediangruppe Pressedruck which is part of Presse Druck und Verlags Group) acquires the Newspaper Group Main-Post as well as 51% of the Suedkurir GmbH from Konstanz from Holtzbrinck (previous owner of all shares). </t>
  </si>
  <si>
    <t>BV Deutsches Zeitungsholding</t>
  </si>
  <si>
    <t>Berliner Verlag</t>
  </si>
  <si>
    <t xml:space="preserve">Berliner Kurier, Berliner Zeitung </t>
  </si>
  <si>
    <t>Bild, B.Z., Die Welt</t>
  </si>
  <si>
    <t>Rheinisch-Bergische Publishing Group</t>
  </si>
  <si>
    <t xml:space="preserve">Presse Druck und Verlags Group </t>
  </si>
  <si>
    <t>CD: Ownership change: In 2011, the Augsburger group (part of Presse Druck und Verlags Group) acquires significant shares from the Holtzbrinck Group, making it now into the top 10 (for more details see row 86 note and https://www.ard-media.de/fileadmin/user_upload/media-perspektiven/pdf/2012/12-2012_Roeper.pdf)</t>
  </si>
  <si>
    <t>Rheinische Post Media Group</t>
  </si>
  <si>
    <t xml:space="preserve">Funke Media </t>
  </si>
  <si>
    <t>Funke Medien NRW</t>
  </si>
  <si>
    <t>Publishing Group Frankfurter Allgemeine Zeitung</t>
  </si>
  <si>
    <t>CG: 1.481,6 (all news);  KEK concentration report lists Axel Springer's overall revenue split up into news media, marketing media, classifieds media, services holdings from 2016 - 2020 (source: https://www.kek-online.de/medienkonzentration/tv-sender/unternehmenssteckbriefe/axel-springer-se#:~:text=Der%20Unternehmensumsatz%20lag%20im%20Jahr,Euro.); CD: Parent company: while KKR controls majority of the shares, due to a "stimmbindungsvereinbarung" the main voting rights remain with Döpfner, the individual (next to Friede Springer) behind Springer. (Source: Axel Springer website)</t>
  </si>
  <si>
    <t xml:space="preserve">CG: 592 (in millions) in primary source (annual report in public database "Bundesanzeiger") and secondary source Medienperspektiven p. 296 (https://www.ard-media.de/fileadmin/user_upload/media-perspektiven/pdf/2018/0618_Vogel.pdf ) </t>
  </si>
  <si>
    <t>Publishing Group Neue Osnabruecker Zeitung</t>
  </si>
  <si>
    <t>Stuttgarter Zeitung, Sueddeutsche Zeitung ...etc.</t>
  </si>
  <si>
    <t xml:space="preserve">CG: 3.180,7 in 2018 total revenue (annual report 2019); 1.496,2 is for all news media and needs to be split up into types which is not an available categorization. Thus, the proxy number from PWC/IVW (as used in Medienperspektiven) will be used. 
Background information: According to the annual report News Media includes their digital and print media Bild, Welt-group (Part of the Welt-group is now the previous N24 as WELT, the TV station), Computer-, Auto-, Sport magazines of the brand familiy Bild, B.Z. and their music magazines. Primary source: 2018 annual report (https://www.axelspringer.com/data/uploads/2020/10/geschaeftsbericht-axel-springer-se-2018.pdf  Secondary Source: KEK concentration report lists Axel Springer's overall revenue split up into news media, marketing media, classifieds media, services holdings from 2016 - 2020 (https://www.kek-online.de/medienkonzentration/tv-sender/unternehmenssteckbriefe/axel-springer-se#:~:text=Der%20Unternehmensumsatz%20lag%20im%20Jahr,Euro.) </t>
  </si>
  <si>
    <t xml:space="preserve">CD: Choosing the appropriate parent company: Medien Union owns 47.5% of SWMH. All other shareholders are minority shareholders. Second largest shareholder (11.9%) is the Ebner Pressegesellschaft which in turn has investments in various regional media outlets. (0.4% market share based on audience data in the newspaper sector) (According to the KEK database 2023 https://www.kek-online.de/medienkonzentration/mediendatenbank#/profile/shareholder/5be1a6b6-c7c8-4983-84f6-ada451aec436)   CD+CI: Source: Formatt Institut Report https://www.ard-media.de/fileadmin/user_upload/media-perspektiven/pdf/2022/2206_Roeper.pdf; Based on IVW data which includes E-papers but refers to it seperately, too since 2012 </t>
  </si>
  <si>
    <t xml:space="preserve">CG: Background information: Axel Springer's overall revenue split up into news media, marketing media, classifieds media, services holdings from 2016 - 2020 (https://www.kek-online.de/medienkonzentration/tv-sender/unternehmenssteckbriefe/axel-springer-se#:~:text=Der%20Unternehmensumsatz%20lag%20im%20Jahr,Euro.) CD+CI: Source: Formatt Institut Report https://www.ard-media.de/fileadmin/user_upload/media-perspektiven/pdf/2022/2206_Roeper.pdf; Based on IVW data which includes E-papers but refers to it seperately, too since 2012 CG: According to annual report 1.753,6 is for all news media and (needs to be split up into types, which is not an available categorization. Thus, the proxy number is used) 
Disclaimer: Axel Springer lists idealo as part of their news media. Idealo is a price comparison website - this may not fall under the definition of news. Mainly Bild and Welt should be considered for their np revenue. </t>
  </si>
  <si>
    <t xml:space="preserve">CG: Primary source: Funke annual report 2020 section C. Erläuterungen zur Gewinn- und VerlustrechnungUmsatzerlöse: 486,2 revenue in NP sector CD+CI: Source: Formatt Institut Report https://www.ard-media.de/fileadmin/user_upload/media-perspektiven/pdf/2022/2206_Roeper.pdf; Based on IVW data which includes E-papers but refers to it seperately, too since 2012 </t>
  </si>
  <si>
    <t xml:space="preserve">CD+CI: Cource: Formatt Institut Report https://www.ard-media.de/fileadmin/user_upload/media-perspektiven/pdf/2022/2206_Roeper.pdf; Based on IVW data which includes E-papers but refers to it seperately, too since 2012 </t>
  </si>
  <si>
    <t xml:space="preserve">CD+CI: Source: Formatt Institut Report https://www.ard-media.de/fileadmin/user_upload/media-perspektiven/pdf/2022/2206_Roeper.pdf; Based on IVW data which includes E-papers but refers to it seperately, too since 2012 </t>
  </si>
  <si>
    <t xml:space="preserve">CD+CI:Source: Formatt Institut Report https://www.ard-media.de/fileadmin/user_upload/media-perspektiven/pdf/2022/2206_Roeper.pdf; Based on IVW data which includes E-papers but refers to it seperately, too since 2012 </t>
  </si>
  <si>
    <t>Total revenue - company revenue</t>
  </si>
  <si>
    <t xml:space="preserve">CD: Choosing the appropriate parent company: Medien Union owns 47.5% of SWMH. All other shareholders are minority shareholders. Second largest shareholder (11.9%) is the Ebner Pressegesellschaft which in turn has investments in various regional media outlets. (0.4% market share based on audience data in the newspaper sector) (According to the KEK database 2023)https://www.kek-online.de/medienkonzentration/mediendatenbank#/profile/shareholder/5be1a6b6-c7c8-4983-84f6-ada451aec436 CD+CI: Source: Formatt Institut Report https://www.ard-media.de/fileadmin/user_upload/media-perspektiven/pdf/2022/2206_Roeper.pdf; Based on IVW data which includes E-papers but refers to it seperately, too since 2012 </t>
  </si>
  <si>
    <t xml:space="preserve">CD+CI: Source: Formatt Institut Report https://www.ard-media.de/fileadmin/user_upload/media-perspektiven/pdf/2022/2206_Roeper.pdf; Based on IVW data which includes E-papers but refers to it seperately, too since 2012; CF: Welt used to include Welt Kompakt  but the sister format was discontinued in 2019, </t>
  </si>
  <si>
    <t xml:space="preserve">CG: according to the annual report 2021, in 2021 Funkes revenue für newspapers was 473,7 Millions; CD+CI: Source Formatt Institut Report https://www.ard-media.de/fileadmin/user_upload/media-perspektiven/pdf/2022/2206_Roeper.pdf; Based on IVW data which includes E-papers but refers to it seperately, too since 2012 </t>
  </si>
  <si>
    <t xml:space="preserve">Media Group Bayern </t>
  </si>
  <si>
    <t xml:space="preserve">CD: Media Group Bayern previously didn't make it into the top 10. CD+CI: Source: Formatt Institut Report https://www.ard-media.de/fileadmin/user_upload/media-perspektiven/pdf/2022/2206_Roeper.pdf; Based on IVW data which includes E-papers but refers to it seperately, too since 2012 </t>
  </si>
  <si>
    <r>
      <rPr>
        <b/>
        <sz val="12"/>
        <color rgb="FF000000"/>
        <rFont val="Times New Roman"/>
        <family val="1"/>
      </rPr>
      <t>Magazines</t>
    </r>
    <r>
      <rPr>
        <sz val="12"/>
        <color rgb="FF000000"/>
        <rFont val="Times New Roman"/>
        <family val="1"/>
      </rPr>
      <t xml:space="preserve">: periodicals, mostly consumer oriented, retail magazines rather than professional journals. 
This sector has proven most difficult to gather good quality data out of all of the industries covered by the CMCR project. The sector is defined by NAICS code 51112. The chart uses several data sources to arrive at either actual or estimated revenue figures: (i) Statistics Canada Cansim Table 51112 Periodical Publishers was used to arrive at sector level revenues; (ii) corporate annual reports; (iii) Magazine Canada’s annual Top 50 magazines citing advertising, subscriber and newsstand revenues for the top 50 magazines. 
The major publishers, e.g. Rogers, Quebecor, Transcontinental, etc., often present revenue figures for magazines within more broadly defined categories such as “Media Sector”. In these cases, reading the annual reports over the years often provided either explicit or in passing cues as to how much of these sectors were accounted for by magazine revenues. However, many magazine publishers are privately traded and do not publish their revenues. In these cases, beyond the data available in, for example, Magazine Canada’s Top 50 list, I have had to use each publisher’s share of circulation as a proxy for their share of total industry revenues. The approach used in any specific case are indicated in comments attached to the relevant cells.   The data since 2014 for all publications unless otherwise indicated are based on y-o-y revenue trends for the industry as a whole.  </t>
    </r>
  </si>
  <si>
    <t>Hubert Burda Media</t>
  </si>
  <si>
    <t xml:space="preserve">Gruner + Jahr </t>
  </si>
  <si>
    <t xml:space="preserve">
Bauer Programm KG, 
Bauer Lifestyle KG etc.</t>
  </si>
  <si>
    <t>Auto Bild, Sport Bild etc. (50 titles)</t>
  </si>
  <si>
    <t>20,7% of total rev. CG/H: The segment "Magazine National" contributed about 20.7% of the group's total revenue in 2008 (source annual report 2008 p.24 https://www.axelspringer.com/data/uploads/2018/07/annual_report_2008.pdf); total revenue 2008: 2,728.5 euro (in millions)</t>
  </si>
  <si>
    <t>CI: Publikumspresse: Konsolidierte Marktanteile der fünf größten Konzerne 2008 bis 2014, calculated by A. Vogel based on IVW Data https://www.ard-media.de/fileadmin/user_upload/media-perspektiven/pdf/2014/06-2014_Vogel.pdf</t>
  </si>
  <si>
    <t xml:space="preserve">Burda Media Brands National </t>
  </si>
  <si>
    <t>In 2014 (November) Bertelsmann takes over 100% of the shares in Grunder + Jahr. Previously the Jahr family was involved as minority shareholder with Jahr Holding. https://www.bertelsmann.de/news-und-media/nachrichten/bertelsmann-uebernimmt-gruner-jahr-vollstaendig.jsp. Bertelsmann acquired first shares of Gruner + Jahr from Founder Gruner (1/3) already in 1969 https://www.ndr.de/geschichte/koepfe/Richard-Gruner-Das-grosse-G-vom-Verlag-Gruner-Jahr,richardgruner100.html. Between 1969 and 1973 Bertelsmann acquired majority share, gradually increased it over time until the takeover in 2014</t>
  </si>
  <si>
    <t>FUNKE Zeitschriften GmbH, 
Funke MZV Holding GmbH, Funke Publishing GmbH (vormals Funke Zentralredaktion GmbH) etc.</t>
  </si>
  <si>
    <t xml:space="preserve">CI: Marketshare by revenue: Publikumspresse: Konsolidierte Marktanteile der fünf größten Verlage "Medienperspektiven, calculated by A. Vogel using IVW Data </t>
  </si>
  <si>
    <t xml:space="preserve">Primary source: 380,5 = Funke annual report magazine revenue CI: Marketshare by revenue: Publikumspresse: Konsolidierte Marktanteile der fünf größten Verlage "Medienperspektiven, calculated by A. Vogel using IVW Data </t>
  </si>
  <si>
    <t>CI: Marketshare by revenue: Publikumspresse: Konsolidierte Marktanteile der fünf größten Verlage "Medienperspektiven, calculated by A. Vogel using IVW Data CG: Primary source: Annual Report Funke Mediengruppe 2018, Section C. Erläuterungen zur Gewinn- und Verlustrechnung, Umsatzerlöse</t>
  </si>
  <si>
    <t>Media Holding Klambt</t>
  </si>
  <si>
    <t>Klambt-Verlag GmbH &amp; Co. KG, Klambt Style-Verlag GmbH &amp; Co. KG, Programmzeitschriften GmbH, OK! Verlag GmbH &amp; Co. KG</t>
  </si>
  <si>
    <t>CI: Marketshare by revenue: Publikumspresse: Konsolidierte Marktanteile der fünf größten Verlage "Medienperspektiven, calculated by A. Vogel using IVW Data  CG: Annual report: total revenue 117.036.313,33 : that includes Sales 82.405 + Advertisement 19.660 (= 102.065)
Insurance business 10.905; merchandise and other 4.066
International and national is only separated in the total revenue</t>
  </si>
  <si>
    <t xml:space="preserve">CG: Proxy number from PWC total market revenue and IVW / medienperspektiven in market share in % based on revenue. CI: Marketshare by revenue: Publikumspresse: Konsolidierte Marktanteile der fünf größten Verlage "Medienperspektiven, calculated by A. Vogel using IVW Data </t>
  </si>
  <si>
    <r>
      <rPr>
        <sz val="12"/>
        <color rgb="FF000000"/>
        <rFont val="Times New Roman"/>
        <family val="1"/>
      </rPr>
      <t xml:space="preserve">CG: Proxy number from PWC total market revenue and IVW / medienperspektiven (source below under CI) in market share in % based on revenue. </t>
    </r>
    <r>
      <rPr>
        <b/>
        <sz val="12"/>
        <color rgb="FF000000"/>
        <rFont val="Times New Roman"/>
        <family val="1"/>
      </rPr>
      <t>CG (2)</t>
    </r>
    <r>
      <rPr>
        <sz val="12"/>
        <color rgb="FF000000"/>
        <rFont val="Times New Roman"/>
        <family val="1"/>
      </rPr>
      <t xml:space="preserve">: Primary source shows a revenue of 341,8. Hower Funke is the only company with detailed information on sector specific revenue. For it to be comparable to the other companies, the proxy will be used. The proxy % market share from the total market revenue resulted in: 421.2. This discrepancy could be explained through the use of the PWC data for the size of the market: a) an inconsistency in Ad revenue between Nielsen and PWC  and the difficulty to measure sales revenue in magazine given the lack of detailed information from the companies. While PWC does give sales revenue of the magazine market, German experts (see "medienperspektiven" source) refer to "sold titles" to measure sales dynamics.  Primary source (to be found in the public database "Bundesanzeiger"): Annual Report Funke Mediengruppe 2020, Section C.: Erläuterungen zur Gewinn- und Verlustrechnung:
- Tageszeitungen 486,2
- Anzeigenblätter 118,1
</t>
    </r>
    <r>
      <rPr>
        <b/>
        <u/>
        <sz val="12"/>
        <color rgb="FF000000"/>
        <rFont val="Times New Roman"/>
        <family val="1"/>
      </rPr>
      <t xml:space="preserve">- Zeitschriften (Magazines)	341,8
</t>
    </r>
    <r>
      <rPr>
        <sz val="12"/>
        <color rgb="FF000000"/>
        <rFont val="Times New Roman"/>
        <family val="1"/>
      </rPr>
      <t xml:space="preserve">- Druckerei	10,5
- Elektronische Medien	100,7
- Sonstige	85,21.142,5
CI: Marketshare by revenue - Source: Medienperspektiven_06_2020, A.Vogel: https://www.ard-media.de/fileadmin/user_upload/media-perspektiven/pdf/2020/0620_Vogel_2020-11-4.pdf, Title: Publikumspresse: Konsolidierte Marktanteile der fünf größten Verlage "Medienperspektiven, calculated by A. Vogel using IVW Data    
    </t>
    </r>
  </si>
  <si>
    <t xml:space="preserve">CG: Proxy number from PWC total market revenue and IVW / medienperspektiven in market share in % based on revenue; Background information from primary source: Annual report 2020 total: 2.774,5 Millions; Mediabrands National: 736 Million (vs 756,2 in 2019 [-2,7%] (other are International media brands, print, digital brands, other) Mediabrands National consists of (Ad and sales) Burda News, BurdaStyle, BurdaLife, BurdaHome, Blue Ocean Entertainment AG; Media brands revenue: 736 Millions (unclear how to distinguish between newspapers and magazines)
Other available data points:
gross ad revenue 2020 of magazines: 305 millions;
2020 (due to the covid19 pandemic) the sales revenue of burda newspapers and magazines shrunk 7,9% since 2019 which resulted in 4,2% less revenue overall. CI: Marketshare by revenue: Publikumspresse: Konsolidierte Marktanteile der fünf größten Verlage "Medienperspektiven, calculated by A. Vogel using IVW Data </t>
  </si>
  <si>
    <t xml:space="preserve">CG: Proxy number from PWC total market revenue and IVW / medienperspektiven in market share in % based on revenue. CG: in the annual report (available in Bundesanzeiger) Klampt clusters its revenue into Sales, Advertisement, Insurance business, merchandise and other. in 2020 total revenue is: 121.148 of that in Sales: 80.549 Millions  + Advertisement 26.044 Millions, (insurance business 9.129, merchandise and other: 5.427; 115.481 of those is national revenue, 5.668 is international revenue CI: Marketshare by revenue: Publikumspresse: Konsolidierte Marktanteile der fünf größten Verlage "Medienperspektiven, calculated by A. Vogel using IVW Data </t>
  </si>
  <si>
    <t xml:space="preserve">CG: Proxy number from PWC total market revenue and IVW / medienperspektiven in market share in % based on revenue.  CG: total revenue: 775,4, (annual report 2020) Categories: Classifieds Media, News Media, Marketing Media, Services/Holding. Magazines are likely in the category "news media". However that includes (in the annual report) national and international media, as well as TV, newspaper, digital media and magazines. CI: Marketshare by revenue: Publikumspresse: Konsolidierte Marktanteile der fünf größten Verlage "Medienperspektiven, calculated by A. Vogel using IVW Data </t>
  </si>
  <si>
    <t>Alles Gute Publishing House</t>
  </si>
  <si>
    <t>Alles Gute Verlag GmbH</t>
  </si>
  <si>
    <t xml:space="preserve">CG: Proxy number from PWC total market revenue and IVW / medienperspektiven in market share in % based on revenue. CG: No annual revenue in the annual report: according to the "bundesjustizamt", small corporations do not have to inform about their revenue https://www.bundesjustizamt.de/DE/Themen/OrdnungsgeldVollstreckung/Jahresabschluesse/Offenlegung/Pflichten/Pflichten_node.html#AnkerDokument41082 CI: Marketshare by revenue: Publikumspresse: Konsolidierte Marktanteile der fünf größten Verlage "Medienperspektiven, calculated by A. Vogel using IVW Data </t>
  </si>
  <si>
    <t xml:space="preserve">Motorpresse Stuttgart </t>
  </si>
  <si>
    <t xml:space="preserve">
Motor Presse Hamburg GmbH &amp; Co KG Verlagsgesellschaft, MPH Lifestyle Verwaltungs-GmbH etc.</t>
  </si>
  <si>
    <t xml:space="preserve">CG: Proxy number from PWC total market revenue and IVW / medienperspektiven in market share in % based on revenue.  CG: Total revenue: 2020: 96.070.159,44 and 2021: 111.221.223,05 Geschäftsbereich AM (Automobil) 45.614.218 (2021)	44.841.402 (2020) Geschäftsbereich SL (Sport und Lifestyle)	25.541.813 (2021)	12.154.256 (2020) Geschäftsbereich ML (Motorrad und Luftfahrt)	20.218.468 (2021)18.990.911 (2020) Geschäftsbereich AF (Aktive Freizeit) 10.521.904 (2021) 10.096.381 (2020) Geschäftsbereich Service/sonstige Verlagsgeschäfte 2.449.799 (2021) 3.500.311 (2020) Website- / Marktplatzgeschäfte	4.509.588 (2021) 4.033.475 (2020) Film- und Fernsehgeschäft 2.365.433 (2021)	2.453.423 (2020) CI: Marketshare by revenue: Publikumspresse: Konsolidierte Marktanteile der fünf größten Verlage "Medienperspektiven, calculated by A. Vogel using IVW Data </t>
  </si>
  <si>
    <t xml:space="preserve">Deltapark Publishing House </t>
  </si>
  <si>
    <t>Deltapark Verlag GmbH</t>
  </si>
  <si>
    <t>DvH Medien</t>
  </si>
  <si>
    <t xml:space="preserve">CG: Proxy number from PWC total market revenue and IVW / medienperspektiven in market share in % based on revenue. CG: total revenue: 487.858 (2020) (annual report 2021) Break down (2020): Sales revenue: 251.418, Ad revenue: 106.653, Other: 129.787 CI: Marketshare by revenue: Publikumspresse: Konsolidierte Marktanteile der fünf größten Verlage "Medienperspektiven, calculated by A. Vogel using IVW Data </t>
  </si>
  <si>
    <t xml:space="preserve">CG: Proxy number from PWC total market revenue and IVW / medienperspektiven in market share in % based on revenue. CG: according to the annual report 2021, in 2021 Funkes revenue für magazines was 336,2 Millions. The proxa number being higher (415,54) can be explained by the fact that PWC total revenue appears to work with a higher estimate than e.g. Nielsen (used in the "medienperspektiven reports", which increases the whole dataset. To have Funke harmonized with the other companies, the proxy number is used here. CI: Marketshare by revenue: Publikumspresse: Konsolidierte Marktanteile der fünf größten Verlage "Medienperspektiven, calculated by A. Vogel using IVW Data </t>
  </si>
  <si>
    <t>Burda Consumer Media (Burda Verlag)</t>
  </si>
  <si>
    <t xml:space="preserve">CG: Proxy number from PWC total market revenue and IVW / medienperspektiven in market share in % based on revenue. CE: Under Burda Consumer Media, Burda media clusters magazines and other consumer facing sectors (national and international) (new since 2022) Burda Consumer Media includes: Burda Verlag, Burda Forward (digital sector), Burda Broadcast, Burda International; CG: 2,921 Billion total revenue 2022 https://www.burda.com/de/unternehmen/zahlen/ and annual report (downloaded and saved) NEW clusters for internal business sectors, IMPACT: numbers not directly comparable with older revenue numbers (https://archive.ph/pU7JJ);  CG: 1.124,5 Million Euro total revenue made from "Consumer Media" under Burda
Burda re-structured it's business sectors. Previously shared information on revenue was clustered as: digital, mediabrands National, Mediabrands International, Print , other
in 2021 it has been restructured as:  Consumer Media, B2B Media and Services, Commerce, other 
Impact: Only the 2021 numbers are available in both formats. Numbers from before 2021 are not directly comparable anymore with later numbers. 
Comparison for proportion: 
2021 media brands national: 721 millions
2021 Consumer Media: 1.160,1 Millions
2022 1.124,5 Millions
Finding: "Consumer Media" must include more products/brands than "Media brands national" did  (making it increasingly difficult to calculate with economic data points that companies provide)
Source new structure: https://www.burda.com/de/unternehmen/zahlen/ 
Source old structure: annual reports 2022 and older                                                                                                                                                                                                                                             
CI: Marketshare by revenue: Publikumspresse: Konsolidierte Marktanteile der fünf größten Verlage "Medienperspektiven, calculated by A. Vogel using IVW Data </t>
  </si>
  <si>
    <t>Motorpresse Stuttgart</t>
  </si>
  <si>
    <t xml:space="preserve">CG: Proxy number from PWC total market revenue and IVW / medienperspektiven in market share in % based on revenue.  CG: (2022 annual report not yet accessible on Bundesanzeiger [July 2024]) CI: Marketshare by revenue: Publikumspresse: Konsolidierte Marktanteile der fünf größten Verlage "Medienperspektiven, calculated by A. Vogel using IVW Data </t>
  </si>
  <si>
    <t xml:space="preserve">CG: Proxy number from PWC total market revenue and IVW / medienperspektiven in market share in % based on revenue. CG: No annual revenue in the annual report: according to the "bundesjustizamt", small corporations do not have to inform about their revenue https://www.bundesjustizamt.de/DE/Themen/OrdnungsgeldVollstreckung/Jahresabschluesse/Offenlegung/Pflichten/Pflichten_node.html#AnkerDokument41082  CI: Marketshare by revenue: Publikumspresse: Konsolidierte Marktanteile der fünf größten Verlage "Medienperspektiven, calculated by A. Vogel using IVW Data </t>
  </si>
  <si>
    <t xml:space="preserve">Spiegel Publishing Group </t>
  </si>
  <si>
    <t>SPIEGEL-Verlag Rudolf Augstein GmbH &amp; Co. KG</t>
  </si>
  <si>
    <t>Klett Group</t>
  </si>
  <si>
    <t xml:space="preserve">Ernst Klett Publishing House </t>
  </si>
  <si>
    <r>
      <rPr>
        <b/>
        <sz val="12"/>
        <color theme="1"/>
        <rFont val="Times New Roman"/>
        <family val="1"/>
      </rPr>
      <t>Books</t>
    </r>
    <r>
      <rPr>
        <sz val="12"/>
        <color theme="1"/>
        <rFont val="Times New Roman"/>
        <family val="1"/>
      </rPr>
      <t xml:space="preserve">: includes revenue from all book publishing, including textbooks and e-books. The focus should be on publishers’ revenue versus those of retail bookstores and/or distributors. To the extent that it is possible, please distinguish between revenue from physical sales versus Digital/E-Book revenue. </t>
    </r>
  </si>
  <si>
    <t>Cornelsen Group</t>
  </si>
  <si>
    <t xml:space="preserve">Cornelsen Publishing House </t>
  </si>
  <si>
    <t>Source: Buchreport.de. (2008)</t>
  </si>
  <si>
    <t>Westermann Verlagsgruppe</t>
  </si>
  <si>
    <t>Source: &lt;http://www.boersenverein.de/de/158286&gt; 2012 updates provided by editor</t>
  </si>
  <si>
    <t>Weltbild</t>
  </si>
  <si>
    <t xml:space="preserve">Advance Publications </t>
  </si>
  <si>
    <t>Random House</t>
  </si>
  <si>
    <t>Bertelsmann Springer Group</t>
  </si>
  <si>
    <t>Springer Science + Business</t>
  </si>
  <si>
    <t>Bonnier</t>
  </si>
  <si>
    <t>Bonnier (Sweden)</t>
  </si>
  <si>
    <t xml:space="preserve">Weka Group </t>
  </si>
  <si>
    <t>Langenscheidt</t>
  </si>
  <si>
    <t>Süddeutscher Verlag</t>
  </si>
  <si>
    <t>Vogel</t>
  </si>
  <si>
    <t>Haufe Group</t>
  </si>
  <si>
    <t xml:space="preserve">Rudolf Haufe Publishing House </t>
  </si>
  <si>
    <t>Mairs</t>
  </si>
  <si>
    <t>Fink-Kümmerly &amp; Frey</t>
  </si>
  <si>
    <t>Markt + Technik</t>
  </si>
  <si>
    <t>Lübbe</t>
  </si>
  <si>
    <t>ADAC</t>
  </si>
  <si>
    <t>Thieme Group</t>
  </si>
  <si>
    <t xml:space="preserve">Bertelsmann </t>
  </si>
  <si>
    <t>CD: Bertelsmann aquires Random House from the Newhouse family (Advance Publications) in 1998.</t>
  </si>
  <si>
    <t>Publishing Group Bertelsmann Springer</t>
  </si>
  <si>
    <t xml:space="preserve">CD: in 1998 Bertelsmann aquires the Springer publishing house and founds the publishing group Bertelsmann Springer https://www.springer.com/us/about-springer/history </t>
  </si>
  <si>
    <t xml:space="preserve">Cinven and Candover </t>
  </si>
  <si>
    <t xml:space="preserve">CD: The Springer publishing house is sold in 2003 from Bertelsmann AG to the private equity group Cinven and Cadover. It gets fused with the dutch Science publisher Kluwer Academic Publishers and launched as Springer Science+Business.https://www.cinven.com/media/news/030513-cinven-to-acquire-bertelsmannspringer-for-105-billion/, https://www.springer.com/us/about-springer/history </t>
  </si>
  <si>
    <t>Wolters Kluwer</t>
  </si>
  <si>
    <t>Wolters Kluwer Deutschland</t>
  </si>
  <si>
    <t>MairDuMont</t>
  </si>
  <si>
    <t xml:space="preserve">C.H. Beck </t>
  </si>
  <si>
    <t xml:space="preserve">C.H. Beck Publishing House </t>
  </si>
  <si>
    <t>Deutscher Fachverlag</t>
  </si>
  <si>
    <t>Rentrop</t>
  </si>
  <si>
    <t>BI/Brockhaus</t>
  </si>
  <si>
    <t xml:space="preserve">John Wiley &amp; Sons </t>
  </si>
  <si>
    <t>Wiley-VCH</t>
  </si>
  <si>
    <t>Verlagsgruppe Lübbe</t>
  </si>
  <si>
    <t>Droemer Knaur</t>
  </si>
  <si>
    <t xml:space="preserve">Other </t>
  </si>
  <si>
    <t>MairDumont</t>
  </si>
  <si>
    <t xml:space="preserve">CD: In 2009 EQT V (Private equity fund) and GIC (private equity arm of the Government of Singapore Investment Corporation (“GIC”)) aquire Springer Science and Business with EQT V as a majority shareholder (83%) https://eqtgroup.com/news/2009/EQT-V-and-GIC-agree-to-acquire-Springer-ScienceBusiness-Media-from-Candover-and-Cinven/ </t>
  </si>
  <si>
    <t>Springer Nature</t>
  </si>
  <si>
    <t>CD: 2015 Springer Nature was formed out of Springer Science + Business Media + large parts of Macmillan Science and Education. This merges the Holtzbrinck Publishing Group (owning the latter) and BC Partners (Springer is owned by BCP (Private equity company) managed fonds). The new Group will be majority owned by the Holtzbrinck family but managed in collaboration of Holtzbrinck and Fonds, that are managed by BCP https://www.springer.com/gp/about-springer/media/press-releases/corporateg/holtzbrinck-publishing-group-und-bc-partners-vereinbaren-zusammenschluss-eines-grossteils-von-macmillan-science-and-education-mit-springer-science-business-media-/42594, https://www.springer.com/us/about-springer/history  ; CG: Revenue Source Buchreport.de https://www.buchreport.de/news/publikumsmarkt-ohne-dynamik/ ; 2015 - 2016 development in %</t>
  </si>
  <si>
    <t>Penguin Random House</t>
  </si>
  <si>
    <t>CD: 2013: Bertelsmann and Pearson combined their respective Random House and Penguin Group book-publishing businesses in 2013 into the world’s biggest trade publishing group. Bertelsmann is the majority owner of the merged company Penguin Random House, with a 53-percent stake, while Pearson owns 47 percent. CG: Revenue Source Buchreport.de https://www.buchreport.de/news/publikumsmarkt-ohne-dynamik/ ; 2015 - 2016 development in %</t>
  </si>
  <si>
    <t>CG: Revenue Source Buchreport.de https://www.buchreport.de/news/publikumsmarkt-ohne-dynamik/ ; estimated revenue according to Buchreport; 2015 - 2016 development in %</t>
  </si>
  <si>
    <t>CG: Revenue Source Buchreport.de https://www.buchreport.de/news/publikumsmarkt-ohne-dynamik/ ; 2015 - 2016 development in %</t>
  </si>
  <si>
    <t>C.H. Beck</t>
  </si>
  <si>
    <t xml:space="preserve">dfv Mediagroup </t>
  </si>
  <si>
    <t xml:space="preserve">not in source, stable revenue with next year (2019) assumed </t>
  </si>
  <si>
    <t xml:space="preserve">CG: Revenue Source Buchreport.de https://www.buchreport.de/news/publikumsmarkt-ohne-dynamik/ </t>
  </si>
  <si>
    <t>CG: Revenue Source Buchreport.de https://www.buchreport.de/news/publikumsmarkt-ohne-dynamik/ ; estimated revenue according to Buchreport</t>
  </si>
  <si>
    <t xml:space="preserve">CG: Revenue source Buchreport.de https://www.buchreport.de/news/stabile-ausgangslage-2019/ 2018 - 2019 development in % </t>
  </si>
  <si>
    <t xml:space="preserve">CG: Revenue source Buchreport.de https://www.buchreport.de/news/stabile-ausgangslage-2019/ ; estimated revenue according to Buchreport; 2018 - 2019 development in % </t>
  </si>
  <si>
    <t xml:space="preserve">Weka Group  </t>
  </si>
  <si>
    <t xml:space="preserve">CG: Revenue source Buchreport.de https://www.buchreport.de/news/stabile-ausgangslage-2019/ </t>
  </si>
  <si>
    <t>CG: Revenue source Buchreport.de https://www.buchreport.de/news/stabile-ausgangslage-2019/ ; estimated revenue according to Buchreport</t>
  </si>
  <si>
    <t xml:space="preserve">CD: 2019 – Bertelsmann is acquiring the remaining 25-percent stake in Penguin Random House from the British media company Pearson, making it the sole owner of the book publishing group. Closing expected in the second quarter of 2020.  Germany’s Verlagsgruppe Random House, which is wholly owned by Bertelsmann became part of Penguin Random House. (https://global.penguinrandomhouse.com/announcements/bertelsmann-acquires-full-ownership-of-penguin-random-house/) CG: Revenue source Buchreport.de https://www.buchreport.de/news/stabile-ausgangslage-2019/ </t>
  </si>
  <si>
    <t>CG: Revenue Source Buchreport.de (Secondary source displaying results which are behind a paywall at the primary source: https://www.gevestor.de/finanzwissen/oekonomie/rankings/das-sind-die-10-groessten-deutschen-verlagshaeuser-816984.html</t>
  </si>
  <si>
    <t>Paragon</t>
  </si>
  <si>
    <t>CD: Paragon takes over the entirety of the Weka Group  Group https://www.paragon.de/paragon-wird-neuer-gesellschafter-der-Weka Group -firmengruppe/ CG: Revenue Source Buchreport.de (Secondary source displaying results which are behind a paywall at the primary source: https://www.gevestor.de/finanzwissen/oekonomie/rankings/das-sind-die-10-groessten-deutschen-verlagshaeuser-816984.html</t>
  </si>
  <si>
    <t xml:space="preserve">Thieme Group </t>
  </si>
  <si>
    <t>CG: Revenue Source (in euro) Statista using Buchreport (Buchreport list behind paywall)https://de.statista.com/infografik/19660/ranking-der-groessten-verlage-in-deutschland-nach-umsatz/</t>
  </si>
  <si>
    <t xml:space="preserve">Cornelsen Group </t>
  </si>
  <si>
    <t>Internet Advertising</t>
  </si>
  <si>
    <t>Alphabet</t>
  </si>
  <si>
    <t>Meta</t>
  </si>
  <si>
    <t xml:space="preserve">Alphabet </t>
  </si>
  <si>
    <t>Google</t>
  </si>
  <si>
    <t>Source for 2018: https://gs.statcounter.com/search-engine-market-share/mobile/germany/#monthly-201801-201812-bar, lastly accessed 14.08.2024</t>
  </si>
  <si>
    <t>Source for 2019: https://gs.statcounter.com/search-engine-market-share/mobile/germany/#monthly-201901-201912-bar, lastly accessed 14.08.2024</t>
  </si>
  <si>
    <t xml:space="preserve">Google </t>
  </si>
  <si>
    <t>Source for 2020: https://gs.statcounter.com/search-engine-market-share/mobile/germany/#monthly-202001-202012-bar, lastly accessed 14.08.2024</t>
  </si>
  <si>
    <t>Source for 2021: https://gs.statcounter.com/search-engine-market-share/mobile/germany/#monthly-202101-202112-bar, lastly accessed 14.08.2024</t>
  </si>
  <si>
    <t>Source for 2022: https://gs.statcounter.com/search-engine-market-share/mobile/germany/#monthly-202201-202212-bar, lastly accessed 14.08.2024</t>
  </si>
  <si>
    <t>Source for 2023: https://gs.statcounter.com/search-engine-market-share/mobile/germany/#monthly-202301-202312-bar, lastly accesses 14.08.2024</t>
  </si>
  <si>
    <t>Yandex</t>
  </si>
  <si>
    <t>Source for 2018: https://gs.statcounter.com/search-engine-market-share/desktop/germany/#monthly-201801-201812-bar, lastly accessed 14.08.24</t>
  </si>
  <si>
    <t>Microsoft</t>
  </si>
  <si>
    <t>Microsoft Corperation</t>
  </si>
  <si>
    <t>Bing</t>
  </si>
  <si>
    <t>Yahoo</t>
  </si>
  <si>
    <t>Source for 2019: https://gs.statcounter.com/search-engine-market-share/desktop/germany/#monthly-201901-201912-bar, lastly accessed 14.08.24</t>
  </si>
  <si>
    <t>Source for 2020: https://gs.statcounter.com/search-engine-market-share/desktop/germany/#monthly-202001-202012-bar, lastly accessed 14.08.24</t>
  </si>
  <si>
    <t>Microsof Corperation</t>
  </si>
  <si>
    <t>Ecosia</t>
  </si>
  <si>
    <t>Source for 2021: https://gs.statcounter.com/search-engine-market-share/desktop/germany/#monthly-202101-202112-bar, lastly accessed 14.08.2024</t>
  </si>
  <si>
    <t>DuckDuckGo</t>
  </si>
  <si>
    <t>Source for 2022: https://gs.statcounter.com/search-engine-market-share/desktop/germany/#monthly-202201-202212-bar, lastly accessed 14.08.2024</t>
  </si>
  <si>
    <t>Source for 2023: https://gs.statcounter.com/search-engine-market-share/desktop/germany/#monthly-202301-202312-bar, lastly accessed 14.08.24</t>
  </si>
  <si>
    <t>Google (US)</t>
  </si>
  <si>
    <r>
      <rPr>
        <b/>
        <sz val="12"/>
        <color theme="1"/>
        <rFont val="Times New Roman"/>
        <family val="1"/>
      </rPr>
      <t>Search Engines</t>
    </r>
    <r>
      <rPr>
        <sz val="12"/>
        <color theme="1"/>
        <rFont val="Times New Roman"/>
        <family val="1"/>
      </rPr>
      <t>: major web-based information search systems regardless of access mode, i.e. mobile and desktop search engines combined, e.g. Google, Baidu, Bing, Yandex, Naver. A good source for national and international data on the market share of various mobile operating systems over time is StatCounter.</t>
    </r>
  </si>
  <si>
    <t>Microsoft (US)</t>
  </si>
  <si>
    <t>Source: 2013 updates provided by editors
1 Wirtschaftsstandort Österreich (2011).
2 Luna-Park.de. (2007); Rentaseo.de (2005).
3 Peters, Berger, and Seitz (2010).
4 “Marktanteile von Suchmaschinen in Deutschland im April 2011.” Statista.de.
5 Bundesministerium für Wirtschaft und Technologie (2010).
6 “Der Online-Markt in Deutschland.” Suchmaschinenkompetenz.de. (2012).</t>
  </si>
  <si>
    <t>MSN</t>
  </si>
  <si>
    <t>MSN Live Search</t>
  </si>
  <si>
    <t>Yahoo (US)</t>
  </si>
  <si>
    <t>Altavista</t>
  </si>
  <si>
    <t>T-Online</t>
  </si>
  <si>
    <t>Web.de</t>
  </si>
  <si>
    <t>Lycos</t>
  </si>
  <si>
    <t>Source for 2018: https://gs.statcounter.com/search-engine-market-share/all/germany/#monthly-201801-201812-bar, lastly accessed 14.08.2024</t>
  </si>
  <si>
    <t>Source for 2019: https://gs.statcounter.com/search-engine-market-share/all/germany/#monthly-201901-201912-bar, lastly accessed 14.08.2024</t>
  </si>
  <si>
    <t>Source for 2020: https://gs.statcounter.com/search-engine-market-share/all/germany/#monthly-202001-202012-bar, lastly accessed 14.08.2024</t>
  </si>
  <si>
    <t xml:space="preserve">Bing </t>
  </si>
  <si>
    <t>Source for 2021: https://gs.statcounter.com/search-engine-market-share/all/germany/#monthly-202101-202112-bar, lastly accessed 14.08.2024</t>
  </si>
  <si>
    <t>Source for 2022: https://gs.statcounter.com/search-engine-market-share/all/germany/#monthly-202201-202212-bar, lastly accessed 14.08.2024</t>
  </si>
  <si>
    <t>Source for 2023: https://gs.statcounter.com/search-engine-market-share/all/germany/#monthly-202301-202312-bar, lastly accessed 14.08.2024</t>
  </si>
  <si>
    <t>Social Media Platforms</t>
  </si>
  <si>
    <t>Facebook</t>
  </si>
  <si>
    <t>MAU Source: https://www.statista.com/statistics/568790/forecast-of-facebook-user-numbers-in-germany/</t>
  </si>
  <si>
    <t>Instagram</t>
  </si>
  <si>
    <t xml:space="preserve">Source MAU: NapoleonCat. (2024). Number of Instagram users in Germany from September 2018 to June 2024 (in millions). Statista. Statista Inc.. Accessed: September 27, 2024. https://www.statista.com/statistics/1021975/instagram-users-germany/ The average amount of monthly users from January to December were calculated. </t>
  </si>
  <si>
    <t>WhatsApp</t>
  </si>
  <si>
    <t>Source MAU: https://datareportal.com We took the average of internet users of January 2019 and January 2020 and then multiplied by the average internet users bestween 16 and 64 of 2019 and 2020 who answered using WhatsApp.</t>
  </si>
  <si>
    <t>Facebook Messenger</t>
  </si>
  <si>
    <t>Source MAU: https://datareportal.com We took the average of internet users of January 2019 and January 2020 and then multiplied by the average internet users bestween 16 and 64 of 2019 and 2020 who answered using Facebook Messenger.</t>
  </si>
  <si>
    <t>Total</t>
  </si>
  <si>
    <t>See hidden rows above</t>
  </si>
  <si>
    <t>Youtube</t>
  </si>
  <si>
    <t>Source MAU: https://de.statista.com/statistik/daten/studie/543400/umfrage/reichweite-von-youtube-in-deutschland/, Average of W4 2018 and W4 2019 was taken we took the average and multiplied if with the average of the German population in 2019 based on datareportal numbers.</t>
  </si>
  <si>
    <t xml:space="preserve">Twitter </t>
  </si>
  <si>
    <t>Twitter</t>
  </si>
  <si>
    <t xml:space="preserve">Source MAU: https://datareportal.com/, Potential audience that Twitter reports it can reachbased on the platforms self-advertising tool. Datreportal gives these numbers for January 2019 and Janary 2020. We took the average. </t>
  </si>
  <si>
    <t xml:space="preserve">Pinterest </t>
  </si>
  <si>
    <t>Pinterest</t>
  </si>
  <si>
    <t xml:space="preserve">Source MAU: https://datareportal.com/, Potential audience that Pinterest reports it can reach based on the platforms self-advertising tool.. Datareportal does not give the specific users for pinterest in 2019 ans 2020 so we calculated it with share of people who use Pinterest times active social media users. We took the average. </t>
  </si>
  <si>
    <t>LinkedIn</t>
  </si>
  <si>
    <t xml:space="preserve">Source MAU: https://datareportal.com/, Potential audience that Linkedin reports it can reachbased on the platforms self-advertising tool. Datreportal gives these numbers for January 2019 and January 2020. We took the average. </t>
  </si>
  <si>
    <t>Automattic</t>
  </si>
  <si>
    <t>Tumblr</t>
  </si>
  <si>
    <t>Source MAU: https://datareportal.com We took the average of internet users of January 2019 and January 2020 and then multiplied by the average internet users bestween 16 and 64 of 2019 and 2020 who answered to use Tumblr.</t>
  </si>
  <si>
    <t>Advance Publications</t>
  </si>
  <si>
    <t>Conde Nast</t>
  </si>
  <si>
    <t>Reddit</t>
  </si>
  <si>
    <t>Source MAU: https://explodingtopics.com/blog/reddit-users, 3,06% of all traffic of Reddit is coming from Germany, in 2019 Reddit had 350.44 users. We assumed that 3,06% of theser are from Germany. Other websites estimating Reddit visitors even give higher MAU.</t>
  </si>
  <si>
    <t>Snap</t>
  </si>
  <si>
    <t>Snapchat</t>
  </si>
  <si>
    <t>Source MAU: https://datareportal.com/, Total Advertising Audience based on the platforms self-advertising tool. Datreportal gives these numbers for January 2019 and January 2020. We took the average</t>
  </si>
  <si>
    <t>ByteDance</t>
  </si>
  <si>
    <t>TikTok</t>
  </si>
  <si>
    <t>Source MAU: https://www.futurebiz.de/artikel/tiktok-nutzerzahlen-deutschland/, The source is based on TikTok own published number in DigiDays. We took the average of the monthly users indicated in January 2019 and the Data that was published in the Article. The artile was published in November 2019.</t>
  </si>
  <si>
    <t>New Work</t>
  </si>
  <si>
    <t>Xing</t>
  </si>
  <si>
    <t>Source MAU: https://datareportal.com We took the average of internet users of January 2019 and January 2020 and then multiplied by the average internet users bestween 16 and 64 of 2019 and 2020 who answered to use Xing.</t>
  </si>
  <si>
    <t>Source MAU: https://datareportal.com We took the average of internet users of January 2021 and January 2020 and then multiplied by the average internet users bestween 16 and 64 of 2020 and 2021 who answered to use WhatsApp.</t>
  </si>
  <si>
    <t>Source MAU: https://datareportal.com We took the average of internet users of January 2021 and January 2020 and then multiplied by the average internet users bestween 16 and 64 of 2020 and 2021 who answered to use Facebook Messenger.</t>
  </si>
  <si>
    <t>Source MAU: https://de.statista.com/statistik/daten/studie/543400/umfrage/reichweite-von-youtube-in-deutschland/, Average of W4 2019 and W4 2020 was taken we took the average and multiplied if with the average of the German population in 2020 based on datareportal numbers.</t>
  </si>
  <si>
    <t xml:space="preserve">Source MAU: https://datareportal.com/, Potential audience that Twitter reports it can reachbased on the platforms self-advertising tool. Datreportal gives these numbers for January 2020 and Janary 2021. We took the average. </t>
  </si>
  <si>
    <t>Source MAU: https://datareportal.com/, Potential audience that Pinterest reports it can reach based on the platforms self-advertising tool. Datreportal gives these numbers for January 2020. Datareportal does not give the specific users for pinterest in 2019 so we calculated it with share of people who use Pinterest times active social media users. We took the average. Potential reachable audience and monthly active users may diverge significantly</t>
  </si>
  <si>
    <t xml:space="preserve">Source MAU: https://datareportal.com/, Potential audience that Linkedin reports it can reachbased on the platforms self-advertising tool. Datreportal gives these numbers for January 2020 and January 2021. We took the average. </t>
  </si>
  <si>
    <t>Source MAU: https://datareportal.com We took the average of internet users of January 2021 and January 2020 and then multiplied by the average internet users bestween 16 and 64 of 2020 and 2021 who answered to use Tumblr.</t>
  </si>
  <si>
    <t>Source MAU: https://explodingtopics.com/blog/reddit-users, 3,06% of all traffic of Reddit is coming from Germany, in 2020 Reddit had 406,6 users. We assumed that 3,06% of theser are from Germany. Other websites estimating Reddit visitors even give higher MAU.</t>
  </si>
  <si>
    <t>Source MAU: https://datareportal.com/, Total Advertising Audience based on the platforms self-advertising tool. Datreportal gives these numbers for January 2020 and January 2022. We took the average</t>
  </si>
  <si>
    <t>Based on Growth between 2019 and 2021 since no valuable source was found, however articles indicate that TikTok had in October 2020 10,7 million monthly users in Germany. Thus the number seems to be sensible Source: https://www.basicthinking.de/blog/2020/10/05/tik-tok-statistiken-deutschland/</t>
  </si>
  <si>
    <t>Twitch</t>
  </si>
  <si>
    <t>Estimate MAU:Based on decrease of average concurrent viewers from 2021 to 2020 of 30,13%of 7,8%. Source of Concurrent Viewers: https://twitchtracker.com/statistics</t>
  </si>
  <si>
    <t>Pawel Durow</t>
  </si>
  <si>
    <t>Telegram</t>
  </si>
  <si>
    <t>Estimate MAU: After Datarreportal Telegram had in January 2021 8,04 million active users between 16 and 64. For 2020 we could not find any number. Thus we used the average growth rate from 2021 and 2022 as a proxy. Giving the amount of Users Datareportal gives and various news articles that stated that Telegram hat in the middle of 2020 over 7 million subscribers in Germany the estimate seems sensible.</t>
  </si>
  <si>
    <t>Source MAU: https://datareportal.com We took the average of internet users of January 2021 and January 2020 and then multiplied by the average internet users bestween 16 and 64 of 2020 and 2021 who answered to use Xing.</t>
  </si>
  <si>
    <t>Source MAU: https://www.statista.com/statistics/568790/forecast-of-facebook-user-numbers-in-germany/</t>
  </si>
  <si>
    <t>Source MAU: https://datareportal.com We took the average of internet users of January 2021 and February 2022 and then multiplied by the average internet users bestween 16 and 64 of 2022 and 2021 who answered to use WhatsApp.</t>
  </si>
  <si>
    <t>Source MAU: https://datareportal.com We took the average of internet users of January 2021 and February 2022 and then multiplied by the average internet users bestween 16 and 64 of 2022 and 2021 who answered to use Facebook Messenger.</t>
  </si>
  <si>
    <t xml:space="preserve">Source MAU: https://datareportal.com/, Potential audience that Google reports  Youtube can reach based on GoogleAds. Datreportal gives these numbers for January 2021 and February 2022. We took the average. </t>
  </si>
  <si>
    <t xml:space="preserve">Source MAU: https://datareportal.com/, Potential audience that Twitter reports it can reachbased on the platforms self-advertising tool. Datreportal gives these numbers for January 2021 and February 2022. We took the average. </t>
  </si>
  <si>
    <t>Source MAU: https://datareportal.com/, Potential audience that Pinterest reports it can reach based on the platforms self-advertising tool. Datreportal gives these numbers for January 2020 and January 2021. We took the average. Potential reachable audience and monthly active users may diverge significantly</t>
  </si>
  <si>
    <t xml:space="preserve">Source MAU: https://datareportal.com/, Potential audience that Linkedin reports it can reach based on the platforms self-advertising tool. Datreportal gives these numbers for January 2021 and January 2022. We took the average. </t>
  </si>
  <si>
    <t>We took the average of internet users of January 2021 and February 2022 and then multiplied by the average internet users bestween 16 and 64 of 2022 and 2021 who answered to use Tumblr.</t>
  </si>
  <si>
    <t>Source MAU: https://explodingtopics.com/blog/reddit-users, 3,06% of all traffic of Reddit is coming from Germany, in 2021 Reddit had 447,02 users. We assumed that 3,06% of theser are from Germany.</t>
  </si>
  <si>
    <t>Source MAU: https://datareportal.com/, Total Advertising Audience based on the platforms self-advertising tool. Datreportal gives these numbers for January 2021 and February 2022. We took the average</t>
  </si>
  <si>
    <t>Source MAU: https://datareportal.com/, Total Advertising Audience based on the ByteDance's self-advertising tool. Datreportal gives these numbers for February 2022. It must be stated that TikTok only allows targeting users over 18. Since in the Report of 2021 TikTok was not mentioned our method was as follows: Percentage of 16 - 64 years old users who reported to have used TikTok at least once last month (18,2)*Social Media users in Germany 2021 (66 million) We then took the average.</t>
  </si>
  <si>
    <t>Estimate MAU:Based on decrease of average concurrent viewers from 2021 to 2022 of 7,8%. Source of Concurrent Viewers: https://twitchtracker.com/statistics</t>
  </si>
  <si>
    <t>Source MAU: https://datareportal.com We took the average of internet users of January 2021 and February 2022 and then multiplied by the average internet users bestween 16 and 64 of 2022 and 2021 who answered to use Telegram.</t>
  </si>
  <si>
    <t>Source MAU: https://datareportal.com We took the average of internet users of January 2021 and February 2022 and then multiplied by the average internet users bestween 16 and 64 of 2022 and 2021 who answered to use Xing.</t>
  </si>
  <si>
    <t>Source MAU: https://datareportal.com We took the average of internet users of February 2022 and January 2023 and then multiplied by the average internet users bestween 16 and 64 of 2022 and 2023 who answered to use WhatsApp.</t>
  </si>
  <si>
    <t>Source MAU: https://datareportal.com We took the average of internet users of February 2022 and January 2023 and then multiplied by the average internet users bestween 16 and 64 of 2022 and 2023 who answered using Facebook Messenger.</t>
  </si>
  <si>
    <t xml:space="preserve">Source MAU: https://datareportal.com/, Potential audience that Google reports it can reach based on GoogleAds. Datreportal gives these numbers for February 2022 and January 2023. We took the average. </t>
  </si>
  <si>
    <t>X</t>
  </si>
  <si>
    <t xml:space="preserve">In the 27th of October Twitter was aqcuired by the X Corperation, Source MAU: https://datareportal.com/, Potential audience that Twitter reports it can reachbased on the platforms self-advertising tool. Datreportal gives these numbers for February 2022 and January 2023. We took the average. </t>
  </si>
  <si>
    <t>Source MAU: https://datareportal.com/, Potential audience that Pinterest reports it can reach based on the platforms self-advertising tool. Datreportal gives these numbers for February 2022 and January 2023. We took the average. Potential reachable audience and monthly active users may diverge significantly</t>
  </si>
  <si>
    <t xml:space="preserve">Source MAU: https://datareportal.com/, Potential audience that Linkedin reports it can reachbased on the platforms self-advertising tool. Datreportal gives these numbers for February 2022 and January 2023. We took the average. </t>
  </si>
  <si>
    <t>Source MAU: https://explodingtopics.com/blog/reddit-users, 3,06% of all traffic of Reddit is coming from Germany, in 2022 Reddit had 473,4 users. We assumed that 3,06% of theser are from Germany.</t>
  </si>
  <si>
    <t>Source MAU: https://datareportal.com/, Total Advertising Audience based on the platforms self-advertising tool. Datreportal gives these numbers for February 2022 and January 2023. We took the average</t>
  </si>
  <si>
    <t>Source MAU: https://datareportal.com/, Total Advertising Audience based on the ByteDance's self-advertising tool. Datreportal gives these numbers for February 2022 January 2023. We took the average. It must be stated that TikTok only allows targeting users over 18.</t>
  </si>
  <si>
    <t>Source MAU: Online Video Monitor 2023, p.74 - as at 07/2022</t>
  </si>
  <si>
    <t>Source MAU: https://datareportal.com We took the average of internet users of February 2022 and January 2023 and then multiplied by the average internet users bestween 16 and 64 of 2022 and 2023 who answered to use Telegram.</t>
  </si>
  <si>
    <t>Source MAU: https://datareportal.com We took the average of internet users of February 2022 and January 2023 and then multiplied by the average internet users bestween 16 and 64 of 2022 and 2023 who answered to use Xing.</t>
  </si>
  <si>
    <t>Discord</t>
  </si>
  <si>
    <t>Source MAU: https://datareportal.com We took the average of internet users of February 2022 and January 2023 and then multiplied by the average internet users bestween 16 and 64 of 2022 and 2023 who answered to use Discord.</t>
  </si>
  <si>
    <t>Source MAU: https://datareportal.com We took the average of internet users of January 2024 and January 2023 and then multiplied by the average internet users bestween 16 and 64 of 2024 and 2023 who answered to use WhatsApp.</t>
  </si>
  <si>
    <t>Source MAU: https://datareportal.com We took the average of internet users of January 2024 and January 2023 and then multiplied by the average internet users bestween 16 and 64 of 2024 and 2023 who answered to use Facebook Messenger.</t>
  </si>
  <si>
    <t xml:space="preserve">Source MAU: https://datareportal.com/, Potential audience that Google reports it can reach based on GoogleAds. Datreportal gives these numbers for January 2023 and January 2024. We took the average. </t>
  </si>
  <si>
    <t xml:space="preserve">Source MAU: https://datareportal.com/, Potential audience that Twitter reports it can reach based on the platforms self-advertising tool. Datreportal gives these numbers for January 2023 and January 2024. We took the average. </t>
  </si>
  <si>
    <t>Source MAU: https://datareportal.com/, Potential audience that Pinterest reports it can reach based on the platforms self-advertising tool. Datreportal gives these numbers for January 2023 and January 2024. We took the average. Potential reachable audience and monthly active users may diverge significantly</t>
  </si>
  <si>
    <t xml:space="preserve">Source MAU: https://datareportal.com/, Potential audience that Linkedin reports it can reachbased on the platforms self-advertising tool. Datreportal gives these numbers for January 2023 and January 2024. We took the average. </t>
  </si>
  <si>
    <t>Estimate MAU:Germany has a share 2,99% of all traffic of Tumblr. We calculate the average of Unique visitors of the last 6 months of 2023 and multiplied it with 0,0299. Using the assumption that the traffic can be used as an estimate for subscribers. Sources: https://www.statista.com/statistics/261925/unique-visitors-to-tumblrcom/, https://www.statista.com/statistics/261413/distribution-of-tumblr-traffic-by-country/</t>
  </si>
  <si>
    <t>Source MAU: https://explodingtopics.com/blog/reddit-users, 3,06% of all traffic of Reddit is coming from Germany, in 2023 Reddit had 491,5 users. We assumed that 3,06% of theser are from Germany.</t>
  </si>
  <si>
    <t>Source MAU: https://datareportal.com/, Total Advertising Audience based on the platforms self-advertising tool. Datreportal gives these numbers for January 2023 and January 2024. We took the average</t>
  </si>
  <si>
    <t>Source MAU: https://datareportal.com/, Total Advertising Audience based on the ByteDance's self-advertising tool. Datreportal gives these numbers for January 2023 and January 2024. We took the average. It must be stated that TikTok only allows targeting users over 18.</t>
  </si>
  <si>
    <t>Estimate MAU:Based on decrease of average concurrent viewers from 2022 to 2023 of 7%. Source of Concurrent Viewers: https://twitchtracker.com/statistics</t>
  </si>
  <si>
    <t>Source MAU: https://datareportal.com We took the average of internet users of January 2024 and January 2023 and then multiplied by the average internet users bestween 16 and 64 of 2024 and 2023 who answered to use Telegram.</t>
  </si>
  <si>
    <t>Source MAU: https://datareportal.com We took the average of internet users of January 2024 and January 2023 and then multiplied by the share of users between 16 and 64 who indicated to use Xing in January 2023. Since Datareportal did not give the surveys of people using xing for January 2024 we did not take the average</t>
  </si>
  <si>
    <t>Source MAU: https://datareportal.com We took the average of internet users of January 2024 and January 2023 and then multiplied by the share of users between 16 and 64 who indicated to use Discord in January 2023. Since Datareportal did not give the surveys of people using xing for January 2024 we did not take the average</t>
  </si>
  <si>
    <t>Mobile OS</t>
  </si>
  <si>
    <t>Android</t>
  </si>
  <si>
    <r>
      <rPr>
        <b/>
        <sz val="12"/>
        <color theme="1"/>
        <rFont val="Times New Roman"/>
        <family val="1"/>
      </rPr>
      <t>Mobile OS</t>
    </r>
    <r>
      <rPr>
        <sz val="12"/>
        <color theme="1"/>
        <rFont val="Times New Roman"/>
        <family val="1"/>
      </rPr>
      <t xml:space="preserve">: A mobile operating system manages computer hardware, software resources and provides a common interface that allows people to interact with mobile phones and other mobile devices. The two most prominent mobile operating systems at present are Apple’s iOS and Google’s Android. Since mobile O/S are bundled with devices, market share is usually measured as the share of Apple, Google and others’ O/S embedded in mobile devices not revenue. A good source for national and international data on the market share of various mobile operating systems over time is StatCounter. 
While there are many, many “white box” devices that run “forked” versions of Android, i.e. that take the core Android Code and modify it to release their own OS that are not “blessed” by Google, e.g. as Huawei had to do have Trump put that company on a black list, and many other phones that are running a forked version of Android, we will not try to count them because doing so is, well, next to impossible. </t>
    </r>
  </si>
  <si>
    <t>iOS</t>
  </si>
  <si>
    <t>Source for 2018: https://gs.statcounter.com/os-market-share/mobile/germany/#monthly-201801-201812-bar</t>
  </si>
  <si>
    <t>Source for 2019: https://gs.statcounter.com/os-market-share/mobile/germany/#monthly-201901-201912-bar</t>
  </si>
  <si>
    <t>Source for 2020: https://gs.statcounter.com/os-market-share/mobile/germany/#monthly-202001-202012-bar</t>
  </si>
  <si>
    <t>Source for 2021: https://gs.statcounter.com/os-market-share/mobile/germany/#monthly-202011-202112-bar</t>
  </si>
  <si>
    <t>Samsung</t>
  </si>
  <si>
    <t>Source for 2022: https://gs.statcounter.com/os-market-share/mobile/germany/#monthly-202101-202112-bar, lastly accessed 14.08.2024</t>
  </si>
  <si>
    <t>Source for 2023: https://gs.statcounter.com/os-market-share/mobile/germany/#monthly-202301-202312-bar, lastly accessed 14.08.2024</t>
  </si>
  <si>
    <t>Desktop OS</t>
  </si>
  <si>
    <t>Windows</t>
  </si>
  <si>
    <t>Source for 2018: https://gs.statcounter.com/os-market-share/desktop/germany/#monthly-201801-201812-bar, lastly accessed 15.08.24</t>
  </si>
  <si>
    <t>OS X</t>
  </si>
  <si>
    <r>
      <rPr>
        <b/>
        <sz val="12"/>
        <color rgb="FF000000"/>
        <rFont val="Times New Roman"/>
        <family val="1"/>
      </rPr>
      <t>Desktop OS</t>
    </r>
    <r>
      <rPr>
        <sz val="12"/>
        <color rgb="FF000000"/>
        <rFont val="Times New Roman"/>
        <family val="1"/>
      </rPr>
      <t xml:space="preserve">: A desktop operating system manages computer hardware; software resources and provides a common interface that allows people to interact with computers. The two most prominent desktop operating systems at present are Microsoft Windows and Apple’s macOS, although there are a variety of open source operating systems built on top of the Linux operating system. Since desktop O/S are bundled with personal computers, market share is usually measured as the share of Microsoft Windows, Apple macOS, and Linux O/S embedded in such computers, not revenue. A good source for national and international data on the market share of desktop operating systems is StatCounter. </t>
    </r>
  </si>
  <si>
    <t>Linux Foundation</t>
  </si>
  <si>
    <t>Linux</t>
  </si>
  <si>
    <r>
      <rPr>
        <b/>
        <sz val="12"/>
        <color rgb="FF000000"/>
        <rFont val="Times New Roman"/>
        <family val="1"/>
      </rPr>
      <t>Source for the whole sector</t>
    </r>
    <r>
      <rPr>
        <sz val="12"/>
        <color rgb="FF000000"/>
        <rFont val="Times New Roman"/>
        <family val="1"/>
      </rPr>
      <t>: Statcounter - https://statcounter.com/</t>
    </r>
  </si>
  <si>
    <t>Source for 2019: https://gs.statcounter.com/os-market-share/desktop/germany/#monthly-201901-201912-bar, lastly accessed 15.08.24</t>
  </si>
  <si>
    <t>Source for 2020: https://gs.statcounter.com/os-market-share/desktop/germany/#monthly-202001-202012-bar, lastly accessed 15.08.24</t>
  </si>
  <si>
    <t>Source for 2021: https://gs.statcounter.com/os-market-share/desktop/germany/#monthly-202101-202112-bar, lastly accessed 15.08.2024</t>
  </si>
  <si>
    <t>Source 2022: https://gs.statcounter.com/os-market-share/desktop/germany/#monthly-202201-202212-bar, lastly accessed 15.08.2024</t>
  </si>
  <si>
    <t>Source for 2023: https://gs.statcounter.com/os-market-share/desktop/germany/#monthly-202301-202312-bar, lastly accessed 15.08.2024</t>
  </si>
  <si>
    <t>Chrome OS</t>
  </si>
  <si>
    <t>Mobile Browsers</t>
  </si>
  <si>
    <t>Chrome, Android</t>
  </si>
  <si>
    <t>Source for 2018: https://gs.statcounter.com/browser-market-share/mobile/germany/#monthly-201801-201812-bar, lastly accessed 14.08.2024</t>
  </si>
  <si>
    <t>Safari</t>
  </si>
  <si>
    <t xml:space="preserve">Mobile Browsers: A mobile browser is a web browser designed for use on mobile phones and other mobile devices and optimized to display Web content effectively for small screens on portable devices. The advent of mobile browsers have helped to bring about the “mobile web” based on mobile versions of websites and pages on the Internet. A good source for national and international data on the market share of mobile browsers is StatCounter. </t>
  </si>
  <si>
    <t>Samsung Internet</t>
  </si>
  <si>
    <t>Mozilla</t>
  </si>
  <si>
    <t xml:space="preserve">Mozilla </t>
  </si>
  <si>
    <t>Firefox</t>
  </si>
  <si>
    <r>
      <rPr>
        <b/>
        <sz val="12"/>
        <color theme="1"/>
        <rFont val="Times New Roman"/>
        <family val="1"/>
      </rPr>
      <t>Desktop Browsers</t>
    </r>
    <r>
      <rPr>
        <sz val="12"/>
        <color theme="1"/>
        <rFont val="Times New Roman"/>
        <family val="1"/>
      </rPr>
      <t>: A desktop browser is application software used to access the World Wide Web. A good source for national and international data desktop browser market share is StatCounter.</t>
    </r>
  </si>
  <si>
    <t>Yahoo.de (US)</t>
  </si>
  <si>
    <t>MSN (US)</t>
  </si>
  <si>
    <t>GMX</t>
  </si>
  <si>
    <t>GMX (United Internet)</t>
  </si>
  <si>
    <t>Lycos Europe</t>
  </si>
  <si>
    <t>Chrome</t>
  </si>
  <si>
    <t>Source for 2018: https://gs.statcounter.com/browser-market-share/desktop/germany/#monthly-201801-201812-bar, lastly accessed 14.08.2024</t>
  </si>
  <si>
    <t>Mozilla Corperation</t>
  </si>
  <si>
    <t>Internet Explorer, Edge Legacy</t>
  </si>
  <si>
    <t>App Store</t>
  </si>
  <si>
    <t>Source: Sensor Tower; https://sensortower.com/blog/europe-app-revenue-and-downloads-2019</t>
  </si>
  <si>
    <t>Play Store</t>
  </si>
  <si>
    <t>Source: Sensor Tower; https://sensortower.com/blog/europe-app-revenue-and-downloads-2020</t>
  </si>
  <si>
    <t>Source: Sensor Tower: https://sensortower.com/blog/european-app-revenue-and-downloads-2021</t>
  </si>
  <si>
    <t>Calculation: total revenue in 2022 (1951€) * 0.539 (revenue share according to Statista Market Insights). Source: https://www.statista.com/outlook/amo/app/germany</t>
  </si>
  <si>
    <t>Calculation: total revenue in 2022 (1951€) * 0.461 (revenue share according to Statista Market Insights). Source: https://www.statista.com/outlook/amo/app/germany</t>
  </si>
  <si>
    <t>Calculation: total revenue in 2023 (1686€) * 0.534 (revenue share according to Statista Market Insights). Source: https://www.statista.com/outlook/amo/app/germany</t>
  </si>
  <si>
    <t>Calculation: total revenue in 2023 (1686€) * 0.466 (revenue share according to Statista Market Insights). Source: https://www.statista.com/outlook/amo/app/germany</t>
  </si>
  <si>
    <t>Source for 2019: https://gs.statcounter.com/browser-market-share/desktop/germany/#monthly-201901-201912-bar, lastly accessed, 12.08.2024</t>
  </si>
  <si>
    <t>Source for 2020: https://gs.statcounter.com/browser-market-share/desktop/germany/#monthly-202001-202012, lastly accessed 12.08.2024</t>
  </si>
  <si>
    <t>Edge Legacy</t>
  </si>
  <si>
    <t xml:space="preserve">Opera </t>
  </si>
  <si>
    <t>Opera</t>
  </si>
  <si>
    <t>Source for 2021: https://gs.statcounter.com/browser-market-share/desktop/germany/#monthly-202101-202112-bar, lastly accessed 12.08.2024</t>
  </si>
  <si>
    <t>Edge</t>
  </si>
  <si>
    <t>Source for 2022: https://gs.statcounter.com/browser-market-share/desktop/germany/#monthly-202201-202212-bar, lastly accessed 12.08.2024</t>
  </si>
  <si>
    <t>Source for 2023: https://gs.statcounter.com/browser-market-share/desktop/germany/#monthly-202301-202312-bar, 12.08.2024</t>
  </si>
  <si>
    <t>Film TV OVS Distribution</t>
  </si>
  <si>
    <t>Warner Bros</t>
  </si>
  <si>
    <t>Warner Bros. Entertainment (Time Warner, US)</t>
  </si>
  <si>
    <t xml:space="preserve">This sector covers revenue derived from the control of distribution rights for all television, film and online video services. In other words, it includes revenue from the exploitation of distribution rights for theatrical and home entertainment services as well as special rights for festivals). Column K identifies, where possible, the primary production activity involved, i.e. production for: film, television or online video service.  </t>
  </si>
  <si>
    <t>Paramount Pictures</t>
  </si>
  <si>
    <t>Paramount Pictures (Viacom, US)</t>
  </si>
  <si>
    <t>1Frank(1993).
2Hachmeister and Rager(2003).
3PricewaterhouseCoopers(2010).
4 Uka (2004).
5 Total revenue in € m for 1988.
6 Total revenue in € m for 1998.
7 Total revenue in € m for 2001.</t>
  </si>
  <si>
    <t>DreamWor ks SKG</t>
  </si>
  <si>
    <t>Twentieth Century Fox (21st Century Fox/Murdoch,US/UK)</t>
  </si>
  <si>
    <t>Walt Disney</t>
  </si>
  <si>
    <t>Walt Disney Motion Pictures (US)</t>
  </si>
  <si>
    <t>Miramax</t>
  </si>
  <si>
    <t>Pixar Animation Studios</t>
  </si>
  <si>
    <t>Marvel Entertainment</t>
    <phoneticPr fontId="4" type="noConversion"/>
  </si>
  <si>
    <t>Sony</t>
  </si>
  <si>
    <t>Sony Pictures Entertainment (Japan/US)</t>
    <phoneticPr fontId="4" type="noConversion"/>
  </si>
  <si>
    <t>Columbia Pictures</t>
  </si>
  <si>
    <t>Tri-Star Pictures</t>
  </si>
  <si>
    <t>Universal Pictures (US/France)</t>
  </si>
  <si>
    <t>Other (MGM, Constantin Film, Tobis, etc.)</t>
  </si>
  <si>
    <t>Source for 2019: https://gs.statcounter.com/browser-market-share/mobile/germany/#monthly-201901-201912, lastly accessed 12.08.2024</t>
  </si>
  <si>
    <t>Source for 2020: https://gs.statcounter.com/browser-market-share/mobile/germany/#monthly-202001-202012-bar, lastly accessed 12.08.2024</t>
  </si>
  <si>
    <t>Source for 2021: https://gs.statcounter.com/browser-market-share/mobile/germany/#monthly-202101-202112-bar, lastly accesses 12.08.2024</t>
  </si>
  <si>
    <t>Source for 2022: https://gs.statcounter.com/browser-market-share/mobile/germany/#monthly-202201-202212-bar, lastly accesses 12.08.2024</t>
  </si>
  <si>
    <t>Degoo Backup</t>
  </si>
  <si>
    <t>Degoo Cloud</t>
  </si>
  <si>
    <t>Instabridge</t>
  </si>
  <si>
    <t>Llc</t>
  </si>
  <si>
    <t>Source for 2023: https://gs.statcounter.com/browser-market-share/mobile/germany/#monthly-202301-202312-bar, lastly accessed 12.08.2024</t>
  </si>
  <si>
    <t>Multichannel Video Distribution (Cable/DBS/IPTV)</t>
  </si>
  <si>
    <t>Sky Deutschland</t>
  </si>
  <si>
    <t>Revenue from subscriptions, based on annual company report 2019 of Sky Deutschland Fernsehen GmbH &amp; Co. KG, see Bundesanzeiger: https://www.bundesanzeiger.de/pub/de/start?18</t>
  </si>
  <si>
    <t>Cable, DBS/DTH, IPTV</t>
  </si>
  <si>
    <t>Source Revenue: DT IR BackUp Q4/2019,p.24, https://www.telekom.com/resource/blob/592882/f767dde65d0cda58930d2f007d2df90f/dl-200219-q4-presentation-backup-pdf-data.pdf</t>
  </si>
  <si>
    <t xml:space="preserve">Vodafone  Deutschland </t>
  </si>
  <si>
    <t>Cable/IPTV</t>
  </si>
  <si>
    <t>Estimate Revenue: Tv-Subscriber*ARPU Pyür 2019*12; Source Subscribers: https://investors.vodafone.com/reports-information/results-reports-presentations?tab=fy21, sheet 10, TV customers",</t>
  </si>
  <si>
    <t>Cable, IPTV</t>
  </si>
  <si>
    <t xml:space="preserve">Estimate Revenue: Tv-Subscriber*ARPU Pyür 2019*12; Source Subscribers: https://investors.vodafone.com/reports-information/results-reports-presentations?tab=fy21, sheet 10, TV customers", The increase in subscribers between Q2 and Q3 of 2019/20 can be attributed to Vodafone's revised accounting, which now includes subscribers from Unity Media, following Vodafone’s acquisition of Unity Media in August 2019. It is assumed that all the new subscribers counted in Q3 were previously subscribers of Unity Media.
</t>
  </si>
  <si>
    <t>Estimate Revenue based on: Total Access Revenue 2019 = 3.674,7 Wireline = 936,5 ISP = 1238,46, Wireless = 1386,99 Thus if we assume that the rest is IIPTV = 112,34</t>
  </si>
  <si>
    <t xml:space="preserve">PYÜR </t>
  </si>
  <si>
    <t>Source Subscribers: Annual report 2020, p.40;  Source ARPU: Annual report Tele-Columbus 2020, p. 3</t>
  </si>
  <si>
    <t>SES S.A.</t>
  </si>
  <si>
    <t>SES Astra Deutschland GmbH</t>
  </si>
  <si>
    <t>HD Plus</t>
  </si>
  <si>
    <t>Source: Jahresabschluss zum Geschäftsjahr vom 01.01.2019 bis zum 31.12.2019, retrived from: https://www.bundesanzeiger.de/pub/de/suchergebnis?11</t>
  </si>
  <si>
    <t>Media Broadcast</t>
  </si>
  <si>
    <t>Freenet TV</t>
  </si>
  <si>
    <t>IPTV</t>
  </si>
  <si>
    <t>Estimate Revenue: (Average yearly Subscribers*Monthly Subscription price*12)/1000, Sources in each respective cell</t>
  </si>
  <si>
    <t>Exairng AG</t>
  </si>
  <si>
    <t>Waipu</t>
  </si>
  <si>
    <t>Exairing, Media Broadcast</t>
  </si>
  <si>
    <t>Freenet TV, Waipu</t>
  </si>
  <si>
    <t>Estimations of Waipu and Freenet in the two hidden rows above</t>
  </si>
  <si>
    <t>Revenue from subscriptions, based on annual company report 2020 of Sky Deutschland Fernsehen GmbH &amp; Co. KG, see Bundesanzeiger: https://www.bundesanzeiger.de/pub/de/start?18</t>
  </si>
  <si>
    <t>Source TV-Revenue: DT IR BackUp Q4/2020, p.24, https://www.telekom.com/resource/blob/618334/a9c05423b904130270a7a481791ad211/dl-backup-gb-2020-data.pdf</t>
  </si>
  <si>
    <t xml:space="preserve">Vodafone Deutschland </t>
  </si>
  <si>
    <t xml:space="preserve">Estimate Revenue: Average TV-subscriber*ARPU Pyür 2020*12, https://investors.vodafone.com/reports-information/results-reports-presentations?tab=fy21--&gt;Full Year 20 Spreadsheet. Sheet: Fixed TV Customer; We used only the subscriber data from Q2, Q3, and Q4 to calculate the average. Vodafone acquired Unitymedia and its subscribers in August 2019. However, the increase in subscribers was only reflected in Vodafone's accounting in Q2 2020. We assume this delay in accounting is due to a reporting lag, and therefore, the revenues from the former Unitymedia customers are attributed to Vodafone for the entire year. This approach ensures that no revenue is overlooked."
</t>
  </si>
  <si>
    <t>Estimate Revenue: Total Access Revenue 2020 = 3786,8; Wireline = 937,11, ISP = 1250,8 ; Wireless = 1422,37; Rest IPTV = 175,72</t>
  </si>
  <si>
    <t>Estimate Revenue: CaTV*Pyür ARPU TV 2020*12, Annual report Tele-Columbus 2020, Seite 3</t>
  </si>
  <si>
    <t>Source: HD Plus, Jahresabschluss zum Geschäftsjahr vom 01.01.2021 bis zum 31.12.2021 retrived from: https://www.bundesanzeiger.de/pub/de/suchergebnis?8</t>
  </si>
  <si>
    <t xml:space="preserve"> Media Broadcast</t>
  </si>
  <si>
    <t>(Average yearly Subscribers*Monthly Subscription price*12)/1000, Sources in each respective cell</t>
  </si>
  <si>
    <t xml:space="preserve">Exairing </t>
  </si>
  <si>
    <t>Estimations for Freenet in two hidden rows above</t>
  </si>
  <si>
    <t>Revenue from subscriptions, based on annual company report 2021 of Sky Deutschland Fernsehen GmbH &amp; Co. KG, see Bundesanzeiger: https://www.bundesanzeiger.de/pub/de/start?18</t>
  </si>
  <si>
    <t>Source TV-Revenue: DT IR BackUp Q4/2021, p.24, https://www.telekom.com/resource/blob/646332/e6fa92c85776cf4d0779ecf496dbc0bb/dl-q4-backup-pdf-data.pdf</t>
  </si>
  <si>
    <t>Vodafone Deutschland GmbH</t>
  </si>
  <si>
    <t>Estimate TV Revenue: Average TV subscriber*Pyür ARPU 2012*12,  https://investors.vodafone.com/reports-information/results-reports-presentations?tab=fy21,Full Year 20 Spreadsheet. Sheet: Fixed TV Customer</t>
  </si>
  <si>
    <t>Source TV Revenue: Annual Report Tele-Columbus 2022, p.14</t>
  </si>
  <si>
    <t>Estimate Revenue: Total Access Revenue 2021 = 3909,7 Wireline = 892,63 ISP = 1257,36 Wireless = 1479,32--&gt; IPTV = 276,39</t>
  </si>
  <si>
    <t>Based on guessed ARPU*Subscribers,Comcast 4th Quarter Results, p.8  https://www.cmcsa.com/static-files/050e7ae9-5e03-46d7-a39b-a1fff353faea</t>
  </si>
  <si>
    <t>Source TV Revenue:, DT IR BackUp Q4/2022, p.24, https://www.telekom.com/resource/blob/1024772/daac458cc8759249fedb653d3cb4057a/dl-q4-backup-pdf-data.pdf</t>
  </si>
  <si>
    <t>Estimate Revenue: Average yearly subscriber*Pyür ARPU*12, https://investors.vodafone.com/reports-information/results-reports-presentations?tab=fy21--&gt;Full Year 22 Spreadsheet. Sheet: Fixed TV Customer</t>
  </si>
  <si>
    <t>Source Revenue: Annual report Tele-Columbus 2022, p.14</t>
  </si>
  <si>
    <t>Estimate based on RGUs × ARPU × 12; Source: SES Annual Report 2022, p.11 &amp; 125; ARPU ≈ €5.40, RGUs ≈ 1.8M</t>
  </si>
  <si>
    <t>Estimate Revenue: Total Revenue in Access 2022 = 3963,7 Wireline = 835,39 ISP = 1231,73 Wireless = 1493,87 --&gt;IPTV = 402,71</t>
  </si>
  <si>
    <t>Estimations of Waipu and Freenet in the two hidden wows above</t>
  </si>
  <si>
    <t>Source Revenue: DT IR BackUp Q4/2023,p.24</t>
  </si>
  <si>
    <t>Estimate Revenue: TV-Subscribers*ARPU Pyür*12; Vodafone Group Plc
Additional Information FY 2024, TV Customers Average</t>
  </si>
  <si>
    <t>Based in growth rate of 3,4%; Annual report p.63</t>
  </si>
  <si>
    <t>Source Revenue: Annual Report 2023, p.8; RGUs*ARPU*12</t>
  </si>
  <si>
    <t>Estimate based on RGUs × ARPU × 12; Source: SES Annual Report 2023, p.8 &amp; 18; ARPU = 5.50, RGUs =.8M</t>
  </si>
  <si>
    <t>Estimate Revenue: Average subscribers 2023*Price per subscription*12; Annul report; Key figures p.0; Price per subscription: https://www.dslweb.de/news/tv/freenet-tv-um-14-prozent-teurer.php?utm_source=chatgpt.com</t>
  </si>
  <si>
    <t>Estimate Revenue: Average subscribers 2023*Price per subscription*12; Subscribers: Annul report; Key figures p.0; Price per subscrition: https://www.netzwelt.de/news/206226-freenet-tv-preiserhoehung-kommt-noch-2022ab-dann-muesst-mehr-bezahlen-0109.html, lastly accessed 24.02.2025</t>
  </si>
  <si>
    <t>Revenue WaipuTV + FreenetTV; Estimations in the hidden rows above</t>
  </si>
  <si>
    <t xml:space="preserve">Online News Media </t>
  </si>
  <si>
    <t xml:space="preserve">CD, CI: Media Diversity Monitor using Nielsen Digital Content Management, July 2021 - June 2022, KEK, BLM, Basis: Unique Audience https://www.die-medienanstalten.de/fileadmin/user_upload/die_medienanstalten/Forschung/Medienvielfaltsmonitor/Medienvielfaltsmonitor_2022-I.pdf,  </t>
  </si>
  <si>
    <t xml:space="preserve">Burda Verlag OR Burda Publishing House (ENG) </t>
  </si>
  <si>
    <t xml:space="preserve">Fokus.de </t>
  </si>
  <si>
    <t>KKR</t>
  </si>
  <si>
    <t>Ströer</t>
  </si>
  <si>
    <t xml:space="preserve">Verizon Communications </t>
  </si>
  <si>
    <t>ProSiebenSat.1</t>
  </si>
  <si>
    <t xml:space="preserve"> F.Wolff &amp; Sohn</t>
  </si>
  <si>
    <t xml:space="preserve">1&amp;1 Mail &amp; Media </t>
  </si>
  <si>
    <t>web.de, gmx.net</t>
  </si>
  <si>
    <t>msn.com</t>
  </si>
  <si>
    <t xml:space="preserve">Stroer News Publishing </t>
  </si>
  <si>
    <t xml:space="preserve">t-online.de </t>
  </si>
  <si>
    <t xml:space="preserve"> Burda </t>
  </si>
  <si>
    <t xml:space="preserve">Fokus Magazin Verlag </t>
  </si>
  <si>
    <t>focus.de</t>
  </si>
  <si>
    <t>CI: Source: KEK https://medienvielfaltsmonitor.de/?companyFilter=Burda</t>
  </si>
  <si>
    <t>Verizon Communications</t>
  </si>
  <si>
    <t>Yahoo EMEA</t>
  </si>
  <si>
    <t>yahoo.com</t>
  </si>
  <si>
    <t xml:space="preserve">Axel Springer Deutschland </t>
  </si>
  <si>
    <t>Bild.de, Welt.de</t>
  </si>
  <si>
    <t>zdf.de</t>
  </si>
  <si>
    <t>Bertelsmann/Spiegel associate company</t>
  </si>
  <si>
    <t>Spiegel-Verlag Rudolf Augstein</t>
  </si>
  <si>
    <t>spiegel.de</t>
  </si>
  <si>
    <t>Spiegel Group is majority owned and controlled by it's employers (through 
KG Beteiligungsgesellschaft für SPIEGEL-Mitarbeiter mbH &amp; Co.) https://gruppe.spiegel.de/unternehmen, Bertelsmann controlls through RM Hamburg Holding 25.3%. https://www.kek-online.de/medienkonzentration/mediendatenbank#/profile/media/5be1a6b1-c2bb-48d5-a8a2-6b2ad3509ad5 (2023)</t>
  </si>
  <si>
    <t>n-tv Nachrichtenfernsehen / RTL Group</t>
  </si>
  <si>
    <t>n-tv.de</t>
  </si>
  <si>
    <t>Bertelsmann owns n-tv.de through the RTL Group (https://www.kek-online.de/medienkonzentration/mediendatenbank#/profile/media/5be1a6b1-8ebc-4564-86a9-40bd6466c098)</t>
  </si>
  <si>
    <t xml:space="preserve">G + J Medien / RTL Group </t>
  </si>
  <si>
    <t>stern.de</t>
  </si>
  <si>
    <t>Bertelsmann owns stern.de through the RTL Group (https://www.kek-online.de/medienkonzentration/mediendatenbank#/profile/media/5be1a6b1-b59e-4faf-8394-692284216688) (2023)</t>
  </si>
  <si>
    <t>??</t>
  </si>
  <si>
    <t>zeit.de, Tagesspiegel.de</t>
  </si>
  <si>
    <t>Online Video Platforms</t>
  </si>
  <si>
    <t>Google Sites</t>
  </si>
  <si>
    <r>
      <rPr>
        <b/>
        <sz val="12"/>
        <color theme="1"/>
        <rFont val="Times New Roman"/>
        <family val="1"/>
      </rPr>
      <t>Online Video Services:</t>
    </r>
    <r>
      <rPr>
        <sz val="12"/>
        <color theme="1"/>
        <rFont val="Times New Roman"/>
        <family val="1"/>
      </rPr>
      <t xml:space="preserve"> firms in this market aggregate and deliver video over the internet. Over time a variety of different revenue and business models have developed for online video services, with five sub-categories taking shape: 1. </t>
    </r>
    <r>
      <rPr>
        <b/>
        <sz val="12"/>
        <color theme="1"/>
        <rFont val="Times New Roman"/>
        <family val="1"/>
      </rPr>
      <t>SVOD</t>
    </r>
    <r>
      <rPr>
        <sz val="12"/>
        <color theme="1"/>
        <rFont val="Times New Roman"/>
        <family val="1"/>
      </rPr>
      <t xml:space="preserve"> (Subscription video on demand) is a pure player service where content is provided without commercials (outside of self-promotion of content) and charged a subscription rate (e.g. Netflix); 2. </t>
    </r>
    <r>
      <rPr>
        <b/>
        <sz val="12"/>
        <color theme="1"/>
        <rFont val="Times New Roman"/>
        <family val="1"/>
      </rPr>
      <t>TVOD</t>
    </r>
    <r>
      <rPr>
        <sz val="12"/>
        <color theme="1"/>
        <rFont val="Times New Roman"/>
        <family val="1"/>
      </rPr>
      <t xml:space="preserve"> (Transactional video on demand) is a pure player service where content is provided without commercials of any time, and the user is charged a one-time fee for the right to watch the content as often and much as they want (e.g. Apple iTunes); 3. </t>
    </r>
    <r>
      <rPr>
        <b/>
        <sz val="12"/>
        <color theme="1"/>
        <rFont val="Times New Roman"/>
        <family val="1"/>
      </rPr>
      <t>AVOD</t>
    </r>
    <r>
      <rPr>
        <sz val="12"/>
        <color theme="1"/>
        <rFont val="Times New Roman"/>
        <family val="1"/>
      </rPr>
      <t xml:space="preserve"> (Advertising-supported video on demand) is a pure player service where content is free of charge but served with commercials (e.g. YouTube); 4. </t>
    </r>
    <r>
      <rPr>
        <b/>
        <sz val="12"/>
        <color theme="1"/>
        <rFont val="Times New Roman"/>
        <family val="1"/>
      </rPr>
      <t>Linear Streaming Service</t>
    </r>
    <r>
      <rPr>
        <sz val="12"/>
        <color theme="1"/>
        <rFont val="Times New Roman"/>
        <family val="1"/>
      </rPr>
      <t xml:space="preserve"> is a system where linear programming is offered and a subscription rate is charged.  This is often referred to by some sources as streaming pay tv or over the top tv (e.g. SlingTV); 5. </t>
    </r>
    <r>
      <rPr>
        <b/>
        <sz val="12"/>
        <color theme="1"/>
        <rFont val="Times New Roman"/>
        <family val="1"/>
      </rPr>
      <t xml:space="preserve">Hybrid Services </t>
    </r>
    <r>
      <rPr>
        <sz val="12"/>
        <color theme="1"/>
        <rFont val="Times New Roman"/>
        <family val="1"/>
      </rPr>
      <t xml:space="preserve">consist of a hybrid player that mixes two (or more) of the above. For instance, if a player offers multiple tiers of service including a free advertising only tier, a tier with some ads for a charge, and a tier with no ads for another charge, especially when content is locked behind those tiers, it would be a hybrid service (see: Hulu, Peacock).  It can also be a hybrid that combines other services, like linear streaming and AVOD (see Hulu + LiveTV).  </t>
    </r>
    <r>
      <rPr>
        <b/>
        <sz val="12"/>
        <color theme="1"/>
        <rFont val="Times New Roman"/>
        <family val="1"/>
      </rPr>
      <t>Note</t>
    </r>
    <r>
      <rPr>
        <sz val="12"/>
        <color theme="1"/>
        <rFont val="Times New Roman"/>
        <family val="1"/>
      </rPr>
      <t>: Just because a Linear Streaming Service offers on demand does not make it hybrid.  The on-demand component is a negotiated part of their rights agreement and is not a stand-alone service or offering.  It is no different than other forms of “authenticated tv”, where cable and DBS companies allow you to sign into and use a stream of the channel because you pay for the channel through cable (see: TLCgo, TBS, HBO Go, etc.). The type of service will be evident from, among other things, the source of revenue and should be indicated in the “Sub-sector” column on the “Online Video Services” sheet. This market does not include subscription-based pornography sites or companies that do not primarily make on-demand videos available as their core function, such as Facebook or Twitter.</t>
    </r>
  </si>
  <si>
    <t>Megavideo</t>
  </si>
  <si>
    <t>ComScore Video Metrix. Comscore. October 20, 2008. Last accessed on August 10, 2012 at &lt;http://www.comscore.
com/Press_Events/Press_Releases/2008/10/German_YouTube_Viewers&gt;
2 ComScore Video Metrix. Comscore. September 14, 2010. Last accessed on August 10, 2012 at &lt;http://www.
comscore.com/Press_Events/Press_Releases/2010/9/Online-Video_Konsum_in_Deutschland_steigt_
weiter_stark_an?utm_source=feedburner&amp;utm_medium=feed&amp;utm_campaign=Feed%3A+comscore+
%28comScore+Networks%29&amp;utm_content=Google+Feedfetcher&gt;</t>
  </si>
  <si>
    <t>ProSiebenSat1 Sites (MyVideo.de)</t>
  </si>
  <si>
    <t>RTL Group Sites (Clipfish.de)</t>
  </si>
  <si>
    <t>Microsoft Sites</t>
  </si>
  <si>
    <t>Dailymotion</t>
  </si>
  <si>
    <t>Dailymotion.de</t>
  </si>
  <si>
    <t>Yahoo Sites (Yahoo Video)</t>
  </si>
  <si>
    <t>Others (e.g. AOL Sites, T-Online Sites, Vevo, ZDF Mediathek)</t>
  </si>
  <si>
    <t>Kabel Deutschland</t>
  </si>
  <si>
    <r>
      <rPr>
        <b/>
        <sz val="12"/>
        <color rgb="FF000000"/>
        <rFont val="Times New Roman"/>
        <family val="1"/>
      </rPr>
      <t>Pay TV Programming Services</t>
    </r>
    <r>
      <rPr>
        <sz val="12"/>
        <color rgb="FF000000"/>
        <rFont val="Times New Roman"/>
        <family val="1"/>
      </rPr>
      <t xml:space="preserve">: television channels/services not distributed free over-the-air but for a fee over cable, satellite or IPTV platform. This includes standard services delivered over multichannel video distribution services such as the Discovery channel as well as premium pay television services such as HBO. </t>
    </r>
  </si>
  <si>
    <t>Unitymedia</t>
  </si>
  <si>
    <t>Source: “Wirtschaftsfaktor Kabel.” Solon Management Consultants. Last accessed on August 10, 2012 at &lt;http://www.anga.de/media/
file/10.Solon-Studie_Wirtschaftsfaktor_Kabel_final.pdf&gt;. 2011 updates provided by editors.
1 Primacon was bought by Medfort S à r l in 2010.</t>
  </si>
  <si>
    <t>Kabel BW</t>
  </si>
  <si>
    <t>1All channels with an asterisk * have changed their owner over time.</t>
  </si>
  <si>
    <t>Tele Columbia</t>
  </si>
  <si>
    <t>Medfort S à r.l (Primacon)</t>
  </si>
  <si>
    <t>Public Channels</t>
  </si>
  <si>
    <t>Other Public (Aggregate Regional)</t>
  </si>
  <si>
    <t>ProSiebenSat.1 Media AG (formerly Kirch Group, now owned KKR/Permira)</t>
    <phoneticPr fontId="4" type="noConversion"/>
  </si>
  <si>
    <t>Sat.1</t>
  </si>
  <si>
    <t>ProSieben</t>
  </si>
  <si>
    <t>Kabel 1</t>
  </si>
  <si>
    <t>DSF (*until 2003)</t>
  </si>
  <si>
    <t>N 24</t>
  </si>
  <si>
    <t>Premiere (*1997–2003)</t>
  </si>
  <si>
    <t>Premiere (*1997–2003)</t>
    <phoneticPr fontId="4" type="noConversion"/>
  </si>
  <si>
    <t>9Live (*since 2001)</t>
  </si>
  <si>
    <t>9Live (*since 2001)</t>
    <phoneticPr fontId="4" type="noConversion"/>
  </si>
  <si>
    <t>RTL Group (formerly CLT/UFA,now Bertelsmann)</t>
    <phoneticPr fontId="4" type="noConversion"/>
  </si>
  <si>
    <t xml:space="preserve">RTL  </t>
    <phoneticPr fontId="4" type="noConversion"/>
  </si>
  <si>
    <t>Super RTL, RTL II, VOX</t>
  </si>
  <si>
    <t>n-tv (*since 2002)</t>
  </si>
  <si>
    <t>Télévision Francaise (Bouygues, France)</t>
  </si>
  <si>
    <t>Télévision Francaise (Bouygues, France)</t>
    <phoneticPr fontId="4" type="noConversion"/>
  </si>
  <si>
    <t>Eurosport</t>
  </si>
  <si>
    <t>Viacom</t>
  </si>
  <si>
    <t>Viacom (US)</t>
  </si>
  <si>
    <t>MTV, MTV2, Viva, Comedy Central, Nick</t>
  </si>
  <si>
    <t>MTV, MTV2, Viva, Comedy Central, Nick</t>
    <phoneticPr fontId="4" type="noConversion"/>
  </si>
  <si>
    <t>EM.Sport Media</t>
  </si>
  <si>
    <t>DSF (*since 2005)</t>
  </si>
  <si>
    <t>DSF (*since 2005)</t>
    <phoneticPr fontId="4" type="noConversion"/>
  </si>
  <si>
    <t>News Corp</t>
  </si>
  <si>
    <t>News Corp (US/UK)</t>
  </si>
  <si>
    <t>9Live (*2000–2001)</t>
  </si>
  <si>
    <t>9Live (*2000–2001)</t>
    <phoneticPr fontId="4" type="noConversion"/>
  </si>
  <si>
    <t>Investment Group Permira</t>
  </si>
  <si>
    <t>Premiere (*2003–2006)</t>
  </si>
  <si>
    <t>Premiere (*2003–2006)</t>
    <phoneticPr fontId="4" type="noConversion"/>
  </si>
  <si>
    <t>Ufa /Canal Plus France</t>
  </si>
  <si>
    <t>Premiere (*until 1997)</t>
  </si>
  <si>
    <t>Premiere (*until 1997)</t>
    <phoneticPr fontId="4" type="noConversion"/>
  </si>
  <si>
    <t>Time Warner</t>
  </si>
  <si>
    <t>n-tv (*until 2002)</t>
  </si>
  <si>
    <t>Tele-München</t>
  </si>
  <si>
    <t>Tele 5</t>
  </si>
  <si>
    <t>Discovery Communications (US)</t>
    <phoneticPr fontId="4" type="noConversion"/>
  </si>
  <si>
    <t>DMAX</t>
  </si>
  <si>
    <t>MMWMinimovie World (REN Media Group, Lesnevsky Family, Russia)</t>
  </si>
  <si>
    <t>MMWMinimovie World (REN Media Group, Lesnevsky Family, Russia)</t>
    <phoneticPr fontId="4" type="noConversion"/>
  </si>
  <si>
    <t>Das Vierte</t>
  </si>
  <si>
    <t>CR4</t>
  </si>
  <si>
    <t>HHI</t>
  </si>
  <si>
    <t>Weighted CR4</t>
  </si>
  <si>
    <t>Weighted HHI</t>
  </si>
  <si>
    <t>CR2</t>
  </si>
  <si>
    <t>CR3</t>
  </si>
  <si>
    <t>CR1</t>
  </si>
  <si>
    <t>Noam Index</t>
  </si>
  <si>
    <t>Based on: Revenue</t>
  </si>
  <si>
    <t>Multichannel Video Distribution</t>
  </si>
  <si>
    <t>Based on Revenue</t>
  </si>
  <si>
    <t>Based: on Revenue</t>
  </si>
  <si>
    <t>Social Media Platform</t>
  </si>
  <si>
    <t>Based on: Market Shares by Audience (%)</t>
  </si>
  <si>
    <t>Search Engines Desktop</t>
  </si>
  <si>
    <t>Based on: Market Shares by 1,000 Monthly Unique Visitors (%);  Only three companies &gt; 1%; To ensure international comparability, we set CR3 equal to CR4, even though only three companies held a market share above 1%. The differences between CR3 and CR4 were marginal and did not materially affect the results.</t>
  </si>
  <si>
    <t>Based on: Market Shares by 1,000 Monthly Unique Visitors (%); To ensure international comparability, we set CR3 equal to CR4, even though only three companies held a market share above 1%. The differences between CR3 and CR4 were marginal and did not materially affect the results.</t>
  </si>
  <si>
    <t>Based on: Market Shares by 1,000 Monthly Unique Visitors (%)</t>
  </si>
  <si>
    <t>Search Engines Mobile</t>
  </si>
  <si>
    <t>Based on: Market Shares by 1,000 Monthly Unique Visitors (%); only Google &gt;1%; To ensure international comparability, we set CR2, CR3 and CR4 equal to CR1, even though only two companies held a market share above 1%. The differences between CR3 and CR4 were marginal and did not materially affect the results.</t>
  </si>
  <si>
    <t>Based on: Market Shares by 1,000 Monthly Unique Visitors (%); only Google &gt;1%; To ensure international comparability, we set CR3 and CR4 equal to CR2, even though only two companies held a market share above 1%. The differences between CR3 and CR4 were marginal and did not materially affect the results.</t>
  </si>
  <si>
    <t>Based on: Market Shares by 1,000 Monthly Unique Visitors (%); only Google and Microsoft  &gt;1%; To ensure international comparability, we  aproximated Concentration scores if less than four companies had over 1% market share</t>
  </si>
  <si>
    <t>Based on Market Shares by Audience (%); only Google and Apple;  To ensure international comparability, we set CR4 and CR3 equal CR2, even though only two companies held a market share above 1%. The differences between CR3 and CR4 were marginal and did not materially affect the results.</t>
  </si>
  <si>
    <t>Based on: Market Shares by Audience (%);  To ensure international comparability, we set CR4 equal CR3, even though only two companies held a market share above 1%. The differences between CR3 and CR4 were marginal and did not materially affect the results.</t>
  </si>
  <si>
    <t>Acquired</t>
  </si>
  <si>
    <t>Acquirer</t>
  </si>
  <si>
    <t>Transaction Value (Millions locaL$)</t>
  </si>
  <si>
    <t>Transaction Value (Millions US$)</t>
  </si>
  <si>
    <t>Closing Date--Year Only</t>
  </si>
  <si>
    <t>Bertelsmann acquires the American publisher RandomHouse. The group is merged with Bantam Doubleday Dell.</t>
  </si>
  <si>
    <t xml:space="preserve">Springer Publishing House </t>
  </si>
  <si>
    <t>Bertelsmann aquires the Springer Publishing House in 1998/1999 and founds Bertelsmann Springer Group https://www.springer.com/de/ueber-springer/verlagsgeschichte</t>
  </si>
  <si>
    <t>HanseNet</t>
  </si>
  <si>
    <t>e.Biscom</t>
  </si>
  <si>
    <t xml:space="preserve">(580 million mark) </t>
  </si>
  <si>
    <t>Aquisition of 80% of the shares from Hamburgische Electricitäts Werke AG (HEW). HEW keeps 20% of the shares with enhanced rights https://www.tagesspiegel.de/wirtschaft/hew-verkauft-hansenet-ebiscom-ist-breitbandtechnologie-profi-713758.html</t>
  </si>
  <si>
    <t>nordcom</t>
  </si>
  <si>
    <t>Ems-Weser-Elbe-Association</t>
  </si>
  <si>
    <t>Acquisition of shares in Bremen-based telecommunications provider nordcom (not in database (yet)june23)</t>
  </si>
  <si>
    <t>BRECOM</t>
  </si>
  <si>
    <t>Aquisition of shares in osnatel (not in database (yet)june23)</t>
  </si>
  <si>
    <t>osnatel</t>
  </si>
  <si>
    <t>Tropolys</t>
  </si>
  <si>
    <t>Elisa</t>
  </si>
  <si>
    <t>Tropolys GmbH (previously an associated company) became Elisa Kommunikation’s subsidiary at the beginning of 2002, mainly through thee exchange of shares.  Elisa Communications Group has a 65.9 per cent holding in Tropolys</t>
  </si>
  <si>
    <t>Cinven und Candover</t>
  </si>
  <si>
    <t xml:space="preserve">Bertelsmann sells Springer Publishing group to the british private equity house Cinven and Candover, which is followed by a merger with Kluwer Academic Publishers (KAP), creating Springer Science + Business https://www.springer.com/de/ueber-springer/verlagsgeschichte </t>
  </si>
  <si>
    <t xml:space="preserve">Springer Publishing House is merged with </t>
  </si>
  <si>
    <t>Kluwer Academic Publishers (KAP) creating Springer Science+Business</t>
  </si>
  <si>
    <t xml:space="preserve">Municipal Shareholders </t>
  </si>
  <si>
    <t>Municipal shareholders acquire E.ON AG’s 27.4 per cent holding in EWE and become the sole shareholders of EWE AG</t>
  </si>
  <si>
    <t xml:space="preserve">Telecom Italia </t>
  </si>
  <si>
    <t>In 2003 Telecom Italia aquires 100% of Hansenet https://www.gruppotim.it/it/archivio-stampa/corporate/2003/07_03-ec.html</t>
  </si>
  <si>
    <t>APAX Partners</t>
  </si>
  <si>
    <t xml:space="preserve">The Finnish telecommunications provider, Elisa, sold their 70% shares (for 70 million euro) to APAX Partners and other minority shareholders. From the deal with APAX Elisa received €30 million in 2Q 2004 from the transaction and a further €40 million will be
received between 2006 and 2008 </t>
  </si>
  <si>
    <t xml:space="preserve">APAX Partners merged Versatel and Tropolys into one company &gt; Versatel, after aquiring the German assets of Versatel Telecom International for about €565m; https://www.penews.com/articles/versatel-kkr-apax-20110519; https://www.1und1.net/unternehmen/historie </t>
  </si>
  <si>
    <t>teleos</t>
  </si>
  <si>
    <t>Acquisition of stake in Herford-based telecommunications service provider Teleos (not in database (yet)june23)</t>
  </si>
  <si>
    <t>Business Communication Company</t>
  </si>
  <si>
    <t>Acquisition of Brunswick-based telecommunications service provider Business Communication Company</t>
  </si>
  <si>
    <t xml:space="preserve"> Süddeutsche Zeitung</t>
  </si>
  <si>
    <t xml:space="preserve">United Internet </t>
  </si>
  <si>
    <t>United Internet acquired further shares in Versatel AG during the period under review and held a total stake of 25.21% in Versatel AG as of December 31, 2008 https://www.united-internet.de/fileadmin/publications/q42008e.pdf</t>
  </si>
  <si>
    <t xml:space="preserve">Springer Science+Business </t>
  </si>
  <si>
    <t>EQT and GIC</t>
  </si>
  <si>
    <t xml:space="preserve">In 2009 EQT V (Private equity fund) and GIC (private equity arm of the Government of Singapore Investment Corporation (“GIC”)) aquire Springer Science and Business with EQT V as a majority shareholder (83%) https://eqtgroup.com/news/2009/EQT-V-and-GIC-agree-to-acquire-Springer-ScienceBusiness-Media-from-Candover-and-Cinven/ </t>
  </si>
  <si>
    <t>Energy Baden-Wuerttemberg</t>
  </si>
  <si>
    <t>EnBW AG acquires a 26 per cent equity stake in EWE and becomes EWE’s new strategic partner</t>
  </si>
  <si>
    <t>Telefónica</t>
  </si>
  <si>
    <t>Telefónica aquires HanseNet in 2010, adding the brand Alice to O2 https://www.telefonica.de/news/corporate/2010/02/verkauf-perfekt-hansenet-gehoert-jetzt-zu-telefonica.html</t>
  </si>
  <si>
    <t xml:space="preserve">Random house (Bertelsmann) merger with </t>
  </si>
  <si>
    <t>Penguin Group (Pearson)</t>
  </si>
  <si>
    <t xml:space="preserve">Bertelsmann and Pearson combined their respective Random House and Penguin Group book-publishing businesses in 2013 into the world’s biggest trade publishing group. Bertelsmann is the majority owner of the merged company Penguin Random House, with a 53-percent stake, while Pearson owns 47 percent.  https://global.penguinrandomhouse.com/announcements/bertelsmann-acquires-full-ownership-of-penguin-random-house/ </t>
  </si>
  <si>
    <t xml:space="preserve">in 2014 United Internet aquires all the shares of Versatel, gaining access to Germany's second largest fibre-optic-network https://www.united-internet.de/en/investor-relations/publications/announcements/announcements-detail/news/united-internet-acquires-100-of-versatel-shares.html#:~:text=With%20the%20acquisition%20of%20Versatel,(companies%2C%20institutions%20etc.) </t>
  </si>
  <si>
    <t xml:space="preserve">Springer Science+Business Media is merged with </t>
  </si>
  <si>
    <t xml:space="preserve">Macmillan Science and Education, creating Springer Nature </t>
  </si>
  <si>
    <t xml:space="preserve">Springer Nature, the result of this merger, is held by Holtzbrinck (53%) and the fonds managed by the Private Equity Group BC Partners https://www.springer.com/de/ueber-springer/verlagsgeschichte </t>
  </si>
  <si>
    <t xml:space="preserve">Millenicom </t>
  </si>
  <si>
    <t>entry into the Turkish telecommunications market with the acquisition of Millenicom, one of the leading alternative providers in the liberalised telecommunications sector</t>
  </si>
  <si>
    <t>SOCAR Turkey</t>
  </si>
  <si>
    <t>EWE focuses on its domestic market and sells its Turkish subsidiary to SOCAR Turkey</t>
  </si>
  <si>
    <t xml:space="preserve">Penguin Random House </t>
  </si>
  <si>
    <t>Bertelsmann initially held 53 percent of the new company Penguin Random House, and Pearson 47 percent. In 2017, Bertelsmann increased its stake to 75 percent. (https://global.penguinrandomhouse.com/announcements/bertelsmann-acquires-full-ownership-of-penguin-random-house/)</t>
  </si>
  <si>
    <t>Vodafone Group</t>
  </si>
  <si>
    <t>Vodafone Group acquired Unity Media. This made them the 2nd biggest player in the German Wireline sector (as well in other sectors). The merge was allowd under certain regulations.</t>
  </si>
  <si>
    <t>Deutsche Glasfaser GmbH</t>
  </si>
  <si>
    <t>EQT bought the "Deutsche Glasfaser Buisness GmbH at the 31/12/2019 and merged it with "inexio Informationstechnologie und Telekommunikation GmbH" 2020. https://www.inexio.net/news/digitalisierungsmotor-fuer-deutschland-neue-deutsche-glasfaser-unternehmensgruppe-wird-glasfaserausbau-massiv-vorantreiben</t>
  </si>
  <si>
    <t xml:space="preserve"> $675 million</t>
  </si>
  <si>
    <t xml:space="preserve">Closing expected in the second quarter of 2020 </t>
  </si>
  <si>
    <t>Bertelsmann is acquiring the remaining 25-percent stake in Penguin Random House from the British media company Pearson, making it the sole owner of the book publishing group. (https://global.penguinrandomhouse.com/announcements/bertelsmann-acquires-full-ownership-of-penguin-random-house/)</t>
  </si>
  <si>
    <t>Weka Group</t>
  </si>
  <si>
    <t xml:space="preserve">The investmentgroup Paragon takes over Weka Group https://www.weka-group.com/ </t>
  </si>
  <si>
    <t>Frechverlag (Weka/Paragon)</t>
  </si>
  <si>
    <t>Penguin Random House (Bertelsmann)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</si>
</sst>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
    <numFmt numFmtId="165" formatCode="#,##0.0"/>
    <numFmt numFmtId="166" formatCode="0.0"/>
    <numFmt numFmtId="167" formatCode="#,##0.0000"/>
    <numFmt numFmtId="168" formatCode="#,##0.000"/>
    <numFmt numFmtId="169" formatCode="0.000"/>
  </numFmts>
  <fonts count="37">
    <font>
      <sz val="11"/>
      <color theme="1"/>
      <name val="Calibri"/>
      <family val="2"/>
      <scheme val="minor"/>
    </font>
    <font>
      <sz val="11"/>
      <color theme="1"/>
      <name val="Calibri"/>
      <family val="2"/>
      <scheme val="minor"/>
    </font>
    <font>
      <b/>
      <sz val="12"/>
      <color rgb="FF000000"/>
      <name val="Times New Roman"/>
      <family val="1"/>
    </font>
    <font>
      <b/>
      <sz val="12"/>
      <color theme="1"/>
      <name val="Times New Roman"/>
      <family val="1"/>
    </font>
    <font>
      <sz val="12"/>
      <color rgb="FF000000"/>
      <name val="Times New Roman"/>
      <family val="1"/>
    </font>
    <font>
      <sz val="12"/>
      <name val="Times New Roman"/>
      <family val="1"/>
    </font>
    <font>
      <b/>
      <sz val="12"/>
      <name val="Times New Roman"/>
      <family val="1"/>
    </font>
    <font>
      <sz val="12"/>
      <color theme="1"/>
      <name val="Times New Roman"/>
      <family val="1"/>
    </font>
    <font>
      <sz val="12"/>
      <color rgb="FFFF0000"/>
      <name val="Times New Roman"/>
      <family val="1"/>
    </font>
    <font>
      <sz val="12"/>
      <color rgb="FF444444"/>
      <name val="Times New Roman"/>
      <family val="1"/>
    </font>
    <font>
      <sz val="12"/>
      <color rgb="FF000000"/>
      <name val="Aptos Narrow"/>
      <family val="2"/>
    </font>
    <font>
      <sz val="8"/>
      <name val="Calibri"/>
      <family val="2"/>
      <scheme val="minor"/>
    </font>
    <font>
      <sz val="12"/>
      <color theme="1"/>
      <name val="Times New Roman"/>
      <family val="1"/>
    </font>
    <font>
      <u/>
      <sz val="12"/>
      <color theme="10"/>
      <name val="Calibri"/>
      <family val="2"/>
      <scheme val="minor"/>
    </font>
    <font>
      <sz val="12"/>
      <color rgb="FF131313"/>
      <name val="Times New Roman"/>
      <family val="1"/>
    </font>
    <font>
      <sz val="12"/>
      <color rgb="FF34393F"/>
      <name val="Times New Roman"/>
      <family val="1"/>
    </font>
    <font>
      <b/>
      <sz val="12"/>
      <color rgb="FFFF0000"/>
      <name val="Times New Roman"/>
      <family val="1"/>
    </font>
    <font>
      <sz val="12"/>
      <color rgb="FF1E1E1E"/>
      <name val="Volte Regular"/>
      <charset val="1"/>
    </font>
    <font>
      <sz val="12"/>
      <color rgb="FF4D5156"/>
      <name val="Arial"/>
      <family val="2"/>
      <charset val="1"/>
    </font>
    <font>
      <sz val="12"/>
      <color rgb="FFAEAAAA"/>
      <name val="Times New Roman"/>
      <family val="1"/>
    </font>
    <font>
      <sz val="12"/>
      <color rgb="FFAEAAAA"/>
      <name val="Volte Regular"/>
      <charset val="1"/>
    </font>
    <font>
      <sz val="12"/>
      <color rgb="FF000000"/>
      <name val="Times Roman"/>
    </font>
    <font>
      <sz val="12"/>
      <color theme="1" tint="0.249977111117893"/>
      <name val="Times New Roman"/>
      <family val="1"/>
    </font>
    <font>
      <sz val="12"/>
      <color theme="1"/>
      <name val="Lato"/>
      <family val="2"/>
      <charset val="1"/>
    </font>
    <font>
      <sz val="12"/>
      <color rgb="FF000000"/>
      <name val="Calibri"/>
      <family val="2"/>
    </font>
    <font>
      <sz val="12"/>
      <color theme="1" tint="0.499984740745262"/>
      <name val="Times New Roman"/>
      <family val="1"/>
    </font>
    <font>
      <sz val="12"/>
      <color theme="1" tint="0.499984740745262"/>
      <name val="Calibri"/>
      <family val="2"/>
      <scheme val="minor"/>
    </font>
    <font>
      <b/>
      <u/>
      <sz val="12"/>
      <color rgb="FF000000"/>
      <name val="Times New Roman"/>
      <family val="1"/>
    </font>
    <font>
      <sz val="12"/>
      <color rgb="FF131B22"/>
      <name val="Times New Roman"/>
      <family val="1"/>
    </font>
    <font>
      <sz val="11"/>
      <color theme="1"/>
      <name val="Times New Roman"/>
      <family val="1"/>
    </font>
    <font>
      <sz val="9"/>
      <color indexed="81"/>
      <name val="Segoe UI"/>
      <charset val="1"/>
    </font>
    <font>
      <b/>
      <sz val="9"/>
      <color indexed="81"/>
      <name val="Segoe UI"/>
      <charset val="1"/>
    </font>
    <font>
      <u/>
      <sz val="12"/>
      <name val="Calibri"/>
      <family val="2"/>
      <scheme val="minor"/>
    </font>
    <font>
      <u/>
      <sz val="11"/>
      <color theme="10"/>
      <name val="Calibri"/>
      <family val="2"/>
      <scheme val="minor"/>
    </font>
    <font>
      <u/>
      <sz val="12"/>
      <color rgb="FF000000"/>
      <name val="Calibri"/>
      <family val="2"/>
      <scheme val="minor"/>
    </font>
    <font>
      <b/>
      <sz val="12"/>
      <color rgb="FF000000"/>
      <name val="Times New Roman"/>
    </font>
    <font>
      <sz val="12"/>
      <color rgb="FF000000"/>
      <name val="Times New Roman"/>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bgColor indexed="64"/>
      </patternFill>
    </fill>
    <fill>
      <patternFill patternType="solid">
        <fgColor theme="2"/>
        <bgColor indexed="64"/>
      </patternFill>
    </fill>
    <fill>
      <patternFill patternType="solid">
        <fgColor rgb="FFFCE4D6"/>
        <bgColor indexed="64"/>
      </patternFill>
    </fill>
    <fill>
      <patternFill patternType="solid">
        <fgColor rgb="FF00FFFF"/>
        <bgColor indexed="64"/>
      </patternFill>
    </fill>
    <fill>
      <patternFill patternType="solid">
        <fgColor rgb="FFFFF2CC"/>
        <bgColor indexed="64"/>
      </patternFill>
    </fill>
    <fill>
      <patternFill patternType="solid">
        <fgColor theme="5" tint="0.59999389629810485"/>
        <bgColor indexed="64"/>
      </patternFill>
    </fill>
    <fill>
      <patternFill patternType="solid">
        <fgColor rgb="FF66FFFF"/>
        <bgColor indexed="64"/>
      </patternFill>
    </fill>
  </fills>
  <borders count="1">
    <border>
      <left/>
      <right/>
      <top/>
      <bottom/>
      <diagonal/>
    </border>
  </borders>
  <cellStyleXfs count="6">
    <xf numFmtId="0" fontId="0" fillId="0" borderId="0"/>
    <xf numFmtId="0" fontId="1"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33" fillId="0" borderId="0" applyNumberFormat="0" applyFill="0" applyBorder="0" applyAlignment="0" applyProtection="0"/>
  </cellStyleXfs>
  <cellXfs count="280">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5" fillId="0" borderId="0" xfId="0" applyFont="1" applyAlignment="1">
      <alignment horizontal="center"/>
    </xf>
    <xf numFmtId="0" fontId="5" fillId="0" borderId="0" xfId="0" applyFont="1" applyAlignment="1">
      <alignment horizontal="center" vertical="top"/>
    </xf>
    <xf numFmtId="4" fontId="5" fillId="0" borderId="0" xfId="0" applyNumberFormat="1" applyFont="1"/>
    <xf numFmtId="0" fontId="5" fillId="0" borderId="0" xfId="0" applyFont="1"/>
    <xf numFmtId="0" fontId="4" fillId="0" borderId="0" xfId="0" applyFont="1"/>
    <xf numFmtId="165" fontId="5" fillId="0" borderId="0" xfId="0" applyNumberFormat="1" applyFont="1"/>
    <xf numFmtId="0" fontId="7" fillId="0" borderId="0" xfId="0" applyFont="1"/>
    <xf numFmtId="0" fontId="5" fillId="0" borderId="0" xfId="0" applyFont="1" applyAlignment="1">
      <alignment horizontal="left" vertical="center"/>
    </xf>
    <xf numFmtId="166" fontId="5" fillId="0" borderId="0" xfId="0" applyNumberFormat="1" applyFont="1" applyAlignment="1">
      <alignment horizontal="left" vertical="center"/>
    </xf>
    <xf numFmtId="0" fontId="4" fillId="0" borderId="0" xfId="0" applyFont="1" applyAlignment="1">
      <alignment horizontal="center" vertical="top"/>
    </xf>
    <xf numFmtId="4" fontId="7" fillId="0" borderId="0" xfId="0" applyNumberFormat="1" applyFont="1"/>
    <xf numFmtId="0" fontId="7" fillId="0" borderId="0" xfId="0" applyFont="1" applyAlignment="1">
      <alignment vertical="top"/>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xf>
    <xf numFmtId="165" fontId="7" fillId="0" borderId="0" xfId="0" applyNumberFormat="1" applyFont="1"/>
    <xf numFmtId="0" fontId="3" fillId="3" borderId="0" xfId="0" applyFont="1" applyFill="1" applyAlignment="1">
      <alignment horizontal="center" vertical="center"/>
    </xf>
    <xf numFmtId="4" fontId="7" fillId="0" borderId="0" xfId="0" applyNumberFormat="1" applyFont="1" applyAlignment="1">
      <alignment horizontal="left"/>
    </xf>
    <xf numFmtId="0" fontId="3" fillId="2" borderId="0" xfId="0" applyFont="1" applyFill="1" applyAlignment="1">
      <alignment horizontal="center"/>
    </xf>
    <xf numFmtId="0" fontId="3" fillId="3" borderId="0" xfId="0" applyFont="1" applyFill="1" applyAlignment="1">
      <alignment horizontal="center"/>
    </xf>
    <xf numFmtId="0" fontId="3" fillId="2" borderId="0" xfId="0" applyFont="1" applyFill="1" applyAlignment="1">
      <alignment horizontal="left"/>
    </xf>
    <xf numFmtId="0" fontId="4" fillId="0" borderId="0" xfId="0" applyFont="1" applyAlignment="1">
      <alignment horizontal="center"/>
    </xf>
    <xf numFmtId="4" fontId="7" fillId="0" borderId="0" xfId="0" applyNumberFormat="1" applyFont="1" applyAlignment="1">
      <alignment horizontal="right"/>
    </xf>
    <xf numFmtId="0" fontId="7" fillId="0" borderId="0" xfId="0" applyFont="1" applyAlignment="1">
      <alignment horizontal="center" vertical="top"/>
    </xf>
    <xf numFmtId="0" fontId="7" fillId="0" borderId="0" xfId="0" applyFont="1" applyAlignment="1">
      <alignment vertical="center"/>
    </xf>
    <xf numFmtId="0" fontId="4" fillId="0" borderId="0" xfId="0" applyFont="1" applyAlignment="1">
      <alignment vertical="top"/>
    </xf>
    <xf numFmtId="0" fontId="7" fillId="0" borderId="0" xfId="0" applyFont="1" applyAlignment="1">
      <alignment horizontal="right"/>
    </xf>
    <xf numFmtId="2" fontId="7" fillId="0" borderId="0" xfId="0" applyNumberFormat="1" applyFont="1" applyAlignment="1">
      <alignment horizontal="right"/>
    </xf>
    <xf numFmtId="0" fontId="7" fillId="0" borderId="0" xfId="0" applyFont="1" applyAlignment="1">
      <alignment horizontal="right" vertical="center"/>
    </xf>
    <xf numFmtId="0" fontId="7" fillId="0" borderId="0" xfId="0" applyFont="1" applyAlignment="1">
      <alignment horizontal="left" vertical="top"/>
    </xf>
    <xf numFmtId="4" fontId="4" fillId="0" borderId="0" xfId="0" applyNumberFormat="1" applyFont="1" applyAlignment="1">
      <alignment horizontal="right" vertical="center"/>
    </xf>
    <xf numFmtId="4" fontId="7" fillId="0" borderId="0" xfId="0" applyNumberFormat="1" applyFont="1" applyAlignment="1">
      <alignment horizontal="right" vertical="center"/>
    </xf>
    <xf numFmtId="0" fontId="7" fillId="0" borderId="0" xfId="0" applyFont="1" applyAlignment="1">
      <alignment horizontal="left" vertical="center"/>
    </xf>
    <xf numFmtId="164" fontId="2" fillId="0" borderId="0" xfId="1" applyNumberFormat="1" applyFont="1" applyAlignment="1">
      <alignment horizontal="center" vertical="top" wrapText="1"/>
    </xf>
    <xf numFmtId="0" fontId="3" fillId="0" borderId="0" xfId="1" applyFont="1" applyAlignment="1">
      <alignment horizontal="left" vertical="top" wrapText="1"/>
    </xf>
    <xf numFmtId="0" fontId="3" fillId="0" borderId="0" xfId="0" applyFont="1" applyAlignment="1">
      <alignment horizontal="center" vertical="center" wrapText="1"/>
    </xf>
    <xf numFmtId="169" fontId="7" fillId="0" borderId="0" xfId="0" applyNumberFormat="1" applyFont="1" applyAlignment="1">
      <alignment horizontal="right"/>
    </xf>
    <xf numFmtId="168" fontId="7" fillId="0" borderId="0" xfId="0" applyNumberFormat="1" applyFont="1" applyAlignment="1">
      <alignment horizontal="center"/>
    </xf>
    <xf numFmtId="167" fontId="7" fillId="0" borderId="0" xfId="0" applyNumberFormat="1" applyFont="1" applyAlignment="1">
      <alignment horizontal="center"/>
    </xf>
    <xf numFmtId="165" fontId="7" fillId="0" borderId="0" xfId="0" applyNumberFormat="1" applyFont="1" applyAlignment="1">
      <alignment horizontal="right" vertical="center"/>
    </xf>
    <xf numFmtId="2" fontId="7" fillId="0" borderId="0" xfId="0" applyNumberFormat="1" applyFont="1" applyAlignment="1">
      <alignment horizontal="right" vertical="center"/>
    </xf>
    <xf numFmtId="169" fontId="7" fillId="0" borderId="0" xfId="0" applyNumberFormat="1" applyFont="1" applyAlignment="1">
      <alignment horizontal="right" vertical="center"/>
    </xf>
    <xf numFmtId="0" fontId="7" fillId="0" borderId="0" xfId="1" applyFont="1" applyAlignment="1">
      <alignment horizontal="left"/>
    </xf>
    <xf numFmtId="0" fontId="2" fillId="0" borderId="0" xfId="1" applyFont="1" applyAlignment="1">
      <alignment horizontal="center" vertical="center"/>
    </xf>
    <xf numFmtId="166" fontId="7" fillId="0" borderId="0" xfId="0" applyNumberFormat="1" applyFont="1" applyAlignment="1">
      <alignment horizontal="right" vertical="center"/>
    </xf>
    <xf numFmtId="166" fontId="4" fillId="0" borderId="0" xfId="0" applyNumberFormat="1" applyFont="1" applyAlignment="1">
      <alignment vertical="top" wrapText="1"/>
    </xf>
    <xf numFmtId="4" fontId="7" fillId="0" borderId="0" xfId="0" applyNumberFormat="1" applyFont="1" applyAlignment="1">
      <alignment horizontal="left" vertical="center"/>
    </xf>
    <xf numFmtId="0" fontId="4" fillId="0" borderId="0" xfId="0" applyFont="1" applyAlignment="1">
      <alignment vertical="center"/>
    </xf>
    <xf numFmtId="2" fontId="7" fillId="0" borderId="0" xfId="0" applyNumberFormat="1" applyFont="1" applyAlignment="1">
      <alignment horizontal="left" vertical="center"/>
    </xf>
    <xf numFmtId="4" fontId="7" fillId="0" borderId="0" xfId="0" applyNumberFormat="1" applyFont="1" applyAlignment="1">
      <alignment horizontal="right" vertical="center" wrapText="1"/>
    </xf>
    <xf numFmtId="0" fontId="13" fillId="0" borderId="0" xfId="3"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left"/>
    </xf>
    <xf numFmtId="2" fontId="4" fillId="0" borderId="0" xfId="0" applyNumberFormat="1" applyFont="1" applyAlignment="1">
      <alignment horizontal="right"/>
    </xf>
    <xf numFmtId="1" fontId="4" fillId="0" borderId="0" xfId="0" applyNumberFormat="1" applyFont="1" applyAlignment="1">
      <alignment horizontal="right"/>
    </xf>
    <xf numFmtId="1" fontId="7" fillId="0" borderId="0" xfId="0" applyNumberFormat="1" applyFont="1" applyAlignment="1">
      <alignment horizontal="right" vertical="center"/>
    </xf>
    <xf numFmtId="0" fontId="0" fillId="0" borderId="0" xfId="0" applyAlignment="1">
      <alignment horizontal="left" vertical="top"/>
    </xf>
    <xf numFmtId="0" fontId="4" fillId="0" borderId="0" xfId="0" applyFont="1" applyAlignment="1">
      <alignment horizontal="left" vertical="center"/>
    </xf>
    <xf numFmtId="0" fontId="4" fillId="0" borderId="0" xfId="0" applyFont="1" applyAlignment="1">
      <alignment horizontal="right" vertical="center"/>
    </xf>
    <xf numFmtId="166" fontId="4" fillId="0" borderId="0" xfId="0" applyNumberFormat="1" applyFont="1" applyAlignment="1">
      <alignment horizontal="left" vertical="center"/>
    </xf>
    <xf numFmtId="166" fontId="5" fillId="0" borderId="0" xfId="0" applyNumberFormat="1" applyFont="1" applyAlignment="1">
      <alignment vertical="top" wrapText="1"/>
    </xf>
    <xf numFmtId="0" fontId="0" fillId="0" borderId="0" xfId="0" applyAlignment="1">
      <alignment horizontal="left" vertical="center"/>
    </xf>
    <xf numFmtId="0" fontId="7" fillId="7" borderId="0" xfId="0" applyFont="1" applyFill="1" applyAlignment="1">
      <alignment horizontal="left" vertical="center"/>
    </xf>
    <xf numFmtId="0" fontId="7" fillId="8" borderId="0" xfId="0" applyFont="1" applyFill="1" applyAlignment="1">
      <alignment horizontal="center"/>
    </xf>
    <xf numFmtId="0" fontId="17" fillId="0" borderId="0" xfId="0" applyFont="1"/>
    <xf numFmtId="0" fontId="7" fillId="9" borderId="0" xfId="0" applyFont="1" applyFill="1" applyAlignment="1">
      <alignment horizontal="left"/>
    </xf>
    <xf numFmtId="0" fontId="18" fillId="0" borderId="0" xfId="0" applyFont="1" applyAlignment="1">
      <alignment horizontal="left"/>
    </xf>
    <xf numFmtId="0" fontId="19" fillId="8" borderId="0" xfId="0" applyFont="1" applyFill="1" applyAlignment="1">
      <alignment horizontal="center"/>
    </xf>
    <xf numFmtId="0" fontId="19" fillId="0" borderId="0" xfId="0" applyFont="1" applyAlignment="1">
      <alignment horizontal="left"/>
    </xf>
    <xf numFmtId="0" fontId="19" fillId="0" borderId="0" xfId="0" applyFont="1"/>
    <xf numFmtId="0" fontId="20" fillId="0" borderId="0" xfId="0" applyFont="1"/>
    <xf numFmtId="0" fontId="7" fillId="3" borderId="0" xfId="0" applyFont="1" applyFill="1" applyAlignment="1">
      <alignment horizontal="left" vertical="center"/>
    </xf>
    <xf numFmtId="0" fontId="7" fillId="0" borderId="0" xfId="1" applyFont="1"/>
    <xf numFmtId="0" fontId="4" fillId="0" borderId="0" xfId="1" applyFont="1"/>
    <xf numFmtId="0" fontId="7" fillId="0" borderId="0" xfId="0" applyFont="1" applyAlignment="1">
      <alignment horizontal="right" vertical="center" wrapText="1"/>
    </xf>
    <xf numFmtId="0" fontId="0" fillId="2" borderId="0" xfId="0" applyFill="1" applyAlignment="1">
      <alignment horizontal="left" vertical="center"/>
    </xf>
    <xf numFmtId="0" fontId="25" fillId="0" borderId="0" xfId="0" applyFont="1"/>
    <xf numFmtId="0" fontId="26" fillId="0" borderId="0" xfId="0" applyFont="1" applyAlignment="1">
      <alignment horizontal="left" vertical="center"/>
    </xf>
    <xf numFmtId="0" fontId="0" fillId="0" borderId="0" xfId="0" applyAlignment="1">
      <alignment vertical="center"/>
    </xf>
    <xf numFmtId="3" fontId="0" fillId="0" borderId="0" xfId="0" applyNumberFormat="1" applyAlignment="1">
      <alignment horizontal="left" vertical="center"/>
    </xf>
    <xf numFmtId="0" fontId="13" fillId="0" borderId="0" xfId="3" applyAlignment="1"/>
    <xf numFmtId="0" fontId="4" fillId="0" borderId="0" xfId="0" applyFont="1" applyAlignment="1">
      <alignment horizontal="left" vertical="top"/>
    </xf>
    <xf numFmtId="4" fontId="4" fillId="0" borderId="0" xfId="0" applyNumberFormat="1" applyFont="1" applyAlignment="1">
      <alignment horizontal="right" vertical="top"/>
    </xf>
    <xf numFmtId="3" fontId="7" fillId="5" borderId="0" xfId="0" applyNumberFormat="1" applyFont="1" applyFill="1" applyAlignment="1">
      <alignment horizontal="left" vertical="center"/>
    </xf>
    <xf numFmtId="0" fontId="7" fillId="5" borderId="0" xfId="0" applyFont="1" applyFill="1" applyAlignment="1">
      <alignment horizontal="left" vertical="center"/>
    </xf>
    <xf numFmtId="0" fontId="7" fillId="2" borderId="0" xfId="1" applyFont="1" applyFill="1"/>
    <xf numFmtId="0" fontId="4" fillId="0" borderId="0" xfId="0" applyFont="1" applyAlignment="1">
      <alignment horizontal="left"/>
    </xf>
    <xf numFmtId="0" fontId="22" fillId="0" borderId="0" xfId="0" applyFont="1" applyAlignment="1">
      <alignment horizontal="left"/>
    </xf>
    <xf numFmtId="166" fontId="4" fillId="0" borderId="0" xfId="0" applyNumberFormat="1" applyFont="1" applyAlignment="1">
      <alignment horizontal="left" vertical="top"/>
    </xf>
    <xf numFmtId="4" fontId="5" fillId="0" borderId="0" xfId="0" applyNumberFormat="1" applyFont="1" applyAlignment="1">
      <alignment horizontal="left"/>
    </xf>
    <xf numFmtId="0" fontId="7" fillId="0" borderId="0" xfId="0" applyFont="1" applyAlignment="1">
      <alignment horizontal="left" vertical="top" wrapText="1"/>
    </xf>
    <xf numFmtId="0" fontId="4" fillId="0" borderId="0" xfId="0" applyFont="1" applyAlignment="1">
      <alignment horizontal="left" vertical="top" wrapText="1"/>
    </xf>
    <xf numFmtId="164" fontId="2" fillId="2" borderId="0" xfId="1" applyNumberFormat="1" applyFont="1" applyFill="1" applyAlignment="1">
      <alignment horizontal="center" vertical="top" wrapText="1"/>
    </xf>
    <xf numFmtId="3" fontId="2" fillId="2" borderId="0" xfId="1" applyNumberFormat="1" applyFont="1" applyFill="1" applyAlignment="1">
      <alignment horizontal="center" vertical="top" wrapText="1"/>
    </xf>
    <xf numFmtId="0" fontId="7" fillId="0" borderId="0" xfId="1" applyFont="1" applyAlignment="1">
      <alignment horizontal="left" vertical="top"/>
    </xf>
    <xf numFmtId="0" fontId="5" fillId="0" borderId="0" xfId="0" applyFont="1" applyAlignment="1">
      <alignment horizontal="left" vertical="top"/>
    </xf>
    <xf numFmtId="0" fontId="16" fillId="0" borderId="0" xfId="0" applyFont="1" applyAlignment="1">
      <alignment horizontal="left" vertical="top"/>
    </xf>
    <xf numFmtId="4" fontId="7" fillId="0" borderId="0" xfId="0" applyNumberFormat="1" applyFont="1" applyAlignment="1">
      <alignment horizontal="left" vertical="top"/>
    </xf>
    <xf numFmtId="4" fontId="4" fillId="0" borderId="0" xfId="0" applyNumberFormat="1" applyFont="1" applyAlignment="1">
      <alignment horizontal="left" vertical="top"/>
    </xf>
    <xf numFmtId="0" fontId="7" fillId="0" borderId="0" xfId="1" applyFont="1" applyAlignment="1">
      <alignment vertical="top"/>
    </xf>
    <xf numFmtId="0" fontId="5" fillId="0" borderId="0" xfId="3" applyFont="1" applyFill="1" applyAlignment="1">
      <alignment horizontal="left" vertical="top"/>
    </xf>
    <xf numFmtId="0" fontId="5" fillId="0" borderId="0" xfId="3" applyFont="1" applyFill="1" applyAlignment="1">
      <alignment horizontal="left" vertical="top" wrapText="1"/>
    </xf>
    <xf numFmtId="4" fontId="5" fillId="0" borderId="0" xfId="0" applyNumberFormat="1" applyFont="1" applyAlignment="1">
      <alignment horizontal="left" vertical="center"/>
    </xf>
    <xf numFmtId="0" fontId="7" fillId="0" borderId="0" xfId="1" applyFont="1" applyAlignment="1">
      <alignment vertical="center"/>
    </xf>
    <xf numFmtId="166" fontId="7" fillId="0" borderId="0" xfId="0" applyNumberFormat="1" applyFont="1" applyAlignment="1">
      <alignment horizontal="left" vertical="center"/>
    </xf>
    <xf numFmtId="4" fontId="4" fillId="0" borderId="0" xfId="0" applyNumberFormat="1" applyFont="1" applyAlignment="1">
      <alignment horizontal="right"/>
    </xf>
    <xf numFmtId="0" fontId="7" fillId="0" borderId="0" xfId="1" applyFont="1" applyAlignment="1">
      <alignment horizontal="right"/>
    </xf>
    <xf numFmtId="0" fontId="5" fillId="0" borderId="0" xfId="3" applyFont="1" applyFill="1" applyBorder="1" applyAlignment="1">
      <alignment horizontal="left" vertical="top"/>
    </xf>
    <xf numFmtId="0" fontId="5" fillId="0" borderId="0" xfId="3" applyFont="1" applyFill="1" applyBorder="1" applyAlignment="1">
      <alignment horizontal="left" vertical="top" wrapText="1"/>
    </xf>
    <xf numFmtId="0" fontId="7" fillId="0" borderId="0" xfId="1" applyFont="1" applyAlignment="1">
      <alignment horizontal="left" vertical="top" wrapText="1"/>
    </xf>
    <xf numFmtId="0" fontId="13" fillId="0" borderId="0" xfId="3" applyFill="1" applyBorder="1" applyAlignment="1">
      <alignment horizontal="left" vertical="top"/>
    </xf>
    <xf numFmtId="0" fontId="7" fillId="0" borderId="0" xfId="1" applyFont="1" applyAlignment="1">
      <alignment horizontal="left" vertical="center"/>
    </xf>
    <xf numFmtId="0" fontId="29" fillId="0" borderId="0" xfId="0" applyFont="1" applyAlignment="1">
      <alignment horizontal="right"/>
    </xf>
    <xf numFmtId="0" fontId="5" fillId="0" borderId="0" xfId="0" applyFont="1" applyAlignment="1">
      <alignment vertical="center"/>
    </xf>
    <xf numFmtId="166" fontId="4" fillId="0" borderId="0" xfId="0" applyNumberFormat="1" applyFont="1" applyAlignment="1">
      <alignment vertical="top"/>
    </xf>
    <xf numFmtId="166" fontId="4" fillId="0" borderId="0" xfId="0" applyNumberFormat="1" applyFont="1" applyAlignment="1">
      <alignment vertical="center"/>
    </xf>
    <xf numFmtId="0" fontId="21" fillId="0" borderId="0" xfId="0" applyFont="1"/>
    <xf numFmtId="0" fontId="7" fillId="2" borderId="0" xfId="0" applyFont="1" applyFill="1"/>
    <xf numFmtId="0" fontId="23" fillId="0" borderId="0" xfId="0" applyFont="1"/>
    <xf numFmtId="0" fontId="0" fillId="2" borderId="0" xfId="0" applyFill="1" applyAlignment="1">
      <alignment vertical="center"/>
    </xf>
    <xf numFmtId="0" fontId="24" fillId="0" borderId="0" xfId="0" applyFont="1"/>
    <xf numFmtId="0" fontId="14" fillId="0" borderId="0" xfId="0" applyFont="1" applyAlignment="1">
      <alignment horizontal="left"/>
    </xf>
    <xf numFmtId="0" fontId="0" fillId="0" borderId="0" xfId="0" applyAlignment="1">
      <alignment horizontal="left"/>
    </xf>
    <xf numFmtId="166" fontId="5" fillId="0" borderId="0" xfId="0" applyNumberFormat="1" applyFont="1" applyAlignment="1">
      <alignment horizontal="left" vertical="top"/>
    </xf>
    <xf numFmtId="0" fontId="5" fillId="2" borderId="0" xfId="0" applyFont="1" applyFill="1" applyAlignment="1">
      <alignment horizontal="left"/>
    </xf>
    <xf numFmtId="0" fontId="5" fillId="10" borderId="0" xfId="0" applyFont="1" applyFill="1" applyAlignment="1">
      <alignment horizontal="left"/>
    </xf>
    <xf numFmtId="0" fontId="7" fillId="2" borderId="0" xfId="0" applyFont="1" applyFill="1" applyAlignment="1">
      <alignment horizontal="left"/>
    </xf>
    <xf numFmtId="166" fontId="4" fillId="0" borderId="0" xfId="0" applyNumberFormat="1" applyFont="1" applyAlignment="1">
      <alignment horizontal="left" vertical="top" wrapText="1"/>
    </xf>
    <xf numFmtId="166" fontId="5" fillId="0" borderId="0" xfId="0" applyNumberFormat="1" applyFont="1" applyAlignment="1">
      <alignment horizontal="left" vertical="top" wrapText="1"/>
    </xf>
    <xf numFmtId="0" fontId="25" fillId="0" borderId="0" xfId="0" applyFont="1" applyAlignment="1">
      <alignment horizontal="left"/>
    </xf>
    <xf numFmtId="0" fontId="2" fillId="2" borderId="0" xfId="1" applyFont="1" applyFill="1" applyAlignment="1">
      <alignment horizontal="center" vertical="center" wrapText="1"/>
    </xf>
    <xf numFmtId="0" fontId="2" fillId="2" borderId="0" xfId="1" applyFont="1" applyFill="1" applyAlignment="1">
      <alignment horizontal="left" vertical="center" wrapText="1"/>
    </xf>
    <xf numFmtId="0" fontId="6" fillId="2" borderId="0" xfId="1" applyFont="1" applyFill="1" applyAlignment="1">
      <alignment horizontal="center" vertical="center" wrapText="1"/>
    </xf>
    <xf numFmtId="0" fontId="2" fillId="0" borderId="0" xfId="1" applyFont="1" applyAlignment="1">
      <alignment horizontal="center" vertical="center" wrapText="1"/>
    </xf>
    <xf numFmtId="0" fontId="7" fillId="0" borderId="0" xfId="1" applyFont="1" applyAlignment="1">
      <alignment horizontal="right" vertical="center"/>
    </xf>
    <xf numFmtId="0" fontId="7" fillId="0" borderId="0" xfId="1" applyFont="1" applyAlignment="1">
      <alignment horizontal="center"/>
    </xf>
    <xf numFmtId="0" fontId="7" fillId="11" borderId="0" xfId="0" applyFont="1" applyFill="1" applyAlignment="1">
      <alignment horizontal="left" vertical="top"/>
    </xf>
    <xf numFmtId="0" fontId="7" fillId="11" borderId="0" xfId="1" applyFont="1" applyFill="1"/>
    <xf numFmtId="0" fontId="7" fillId="11" borderId="0" xfId="1" applyFont="1" applyFill="1" applyAlignment="1">
      <alignment horizontal="left" vertical="top"/>
    </xf>
    <xf numFmtId="0" fontId="7" fillId="11" borderId="0" xfId="0" applyFont="1" applyFill="1" applyAlignment="1">
      <alignment horizontal="right" vertical="center"/>
    </xf>
    <xf numFmtId="0" fontId="7" fillId="11" borderId="0" xfId="0" applyFont="1" applyFill="1" applyAlignment="1">
      <alignment horizontal="right"/>
    </xf>
    <xf numFmtId="0" fontId="7" fillId="11" borderId="0" xfId="0" applyFont="1" applyFill="1" applyAlignment="1">
      <alignment horizontal="left" vertical="center"/>
    </xf>
    <xf numFmtId="0" fontId="7" fillId="11" borderId="0" xfId="1" applyFont="1" applyFill="1" applyAlignment="1">
      <alignment horizontal="left" vertical="top" wrapText="1"/>
    </xf>
    <xf numFmtId="165" fontId="7" fillId="11" borderId="0" xfId="0" applyNumberFormat="1" applyFont="1" applyFill="1"/>
    <xf numFmtId="0" fontId="4" fillId="11" borderId="0" xfId="0" applyFont="1" applyFill="1" applyAlignment="1">
      <alignment horizontal="left" vertical="top"/>
    </xf>
    <xf numFmtId="0" fontId="7" fillId="11" borderId="0" xfId="0" applyFont="1" applyFill="1"/>
    <xf numFmtId="0" fontId="0" fillId="11" borderId="0" xfId="0" applyFill="1" applyAlignment="1">
      <alignment horizontal="left" vertical="center"/>
    </xf>
    <xf numFmtId="0" fontId="25" fillId="11" borderId="0" xfId="0" applyFont="1" applyFill="1" applyAlignment="1">
      <alignment horizontal="left" vertical="center"/>
    </xf>
    <xf numFmtId="43" fontId="7" fillId="11" borderId="0" xfId="4" applyFont="1" applyFill="1" applyAlignment="1">
      <alignment vertical="center"/>
    </xf>
    <xf numFmtId="3" fontId="3" fillId="3" borderId="0" xfId="0" applyNumberFormat="1" applyFont="1" applyFill="1"/>
    <xf numFmtId="3" fontId="2" fillId="4" borderId="0" xfId="0" applyNumberFormat="1" applyFont="1" applyFill="1"/>
    <xf numFmtId="0" fontId="3" fillId="3" borderId="0" xfId="0" applyFont="1" applyFill="1"/>
    <xf numFmtId="3" fontId="7" fillId="0" borderId="0" xfId="0" applyNumberFormat="1" applyFont="1"/>
    <xf numFmtId="3" fontId="4" fillId="0" borderId="0" xfId="0" applyNumberFormat="1" applyFont="1"/>
    <xf numFmtId="1" fontId="4" fillId="0" borderId="0" xfId="0" applyNumberFormat="1" applyFont="1"/>
    <xf numFmtId="3" fontId="4" fillId="0" borderId="0" xfId="2" applyNumberFormat="1" applyFont="1" applyAlignment="1"/>
    <xf numFmtId="1" fontId="0" fillId="0" borderId="0" xfId="0" applyNumberFormat="1"/>
    <xf numFmtId="3" fontId="4" fillId="2" borderId="0" xfId="0" applyNumberFormat="1" applyFont="1" applyFill="1"/>
    <xf numFmtId="3" fontId="9" fillId="0" borderId="0" xfId="0" applyNumberFormat="1" applyFont="1"/>
    <xf numFmtId="3" fontId="9" fillId="0" borderId="0" xfId="0" quotePrefix="1" applyNumberFormat="1" applyFont="1"/>
    <xf numFmtId="0" fontId="2" fillId="0" borderId="0" xfId="0" applyFont="1"/>
    <xf numFmtId="3" fontId="10" fillId="0" borderId="0" xfId="0" applyNumberFormat="1" applyFont="1"/>
    <xf numFmtId="0" fontId="7" fillId="0" borderId="0" xfId="1" applyFont="1" applyAlignment="1">
      <alignment horizontal="center" vertical="top"/>
    </xf>
    <xf numFmtId="43" fontId="7" fillId="0" borderId="0" xfId="4" applyFont="1"/>
    <xf numFmtId="43" fontId="7" fillId="11" borderId="0" xfId="4" applyFont="1" applyFill="1"/>
    <xf numFmtId="43" fontId="7" fillId="0" borderId="0" xfId="4" applyFont="1" applyAlignment="1">
      <alignment horizontal="right"/>
    </xf>
    <xf numFmtId="43" fontId="5" fillId="0" borderId="0" xfId="4" applyFont="1"/>
    <xf numFmtId="43" fontId="4" fillId="0" borderId="0" xfId="4" applyFont="1"/>
    <xf numFmtId="43" fontId="2" fillId="2" borderId="0" xfId="4" applyFont="1" applyFill="1" applyBorder="1" applyAlignment="1">
      <alignment horizontal="center" vertical="top" wrapText="1"/>
    </xf>
    <xf numFmtId="43" fontId="3" fillId="3" borderId="0" xfId="4" applyFont="1" applyFill="1" applyBorder="1" applyAlignment="1">
      <alignment horizontal="left" vertical="center"/>
    </xf>
    <xf numFmtId="0" fontId="3" fillId="3" borderId="0" xfId="0" applyFont="1" applyFill="1" applyAlignment="1">
      <alignment horizontal="left" vertical="center"/>
    </xf>
    <xf numFmtId="0" fontId="2" fillId="4" borderId="0" xfId="0" applyFont="1" applyFill="1"/>
    <xf numFmtId="0" fontId="3" fillId="2" borderId="0" xfId="0" applyFont="1" applyFill="1" applyAlignment="1">
      <alignment vertical="top"/>
    </xf>
    <xf numFmtId="43" fontId="7" fillId="0" borderId="0" xfId="4" applyFont="1" applyBorder="1"/>
    <xf numFmtId="43" fontId="7" fillId="0" borderId="0" xfId="4" applyFont="1" applyBorder="1" applyAlignment="1">
      <alignment horizontal="right"/>
    </xf>
    <xf numFmtId="4" fontId="5" fillId="0" borderId="0" xfId="0" applyNumberFormat="1" applyFont="1" applyAlignment="1">
      <alignment vertical="top"/>
    </xf>
    <xf numFmtId="0" fontId="7" fillId="0" borderId="0" xfId="0" applyFont="1" applyAlignment="1">
      <alignment vertical="top" wrapText="1"/>
    </xf>
    <xf numFmtId="0" fontId="6" fillId="0" borderId="0" xfId="0" applyFont="1" applyAlignment="1">
      <alignment horizontal="right" vertical="top"/>
    </xf>
    <xf numFmtId="43" fontId="7" fillId="11" borderId="0" xfId="4" applyFont="1" applyFill="1" applyBorder="1"/>
    <xf numFmtId="2" fontId="7" fillId="0" borderId="0" xfId="0" applyNumberFormat="1" applyFont="1"/>
    <xf numFmtId="166" fontId="7" fillId="0" borderId="0" xfId="0" applyNumberFormat="1" applyFont="1"/>
    <xf numFmtId="166" fontId="6" fillId="0" borderId="0" xfId="0" applyNumberFormat="1" applyFont="1" applyAlignment="1">
      <alignment horizontal="right" vertical="top"/>
    </xf>
    <xf numFmtId="0" fontId="5" fillId="0" borderId="0" xfId="0" applyFont="1" applyAlignment="1">
      <alignment wrapText="1"/>
    </xf>
    <xf numFmtId="43" fontId="5" fillId="0" borderId="0" xfId="4" applyFont="1" applyBorder="1"/>
    <xf numFmtId="166" fontId="5" fillId="0" borderId="0" xfId="0" applyNumberFormat="1" applyFont="1"/>
    <xf numFmtId="0" fontId="5" fillId="0" borderId="0" xfId="0" applyFont="1" applyAlignment="1">
      <alignment vertical="top"/>
    </xf>
    <xf numFmtId="165" fontId="6" fillId="0" borderId="0" xfId="0" applyNumberFormat="1" applyFont="1" applyAlignment="1">
      <alignment horizontal="right" vertical="top"/>
    </xf>
    <xf numFmtId="166" fontId="5" fillId="0" borderId="0" xfId="0" applyNumberFormat="1" applyFont="1" applyAlignment="1">
      <alignment horizontal="right" vertical="top"/>
    </xf>
    <xf numFmtId="166" fontId="4" fillId="0" borderId="0" xfId="0" applyNumberFormat="1" applyFont="1"/>
    <xf numFmtId="4" fontId="5" fillId="0" borderId="0" xfId="0" applyNumberFormat="1" applyFont="1" applyAlignment="1">
      <alignment horizontal="right" vertical="center"/>
    </xf>
    <xf numFmtId="2" fontId="4" fillId="0" borderId="0" xfId="0" applyNumberFormat="1" applyFont="1"/>
    <xf numFmtId="2" fontId="4" fillId="2" borderId="0" xfId="0" applyNumberFormat="1" applyFont="1" applyFill="1"/>
    <xf numFmtId="0" fontId="6" fillId="0" borderId="0" xfId="0" applyFont="1"/>
    <xf numFmtId="2" fontId="5" fillId="0" borderId="0" xfId="0" applyNumberFormat="1" applyFont="1"/>
    <xf numFmtId="2" fontId="7" fillId="0" borderId="0" xfId="0" applyNumberFormat="1" applyFont="1" applyAlignment="1">
      <alignment horizontal="right" vertical="top"/>
    </xf>
    <xf numFmtId="0" fontId="7" fillId="6" borderId="0" xfId="1" applyFont="1" applyFill="1"/>
    <xf numFmtId="2" fontId="6" fillId="0" borderId="0" xfId="0" applyNumberFormat="1" applyFont="1" applyAlignment="1">
      <alignment horizontal="right" vertical="top"/>
    </xf>
    <xf numFmtId="2" fontId="5" fillId="2" borderId="0" xfId="0" applyNumberFormat="1" applyFont="1" applyFill="1"/>
    <xf numFmtId="166" fontId="10" fillId="0" borderId="0" xfId="0" applyNumberFormat="1" applyFont="1"/>
    <xf numFmtId="0" fontId="5" fillId="0" borderId="0" xfId="0" applyFont="1" applyAlignment="1">
      <alignment readingOrder="1"/>
    </xf>
    <xf numFmtId="166" fontId="0" fillId="0" borderId="0" xfId="0" applyNumberFormat="1"/>
    <xf numFmtId="0" fontId="5" fillId="0" borderId="0" xfId="0" applyFont="1" applyAlignment="1">
      <alignment horizontal="right" vertical="top"/>
    </xf>
    <xf numFmtId="0" fontId="8" fillId="0" borderId="0" xfId="0" applyFont="1" applyAlignment="1">
      <alignment horizontal="center"/>
    </xf>
    <xf numFmtId="43" fontId="4" fillId="0" borderId="0" xfId="4" applyFont="1" applyBorder="1"/>
    <xf numFmtId="166" fontId="4" fillId="0" borderId="0" xfId="1" applyNumberFormat="1" applyFont="1"/>
    <xf numFmtId="166" fontId="5" fillId="0" borderId="0" xfId="1" applyNumberFormat="1" applyFont="1" applyAlignment="1">
      <alignment horizontal="right" vertical="top"/>
    </xf>
    <xf numFmtId="0" fontId="5" fillId="2" borderId="0" xfId="0" applyFont="1" applyFill="1" applyAlignment="1">
      <alignment horizontal="left" vertical="center"/>
    </xf>
    <xf numFmtId="4" fontId="4" fillId="0" borderId="0" xfId="0" applyNumberFormat="1" applyFont="1"/>
    <xf numFmtId="2" fontId="4" fillId="0" borderId="0" xfId="0" applyNumberFormat="1" applyFont="1" applyAlignment="1">
      <alignment horizontal="right" vertical="top"/>
    </xf>
    <xf numFmtId="43" fontId="5" fillId="0" borderId="0" xfId="4" applyFont="1" applyBorder="1" applyAlignment="1">
      <alignment horizontal="right" vertical="top" wrapText="1"/>
    </xf>
    <xf numFmtId="43" fontId="5" fillId="0" borderId="0" xfId="4" applyFont="1" applyBorder="1" applyAlignment="1">
      <alignment horizontal="right" vertical="top"/>
    </xf>
    <xf numFmtId="43" fontId="5" fillId="0" borderId="0" xfId="4" applyFont="1" applyBorder="1" applyAlignment="1">
      <alignment vertical="top"/>
    </xf>
    <xf numFmtId="43" fontId="5" fillId="5" borderId="0" xfId="4" applyFont="1" applyFill="1" applyBorder="1"/>
    <xf numFmtId="0" fontId="5" fillId="0" borderId="0" xfId="0" applyFont="1" applyAlignment="1">
      <alignment vertical="top" readingOrder="1"/>
    </xf>
    <xf numFmtId="0" fontId="4" fillId="0" borderId="0" xfId="0" applyFont="1" applyAlignment="1">
      <alignment vertical="top" readingOrder="1"/>
    </xf>
    <xf numFmtId="0" fontId="5" fillId="0" borderId="0" xfId="0" applyFont="1" applyAlignment="1">
      <alignment vertical="top" wrapText="1"/>
    </xf>
    <xf numFmtId="0" fontId="6" fillId="0" borderId="0" xfId="0" applyFont="1" applyAlignment="1">
      <alignment vertical="top"/>
    </xf>
    <xf numFmtId="4" fontId="7" fillId="0" borderId="0" xfId="0" applyNumberFormat="1" applyFont="1" applyAlignment="1">
      <alignment horizontal="center"/>
    </xf>
    <xf numFmtId="4" fontId="8" fillId="0" borderId="0" xfId="0" applyNumberFormat="1" applyFont="1"/>
    <xf numFmtId="43" fontId="2" fillId="2" borderId="0" xfId="4" applyFont="1" applyFill="1" applyAlignment="1">
      <alignment horizontal="center" vertical="center" wrapText="1"/>
    </xf>
    <xf numFmtId="43" fontId="4" fillId="0" borderId="0" xfId="4" applyFont="1" applyAlignment="1">
      <alignment horizontal="right" vertical="center"/>
    </xf>
    <xf numFmtId="43" fontId="7" fillId="11" borderId="0" xfId="4" applyFont="1" applyFill="1" applyAlignment="1">
      <alignment horizontal="right" vertical="center"/>
    </xf>
    <xf numFmtId="43" fontId="7" fillId="0" borderId="0" xfId="4" applyFont="1" applyAlignment="1">
      <alignment horizontal="right" vertical="center"/>
    </xf>
    <xf numFmtId="43" fontId="4" fillId="11" borderId="0" xfId="4" applyFont="1" applyFill="1" applyAlignment="1">
      <alignment horizontal="right" vertical="center"/>
    </xf>
    <xf numFmtId="43" fontId="7" fillId="11" borderId="0" xfId="4" applyFont="1" applyFill="1" applyAlignment="1">
      <alignment horizontal="right"/>
    </xf>
    <xf numFmtId="43" fontId="7" fillId="0" borderId="0" xfId="4" applyFont="1" applyAlignment="1">
      <alignment horizontal="left" vertical="center"/>
    </xf>
    <xf numFmtId="43" fontId="7" fillId="0" borderId="0" xfId="4" applyFont="1" applyAlignment="1">
      <alignment horizontal="left"/>
    </xf>
    <xf numFmtId="43" fontId="15" fillId="0" borderId="0" xfId="4" applyFont="1" applyAlignment="1">
      <alignment horizontal="right"/>
    </xf>
    <xf numFmtId="43" fontId="28" fillId="0" borderId="0" xfId="4" applyFont="1"/>
    <xf numFmtId="43" fontId="7" fillId="11" borderId="0" xfId="4" applyFont="1" applyFill="1" applyAlignment="1">
      <alignment horizontal="left" vertical="center"/>
    </xf>
    <xf numFmtId="43" fontId="7" fillId="2" borderId="0" xfId="4" applyFont="1" applyFill="1"/>
    <xf numFmtId="43" fontId="5" fillId="11" borderId="0" xfId="4" applyFont="1" applyFill="1"/>
    <xf numFmtId="43" fontId="5" fillId="11" borderId="0" xfId="4" applyFont="1" applyFill="1" applyAlignment="1">
      <alignment horizontal="right" vertical="center"/>
    </xf>
    <xf numFmtId="43" fontId="5" fillId="11" borderId="0" xfId="4" applyFont="1" applyFill="1" applyAlignment="1">
      <alignment horizontal="right"/>
    </xf>
    <xf numFmtId="43" fontId="0" fillId="11" borderId="0" xfId="4" applyFont="1" applyFill="1" applyAlignment="1">
      <alignment horizontal="right"/>
    </xf>
    <xf numFmtId="43" fontId="8" fillId="0" borderId="0" xfId="4" applyFont="1"/>
    <xf numFmtId="43" fontId="22" fillId="11" borderId="0" xfId="4" applyFont="1" applyFill="1"/>
    <xf numFmtId="43" fontId="22" fillId="11" borderId="0" xfId="4" applyFont="1" applyFill="1" applyAlignment="1">
      <alignment horizontal="right" vertical="center"/>
    </xf>
    <xf numFmtId="43" fontId="22" fillId="11" borderId="0" xfId="4" applyFont="1" applyFill="1" applyAlignment="1">
      <alignment horizontal="right"/>
    </xf>
    <xf numFmtId="43" fontId="5" fillId="0" borderId="0" xfId="4" applyFont="1" applyAlignment="1">
      <alignment horizontal="right"/>
    </xf>
    <xf numFmtId="43" fontId="5" fillId="0" borderId="0" xfId="4" applyFont="1" applyAlignment="1">
      <alignment horizontal="right" vertical="center"/>
    </xf>
    <xf numFmtId="43" fontId="7" fillId="0" borderId="0" xfId="4" applyFont="1" applyAlignment="1">
      <alignment vertical="center"/>
    </xf>
    <xf numFmtId="43" fontId="0" fillId="0" borderId="0" xfId="4" applyFont="1" applyAlignment="1">
      <alignment horizontal="left" vertical="center"/>
    </xf>
    <xf numFmtId="43" fontId="0" fillId="0" borderId="0" xfId="4" applyFont="1" applyAlignment="1">
      <alignment horizontal="right" vertical="center"/>
    </xf>
    <xf numFmtId="43" fontId="0" fillId="11" borderId="0" xfId="4" applyFont="1" applyFill="1" applyAlignment="1">
      <alignment horizontal="left" vertical="center"/>
    </xf>
    <xf numFmtId="43" fontId="0" fillId="11" borderId="0" xfId="4" applyFont="1" applyFill="1" applyAlignment="1">
      <alignment horizontal="right" vertical="center"/>
    </xf>
    <xf numFmtId="43" fontId="25" fillId="11" borderId="0" xfId="4" applyFont="1" applyFill="1" applyAlignment="1">
      <alignment vertical="center"/>
    </xf>
    <xf numFmtId="43" fontId="25" fillId="11" borderId="0" xfId="4" applyFont="1" applyFill="1" applyAlignment="1">
      <alignment horizontal="right" vertical="center"/>
    </xf>
    <xf numFmtId="43" fontId="0" fillId="0" borderId="0" xfId="4" applyFont="1" applyAlignment="1">
      <alignment vertical="center"/>
    </xf>
    <xf numFmtId="43" fontId="0" fillId="11" borderId="0" xfId="4" applyFont="1" applyFill="1" applyAlignment="1">
      <alignment vertical="center"/>
    </xf>
    <xf numFmtId="43" fontId="0" fillId="0" borderId="0" xfId="4" applyFont="1"/>
    <xf numFmtId="43" fontId="29" fillId="0" borderId="0" xfId="4" applyFont="1"/>
    <xf numFmtId="43" fontId="4" fillId="0" borderId="0" xfId="4" applyFont="1" applyAlignment="1">
      <alignment vertical="center"/>
    </xf>
    <xf numFmtId="43" fontId="7" fillId="11" borderId="0" xfId="4" applyFont="1" applyFill="1" applyAlignment="1">
      <alignment horizontal="center"/>
    </xf>
    <xf numFmtId="43" fontId="12" fillId="0" borderId="0" xfId="4" applyFont="1"/>
    <xf numFmtId="0" fontId="13" fillId="0" borderId="0" xfId="3"/>
    <xf numFmtId="168" fontId="7" fillId="5" borderId="0" xfId="0" applyNumberFormat="1" applyFont="1" applyFill="1" applyAlignment="1">
      <alignment horizontal="center"/>
    </xf>
    <xf numFmtId="0" fontId="4" fillId="5" borderId="0" xfId="0" applyFont="1" applyFill="1" applyAlignment="1">
      <alignment horizontal="left" vertical="top" wrapText="1"/>
    </xf>
    <xf numFmtId="0" fontId="5" fillId="0" borderId="0" xfId="0" applyFont="1" applyAlignment="1">
      <alignment horizontal="left" vertical="top" wrapText="1"/>
    </xf>
    <xf numFmtId="165" fontId="5" fillId="0" borderId="0" xfId="0" applyNumberFormat="1" applyFont="1" applyAlignment="1">
      <alignment horizontal="left" vertical="center"/>
    </xf>
    <xf numFmtId="0" fontId="13" fillId="0" borderId="0" xfId="3" applyFill="1" applyAlignment="1">
      <alignment horizontal="left" vertical="top"/>
    </xf>
    <xf numFmtId="0" fontId="5" fillId="0" borderId="0" xfId="1" applyFont="1"/>
    <xf numFmtId="0" fontId="32" fillId="0" borderId="0" xfId="3" applyFont="1" applyFill="1" applyAlignment="1">
      <alignment horizontal="left" vertical="top"/>
    </xf>
    <xf numFmtId="0" fontId="32" fillId="0" borderId="0" xfId="3" applyFont="1" applyFill="1" applyAlignment="1"/>
    <xf numFmtId="165" fontId="5" fillId="0" borderId="0" xfId="0" applyNumberFormat="1" applyFont="1" applyAlignment="1">
      <alignment horizontal="left" vertical="center" wrapText="1"/>
    </xf>
    <xf numFmtId="43" fontId="7" fillId="0" borderId="0" xfId="4" applyFont="1" applyFill="1" applyBorder="1"/>
    <xf numFmtId="43" fontId="7" fillId="0" borderId="0" xfId="4" applyFont="1" applyFill="1"/>
    <xf numFmtId="43" fontId="7" fillId="0" borderId="0" xfId="4" applyFont="1" applyFill="1" applyAlignment="1">
      <alignment horizontal="right" vertical="center"/>
    </xf>
    <xf numFmtId="43" fontId="7" fillId="0" borderId="0" xfId="4" applyFont="1" applyFill="1" applyAlignment="1">
      <alignment horizontal="right"/>
    </xf>
    <xf numFmtId="43" fontId="4" fillId="0" borderId="0" xfId="4" applyFont="1" applyFill="1" applyAlignment="1">
      <alignment horizontal="right" vertical="center"/>
    </xf>
    <xf numFmtId="0" fontId="0" fillId="0" borderId="0" xfId="0" applyAlignment="1">
      <alignment horizontal="center" vertical="center"/>
    </xf>
    <xf numFmtId="0" fontId="25" fillId="0" borderId="0" xfId="0" applyFont="1" applyAlignment="1">
      <alignment horizontal="center" vertical="center"/>
    </xf>
    <xf numFmtId="0" fontId="13" fillId="0" borderId="0" xfId="5" applyFont="1" applyAlignment="1">
      <alignment horizontal="left" vertical="center"/>
    </xf>
    <xf numFmtId="0" fontId="34" fillId="0" borderId="0" xfId="5" applyFont="1" applyAlignment="1">
      <alignment horizontal="left" vertical="center"/>
    </xf>
    <xf numFmtId="0" fontId="36" fillId="0" borderId="0" xfId="0" applyFont="1" applyAlignment="1">
      <alignment horizontal="left" vertical="top"/>
    </xf>
  </cellXfs>
  <cellStyles count="6">
    <cellStyle name="Hyperlink" xfId="5" xr:uid="{00000000-000B-0000-0000-000008000000}"/>
    <cellStyle name="Komma" xfId="4" builtinId="3"/>
    <cellStyle name="Link" xfId="3" builtinId="8"/>
    <cellStyle name="Normal 2" xfId="1" xr:uid="{C2112BA6-8F98-4941-8A08-D922C71A418B}"/>
    <cellStyle name="Prozent" xfId="2" builtinId="5"/>
    <cellStyle name="Standard" xfId="0" builtinId="0"/>
  </cellStyles>
  <dxfs count="22">
    <dxf>
      <font>
        <b val="0"/>
        <i val="0"/>
        <strike val="0"/>
        <condense val="0"/>
        <extend val="0"/>
        <outline val="0"/>
        <shadow val="0"/>
        <u val="none"/>
        <vertAlign val="baseline"/>
        <sz val="12"/>
        <color theme="1"/>
        <name val="Times New Roman"/>
        <family val="1"/>
        <scheme val="none"/>
      </font>
    </dxf>
    <dxf>
      <font>
        <b val="0"/>
        <i val="0"/>
        <strike val="0"/>
        <condense val="0"/>
        <extend val="0"/>
        <outline val="0"/>
        <shadow val="0"/>
        <u val="none"/>
        <vertAlign val="baseline"/>
        <sz val="12"/>
        <color theme="1"/>
        <name val="Times New Roman"/>
        <family val="1"/>
        <scheme val="none"/>
      </font>
    </dxf>
    <dxf>
      <font>
        <b val="0"/>
        <i val="0"/>
        <strike val="0"/>
        <condense val="0"/>
        <extend val="0"/>
        <outline val="0"/>
        <shadow val="0"/>
        <u val="none"/>
        <vertAlign val="baseline"/>
        <sz val="12"/>
        <color theme="1"/>
        <name val="Times New Roman"/>
        <family val="1"/>
        <scheme val="none"/>
      </font>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center" vertical="bottom" textRotation="0" wrapText="0" indent="0" justifyLastLine="0" shrinkToFit="0" readingOrder="0"/>
    </dxf>
    <dxf>
      <numFmt numFmtId="170" formatCode=";;;"/>
    </dxf>
    <dxf>
      <numFmt numFmtId="170" formatCode=";;;"/>
    </dxf>
    <dxf>
      <numFmt numFmtId="170" formatCode=";;;"/>
    </dxf>
    <dxf>
      <numFmt numFmtId="170" formatCode=";;;"/>
    </dxf>
    <dxf>
      <numFmt numFmtId="170" formatCode=";;;"/>
    </dxf>
    <dxf>
      <numFmt numFmtId="170" formatCode=";;;"/>
    </dxf>
    <dxf>
      <numFmt numFmtId="170" formatCode=";;;"/>
    </dxf>
    <dxf>
      <font>
        <sz val="12"/>
        <color rgb="FF000000"/>
        <name val="Calibri"/>
      </font>
      <numFmt numFmtId="171" formatCode="&quot;&quot;;&quot;&quot;;&quot;&quot;;&quot;&quot;"/>
    </dxf>
    <dxf>
      <numFmt numFmtId="170" formatCode=";;;"/>
    </dxf>
    <dxf>
      <numFmt numFmtId="170" formatCode=";;;"/>
    </dxf>
    <dxf>
      <font>
        <sz val="12"/>
        <color rgb="FF000000"/>
        <name val="Calibri"/>
      </font>
      <numFmt numFmtId="171" formatCode="&quot;&quot;;&quot;&quot;;&quot;&quot;;&quot;&quot;"/>
    </dxf>
    <dxf>
      <numFmt numFmtId="170" formatCode=";;;"/>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lukasbarbutev@gmail.com" id="{BB9F9AD6-0236-B144-883E-494620683AD6}" userId="81115f47cd5e7a67" providerId="Windows Live"/>
  <person displayName="Lukas Barbutev" id="{4203BE57-7F72-4DE4-A469-1C38873083D4}" userId="S::l.barbutev@leibniz-hbi.de::dd58d55c-d419-4497-aeb6-91e8ba21f77b" providerId="AD"/>
  <person displayName="Josefine May Spannuth" id="{87DA2566-F48B-496E-B22B-2EEC8F197370}" userId="S::josefinemayspannuth@cmail.carleton.ca::10504b6f-fb0b-497f-b498-464e8a3867e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D17BF2-8A37-4C51-87DF-0BA73B2C8A52}" name="MERGERSA" displayName="MERGERSA" ref="A1:I135" totalsRowShown="0" headerRowDxfId="9">
  <autoFilter ref="A1:I135" xr:uid="{F3D17BF2-8A37-4C51-87DF-0BA73B2C8A52}"/>
  <tableColumns count="9">
    <tableColumn id="1" xr3:uid="{A3F39008-3EA5-4F73-B00D-5FC7FE34084C}" name="Country" dataDxfId="8"/>
    <tableColumn id="2" xr3:uid="{3B03E9F5-5E38-45C8-B05E-C7AD0651B1C7}" name="Year" dataDxfId="7"/>
    <tableColumn id="3" xr3:uid="{7A07EE56-14A9-4EB4-B22C-3BE9ADF054E8}" name="Sector" dataDxfId="6"/>
    <tableColumn id="4" xr3:uid="{1A9DD1E2-68DA-49B4-8230-CCC7FC7D23A5}" name="Acquired" dataDxfId="5"/>
    <tableColumn id="5" xr3:uid="{EDC5B45F-1D7E-4B79-BAF6-F1D38C3EA208}" name="Acquirer" dataDxfId="4"/>
    <tableColumn id="6" xr3:uid="{4D9C41F5-5F6C-4E64-90BC-BBBC107B387D}" name="Transaction Value (Millions locaL$)" dataDxfId="3"/>
    <tableColumn id="7" xr3:uid="{39BE81B0-F7E3-4131-B027-D03E8C9EC8EF}" name="Transaction Value (Millions US$)" dataDxfId="2"/>
    <tableColumn id="9" xr3:uid="{1CBE228E-04AE-4C84-BA1D-BF97F4D4F115}" name="Closing Date--Year Only" dataDxfId="1"/>
    <tableColumn id="8" xr3:uid="{5A4C7B21-7A43-4300-B8A4-CDCA9D691229}"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83" dT="2025-04-16T09:44:07.59" personId="{4203BE57-7F72-4DE4-A469-1C38873083D4}" id="{40578BED-B33D-5548-91C6-400E546B4375}">
    <text>MA 2019 Audio ii, daily reach, Mo - Friday, Audience starting from 14 years old
https://www.agma-mmc.de/fileadmin/user_upload/Pressemitteilungen/2019/PM_ma_2019_Audio_I.pdf</text>
    <extLst>
      <x:ext xmlns:xltc2="http://schemas.microsoft.com/office/spreadsheetml/2020/threadedcomments2" uri="{F7C98A9C-CBB3-438F-8F68-D28B6AF4A901}">
        <xltc2:checksum>4179667516</xltc2:checksum>
        <xltc2:hyperlink startIndex="81" length="92" url="https://www.agma-mmc.de/fileadmin/user_upload/Pressemitteilungen/2019/PM_ma_2019_Audio_I.pdf"/>
      </x:ext>
    </extLst>
  </threadedComment>
  <threadedComment ref="U84" dT="2025-04-16T09:44:29.11" personId="{4203BE57-7F72-4DE4-A469-1C38873083D4}" id="{01EA6E3C-0A87-DF49-A4E8-3821FC115DFB}">
    <text>MA 2020 Audio ii, daily reach, Mo - Friday, Audience starting from 14 years old
https://www.agma-mmc.de/fileadmin/user_upload/Pressemitteilungen/2020/PM_ma_2020_Audio_I.pdf</text>
    <extLst>
      <x:ext xmlns:xltc2="http://schemas.microsoft.com/office/spreadsheetml/2020/threadedcomments2" uri="{F7C98A9C-CBB3-438F-8F68-D28B6AF4A901}">
        <xltc2:checksum>2621070559</xltc2:checksum>
        <xltc2:hyperlink startIndex="81" length="92" url="https://www.agma-mmc.de/fileadmin/user_upload/Pressemitteilungen/2020/PM_ma_2020_Audio_I.pdf"/>
      </x:ext>
    </extLst>
  </threadedComment>
  <threadedComment ref="U85" dT="2025-04-16T09:44:51.42" personId="{4203BE57-7F72-4DE4-A469-1C38873083D4}" id="{27E1B8BC-7D2E-604B-94BD-648E7FAAE817}">
    <text>MA 2021 Audio ii, daily reach, Mo - Friday, Audience starting from 14 years old
https://www.agma-mmc.de/fileadmin/user_upload/Pressemitteilungen/2021/PM_ma_2021_Audio.pdf</text>
    <extLst>
      <x:ext xmlns:xltc2="http://schemas.microsoft.com/office/spreadsheetml/2020/threadedcomments2" uri="{F7C98A9C-CBB3-438F-8F68-D28B6AF4A901}">
        <xltc2:checksum>3192534985</xltc2:checksum>
        <xltc2:hyperlink startIndex="81" length="90" url="https://www.agma-mmc.de/fileadmin/user_upload/Pressemitteilungen/2021/PM_ma_2021_Audio.pdf"/>
      </x:ext>
    </extLst>
  </threadedComment>
  <threadedComment ref="U86" dT="2025-04-16T09:45:24.78" personId="{4203BE57-7F72-4DE4-A469-1C38873083D4}" id="{274D2516-B801-DC43-A372-1B3658A22F6D}">
    <text>Media Perspektiven 11/2022, p.507
https://www.ard-media.de/fileadmin/user_upload/media-perspektiven/pdf/2022/2211_Media_Perspektiven_gesamt_Korr.pdf</text>
    <extLst>
      <x:ext xmlns:xltc2="http://schemas.microsoft.com/office/spreadsheetml/2020/threadedcomments2" uri="{F7C98A9C-CBB3-438F-8F68-D28B6AF4A901}">
        <xltc2:checksum>4176833284</xltc2:checksum>
        <xltc2:hyperlink startIndex="34" length="114" url="https://www.ard-media.de/fileadmin/user_upload/media-perspektiven/pdf/2022/2211_Media_Perspektiven_gesamt_Korr.pdf"/>
      </x:ext>
    </extLst>
  </threadedComment>
  <threadedComment ref="D227" dT="2024-01-26T19:39:38.00" personId="{87DA2566-F48B-496E-B22B-2EEC8F197370}" id="{BD565462-58AE-4B2B-BB49-CC12F7AB2186}">
    <text xml:space="preserve">
Copies sold 2021: (IVW Data) 
1st Quarter: 14.004.992 ( of those 1.895.508 e-papers)
2nd Quarter of 2021: 
13.819.833 (of those 
1.944.684 e-papers)
3rd Quarter: 13.179.232 (of those 1.870.045 e-papers)
https://www.ivw.de/ivw/1-quartal-2021 </text>
    <extLst>
      <x:ext xmlns:xltc2="http://schemas.microsoft.com/office/spreadsheetml/2020/threadedcomments2" uri="{F7C98A9C-CBB3-438F-8F68-D28B6AF4A901}">
        <xltc2:checksum>744211896</xltc2:checksum>
        <xltc2:hyperlink startIndex="206" length="37" url="https://www.ivw.de/ivw/1-quartal-2021"/>
      </x:ext>
    </extLst>
  </threadedComment>
  <threadedComment ref="D228" dT="2024-03-20T18:40:57.42" personId="{87DA2566-F48B-496E-B22B-2EEC8F197370}" id="{A431D3D9-C3E2-44BB-8697-F99A631F54E7}">
    <text>Numbers key information:
comparison years: 
2022/2021: -5,9%
2022/2020: - 2.0%
- 6.829,00 includes E-papers (no other digital revenue)
- Revenue E-paper: 14 Million (incl. in Total revenue NP) (as of April 2024)
- sales revenue E-paper: 413.966 (000s)
- Revenue incl. all digital revenue: 7.587.910
- Digital revenue took up 15,5% of the total revenue of the NP market (2022). 
- Digital revenue without E-paper: 759.273
- a bit more than 17% of circulation was from E-papers (2021 only 14.3%)
- 2.495.252 E-papers circulated in 2022 (2021 2.207.995; 2020: 2.003.448; 2019: 1.658.326; 2018: 1.408.927) 
Source: BDZV report 2023 
IVW measured: 1st quarter of 2022: 13.416.412 sold number of copies of Newspaper, 2.133.578 of those were e-papers https://www.ivw.de/ivw/1-quartal-2022</text>
    <extLst>
      <x:ext xmlns:xltc2="http://schemas.microsoft.com/office/spreadsheetml/2020/threadedcomments2" uri="{F7C98A9C-CBB3-438F-8F68-D28B6AF4A901}">
        <xltc2:checksum>2900020666</xltc2:checksum>
        <xltc2:hyperlink startIndex="752" length="37" url="https://www.ivw.de/ivw/1-quartal-2022"/>
      </x:ext>
    </extLst>
  </threadedComment>
  <threadedComment ref="U232" dT="2024-09-23T14:46:31.71" personId="{4203BE57-7F72-4DE4-A469-1C38873083D4}" id="{5B637277-1088-D542-B359-6B40450B32AF}">
    <text xml:space="preserve">„Number of Social Media Users Identities“ Datareportal states the users for January 2022 (72600) and 2021 (66000). We took the average of them. </text>
  </threadedComment>
  <threadedComment ref="U233" dT="2024-09-23T14:43:09.37" personId="{4203BE57-7F72-4DE4-A469-1C38873083D4}" id="{DEF26FEA-9B27-4A4B-AFF0-01EDB8EE1CBC}">
    <text xml:space="preserve">„Number of Social Media Users Identities“ Datareportal states the users for January 2022 (72600) and 2023 (70900). We took the average of them. </text>
  </threadedComment>
  <threadedComment ref="U234" dT="2024-09-23T14:22:26.43" personId="{4203BE57-7F72-4DE4-A469-1C38873083D4}" id="{D5C51D12-9633-9E42-88C1-F8583449BF04}">
    <text xml:space="preserve">„Number of Social Media Users Identities“ Datareportal states the users for January 2024 (67800) and 2023 (70900). We took the average of them. </text>
  </threadedComment>
</ThreadedComments>
</file>

<file path=xl/threadedComments/threadedComment2.xml><?xml version="1.0" encoding="utf-8"?>
<ThreadedComments xmlns="http://schemas.microsoft.com/office/spreadsheetml/2018/threadedcomments" xmlns:x="http://schemas.openxmlformats.org/spreadsheetml/2006/main">
  <threadedComment ref="AG4" dT="2024-02-23T15:18:01.44" personId="{4203BE57-7F72-4DE4-A469-1C38873083D4}" id="{B28BA333-C06F-465E-A710-9EDDFA050DB9}">
    <text>Since Unity Media was bought up in August 2019 we only calculated with 3 quartals or 9 months. Since after August 2019 the subscribers of Unity Media became subscribers of Vodafone. However, it might be even more closer to use the reality of the merger happening in August and thus calculating with 8 instead of Months. We decided for 9 to use the Quartal numbers which we have from Vodafone.</text>
  </threadedComment>
  <threadedComment ref="V8" dT="2023-12-18T09:28:52.65" personId="{4203BE57-7F72-4DE4-A469-1C38873083D4}" id="{E272AD92-B9ED-4472-A323-9C4B60CB507B}">
    <text>Share between Telephony and Internet RGUs of Pyür is: 432/584 = 0,74. This was used as proxy for other companies.</text>
  </threadedComment>
  <threadedComment ref="W8" dT="2023-11-27T18:55:11.67" personId="{4203BE57-7F72-4DE4-A469-1C38873083D4}" id="{5A749EC5-629B-4BC4-B430-21CE79E780B3}">
    <text>Annual report 2020, p.3</text>
  </threadedComment>
  <threadedComment ref="V17" dT="2023-12-18T09:28:52.65" personId="{4203BE57-7F72-4DE4-A469-1C38873083D4}" id="{7CCCD58F-D621-4E04-80BE-254FA758EC09}">
    <text xml:space="preserve">Share between Internet and Telephony RGUs of Pyür is: 439/602 = 0,724. This was used as proxy for other companies.
</text>
  </threadedComment>
  <threadedComment ref="W17" dT="2023-11-27T18:55:11.67" personId="{4203BE57-7F72-4DE4-A469-1C38873083D4}" id="{06CBF62D-755C-4DA0-922C-BA4E407F2787}">
    <text>Annual report, Tele Columbus 2020, p.3</text>
  </threadedComment>
  <threadedComment ref="V18" dT="2024-02-26T11:20:22.44" personId="{4203BE57-7F72-4DE4-A469-1C38873083D4}" id="{AD84D6DE-6F3C-448A-BC2F-E4681542977A}">
    <text>We used the ratio of 0,724 between Telephony and broadband customers of Pyür to estimate the subscribers for Mnet. Given that 500 broadband subscribers were reported in the VATM: 500*0,724 = 362</text>
  </threadedComment>
  <threadedComment ref="V26" dT="2023-12-18T09:28:23.43" personId="{4203BE57-7F72-4DE4-A469-1C38873083D4}" id="{CDCC14C9-CD1B-44AE-AEB6-8F80595569E2}">
    <text>Share between Internet and Telephony RGUs of Pyür is: 454/629 = 0,722. This was used as proxy for other companies.</text>
  </threadedComment>
  <threadedComment ref="W26" dT="2023-11-27T18:27:51.20" personId="{4203BE57-7F72-4DE4-A469-1C38873083D4}" id="{893393B8-CE39-4593-8B44-7870C22CAF61}">
    <text xml:space="preserve">Annual report Tele Columbus 2021 p.12., </text>
  </threadedComment>
  <threadedComment ref="V36" dT="2024-02-21T15:32:02.54" personId="{4203BE57-7F72-4DE4-A469-1C38873083D4}" id="{7F5C387F-29AB-41D5-BB78-19C15C962331}">
    <text>Share between Internet and Telephony RGUs of Pyür is: 475/659 = 0,721. This was used as proxy for other companies.</text>
  </threadedComment>
  <threadedComment ref="W36" dT="2023-11-27T18:53:12.23" personId="{4203BE57-7F72-4DE4-A469-1C38873083D4}" id="{86DE5048-F55A-430B-A939-BC151BC8FCC0}">
    <text xml:space="preserve">Annual report Tele Columbus 2022, p.12. 
</text>
  </threadedComment>
  <threadedComment ref="V42" dT="2025-02-24T15:47:05.81" personId="{BB9F9AD6-0236-B144-883E-494620683AD6}" id="{A5CEEDD5-0EE0-564A-82F5-C6AA6FE4F851}">
    <text>https://www.dslweb.de/news/dsl/vodafone-deutschland-im-q4-2023-optimistisch-vom-regen-in-die-traufe.php?utm_source=chatgpt.com</text>
  </threadedComment>
  <threadedComment ref="V46" dT="2025-02-18T13:39:19.84" personId="{BB9F9AD6-0236-B144-883E-494620683AD6}" id="{D4958DBE-20E3-5140-A030-3E5708D13F03}">
    <text>Annual Report 2023 p.8</text>
  </threadedComment>
  <threadedComment ref="V75" dT="2024-03-28T15:48:28.39" personId="{4203BE57-7F72-4DE4-A469-1C38873083D4}" id="{70AA622C-C49B-4B76-8A60-47353F1052D0}">
    <text>Average quarterly subscribers, DT IR BackUp Q4/19, p.32</text>
  </threadedComment>
  <threadedComment ref="V76" dT="2024-04-02T08:53:53.75" personId="{4203BE57-7F72-4DE4-A469-1C38873083D4}" id="{4B6008DB-EB34-4745-841C-CAD4094873DD}">
    <text>Anual report Telefonica Deutschland 2020, p.4</text>
  </threadedComment>
  <threadedComment ref="V77" dT="2024-04-02T09:38:52.43" personId="{4203BE57-7F72-4DE4-A469-1C38873083D4}" id="{AEA52E70-B218-49E0-9D70-403D1F836A1F}">
    <text>Average subscriber Germany,Vodafone group 
Final report 2020, FY 2020, Spreadsheet - sheet mobile customers, https://investors.vodafone.com/performance/financial-results-and-presentations</text>
  </threadedComment>
  <threadedComment ref="V78" dT="2024-04-02T11:33:04.94" personId="{4203BE57-7F72-4DE4-A469-1C38873083D4}" id="{CB9D7C7A-CEC8-4390-878E-8C665C018707}">
    <text>Annual report 2020, p.2 only includes postpaid customers.</text>
  </threadedComment>
  <threadedComment ref="W78" dT="2024-10-22T11:52:08.60" personId="{4203BE57-7F72-4DE4-A469-1C38873083D4}" id="{4F1ABD18-D45E-479F-BA8A-B5324FF28ED5}">
    <text>Compared to other providers the ARPU is so high since the subscriber number only includes Postpaid customers. Since Freenet did not provided data for the amount of Prepaid customers.</text>
  </threadedComment>
  <threadedComment ref="V79" dT="2024-04-03T11:18:02.65" personId="{4203BE57-7F72-4DE4-A469-1C38873083D4}" id="{320B90FA-74EB-4230-8591-81FCEF43F4BC}">
    <text>Annual report 2020, p.17. (number of page could change depending how one counts, the report does not have page numbers.</text>
  </threadedComment>
  <threadedComment ref="V81" dT="2024-03-28T15:35:58.39" personId="{4203BE57-7F72-4DE4-A469-1C38873083D4}" id="{D560B2F7-C14B-4D58-AFD2-1D10A7375354}">
    <text>Average quarterly subscribers, DT IR BackUp Q4/2020, p.23</text>
  </threadedComment>
  <threadedComment ref="V82" dT="2024-04-02T09:06:06.73" personId="{4203BE57-7F72-4DE4-A469-1C38873083D4}" id="{A5D98984-37E9-4C6A-AF18-67BCAFBD734F}">
    <text>Annal report 2020, p.10 no average customer numbers given, pre + postpay</text>
  </threadedComment>
  <threadedComment ref="V83" dT="2024-04-02T09:42:33.96" personId="{4203BE57-7F72-4DE4-A469-1C38873083D4}" id="{3876DA6D-788D-46DA-845C-1A098BD13CCF}">
    <text>Average subscriber,
Vodafone group Final report 2020, Spreadsheet , Mobile customers. FY 2020, Spreadsheet - sheet 07, https://investors.vodafone.com/performance/financial-results-and-presentations</text>
  </threadedComment>
  <threadedComment ref="V84" dT="2024-04-02T11:47:03.49" personId="{4203BE57-7F72-4DE4-A469-1C38873083D4}" id="{3EE645FC-3237-4FF2-ADDB-F6170F81526B}">
    <text>Annual report  2020, p.38</text>
  </threadedComment>
  <threadedComment ref="V85" dT="2024-04-03T11:30:50.78" personId="{4203BE57-7F72-4DE4-A469-1C38873083D4}" id="{9D844594-2434-41B8-8501-DEEC22F67FB1}">
    <text xml:space="preserve">Annual report 2020, p.17
</text>
  </threadedComment>
  <threadedComment ref="V87" dT="2024-03-28T15:40:19.43" personId="{4203BE57-7F72-4DE4-A469-1C38873083D4}" id="{E005B864-D7CF-4BF9-8D0F-91FF40888698}">
    <text>Average quarterly subscribers, DT IR BackUp Q4/2021</text>
  </threadedComment>
  <threadedComment ref="V88" dT="2024-04-02T09:26:39.58" personId="{4203BE57-7F72-4DE4-A469-1C38873083D4}" id="{B92F356E-F60F-46BD-BE23-D0AB5E0BFAE7}">
    <text>Annual report Telefonica 2022, p.8</text>
  </threadedComment>
  <threadedComment ref="V89" dT="2024-04-02T09:34:47.09" personId="{4203BE57-7F72-4DE4-A469-1C38873083D4}" id="{DB790653-1AB3-4228-AF9E-242359B954EA}">
    <text>Average subscribers 
Full year spreadsheet  Mobile customers.
FY 2022, https://investors.vodafone.com/performance/financial-results-and-presentations</text>
  </threadedComment>
  <threadedComment ref="V91" dT="2024-04-02T11:19:56.36" personId="{4203BE57-7F72-4DE4-A469-1C38873083D4}" id="{D940FA1B-2C8D-4566-A6B1-1DB1EB31C1DB}">
    <text xml:space="preserve">Average subscribers, Annual report 2022, p.36 </text>
  </threadedComment>
  <threadedComment ref="V93" dT="2024-03-28T15:43:55.13" personId="{4203BE57-7F72-4DE4-A469-1C38873083D4}" id="{CA6F4629-32B1-483C-AA56-DE4FEE842AD6}">
    <text>Average quarterly subscribers, DT IR BackUp Q4/2022, p.24</text>
  </threadedComment>
  <threadedComment ref="V94" dT="2024-04-02T09:26:35.76" personId="{4203BE57-7F72-4DE4-A469-1C38873083D4}" id="{CD154175-91D0-4A6D-81C6-C76AA0321ECD}">
    <text>Annual report Telefonica 2022, p.8</text>
  </threadedComment>
  <threadedComment ref="V95" dT="2024-04-02T09:31:34.44" personId="{4203BE57-7F72-4DE4-A469-1C38873083D4}" id="{12155D84-B9C9-4C76-8604-B919B0A83958}">
    <text>Annual average, Full year spreadsheet 2022, Mobile customers
Full year spreadsheet  Mobile customers.
FY 2022, https://investors.vodafone.com/performance/financial-results-and-presentations</text>
  </threadedComment>
  <threadedComment ref="V96" dT="2024-04-02T11:13:31.68" personId="{4203BE57-7F72-4DE4-A469-1C38873083D4}" id="{14EB6A36-7624-470C-A828-7A7B452D98F1}">
    <text xml:space="preserve">Average subscribers, annual report 2022, p.36 </text>
  </threadedComment>
  <threadedComment ref="V97" dT="2024-04-02T11:08:01.27" personId="{4203BE57-7F72-4DE4-A469-1C38873083D4}" id="{4399873A-9992-4700-B9FA-B4BDF05BEA4B}">
    <text xml:space="preserve">Average subscribers not specified, but the high number strongly indicates Post + Prepaid, Zusammengefasster Lagebericht der 1&amp;1 AG für das Geschäftsjahr 2022, p.61 </text>
  </threadedComment>
  <threadedComment ref="V99" dT="2024-10-22T08:49:39.63" personId="{4203BE57-7F72-4DE4-A469-1C38873083D4}" id="{933CF08A-C479-4256-919C-01242CE236BF}">
    <text>Annuap report, p.70</text>
  </threadedComment>
  <threadedComment ref="V100" dT="2024-10-22T09:38:21.02" personId="{4203BE57-7F72-4DE4-A469-1C38873083D4}" id="{366319C5-BB63-45F9-B178-E87209FD5C87}">
    <text xml:space="preserve">Annual report 2023, p.9
</text>
  </threadedComment>
  <threadedComment ref="V101" dT="2024-10-22T11:19:35.41" personId="{4203BE57-7F72-4DE4-A469-1C38873083D4}" id="{80E9FE4E-9B06-4183-9183-7D5824ADD040}">
    <text>Averge subscribers from Q1 to Q4.  Source: Vodafone Group Plc
Additional Information Q3 FY24
Sheet 06, mobile customers</text>
  </threadedComment>
  <threadedComment ref="V102" dT="2024-10-22T11:33:50.29" personId="{4203BE57-7F72-4DE4-A469-1C38873083D4}" id="{8BA75DE0-88E2-4379-B808-6E9707CDFAA2}">
    <text>Annual report 2023, p.0 only includes only postpaid customers.</text>
  </threadedComment>
  <threadedComment ref="V103" dT="2024-10-22T12:06:02.08" personId="{4203BE57-7F72-4DE4-A469-1C38873083D4}" id="{6343C344-C203-4E12-B10E-DDC062745912}">
    <text>Average contracts. Annual report, p.0 after title page, „Daten und Fakten“ (Data and facs).</text>
  </threadedComment>
  <threadedComment ref="V168" dT="2024-03-03T18:49:41.26" personId="{4203BE57-7F72-4DE4-A469-1C38873083D4}" id="{2FDFCED8-5F33-4CA9-9B5A-840A20F9B3FC}">
    <text>Average Broadband Access Lines 2019
DT IR BackUp Q4/19, p.34</text>
  </threadedComment>
  <threadedComment ref="V169" dT="2024-02-14T16:09:06.81" personId="{4203BE57-7F72-4DE4-A469-1C38873083D4}" id="{B411925A-4D3E-420B-B02C-7260B278B889}">
    <text>Difference between Subscribers 2019/20 Q2 and Subscribers 2019/20Q1 in the accounting of Vodafone. The jump in subscribers is explained by the new accounting of Vodafone that now includes Unity Media that was bought up in August 2019. We assume that all the new subscribers were previously subscribers of Unity Media.</text>
  </threadedComment>
  <threadedComment ref="V170" dT="2024-02-14T10:16:58.59" personId="{4203BE57-7F72-4DE4-A469-1C38873083D4}" id="{2C11A86D-133B-4EE9-9F56-F7AC3108756D}">
    <text>Average subscribers, 
Full year, spreadshet sheet   https://investors.vodafone.com/reports-information/results-reports-presentations?tab=fy21, sheet 07, Fixed broadband customers",</text>
  </threadedComment>
  <threadedComment ref="V171" dT="2024-02-14T12:11:38.14" personId="{4203BE57-7F72-4DE4-A469-1C38873083D4}" id="{B88B4A5A-566D-4B2B-935D-4799C12CB1B6}">
    <text xml:space="preserve">Average subscribers, 1&amp;1 AG, Annual report 2019
</text>
  </threadedComment>
  <threadedComment ref="V172" dT="2024-02-14T12:25:53.89" personId="{4203BE57-7F72-4DE4-A469-1C38873083D4}" id="{341651F9-CB83-4BC9-A106-721E97FCCAC2}">
    <text>Estimate Subscribers = Revenue/Average ARPU 2019/12*1000</text>
  </threadedComment>
  <threadedComment ref="W172" dT="2024-02-14T12:23:40.00" personId="{4203BE57-7F72-4DE4-A469-1C38873083D4}" id="{5072C307-EB52-49A8-8C74-99F58CDEE315}">
    <text xml:space="preserve">Annual report 2020 = 23,8, Growth rate from 2019 to 2020 = 2,3%
Thus: 23,8/1,023 = 23,26 
Annual report p.10, 2020
</text>
  </threadedComment>
  <threadedComment ref="V173" dT="2024-02-26T10:24:41.38" personId="{4203BE57-7F72-4DE4-A469-1C38873083D4}" id="{A5B6F294-A301-49F8-BCFB-92568FAE9371}">
    <text>VATM 2019, p.13</text>
  </threadedComment>
  <threadedComment ref="V174" dT="2024-02-14T14:05:37.01" personId="{4203BE57-7F72-4DE4-A469-1C38873083D4}" id="{6F293459-271E-4EAF-BDD8-1B00781254F1}">
    <text>Annual report Tele Columbus 2020, p.3 RGUs</text>
  </threadedComment>
  <threadedComment ref="W174" dT="2024-02-14T12:58:00.15" personId="{4203BE57-7F72-4DE4-A469-1C38873083D4}" id="{05BED4E0-C817-4192-8A46-E3F63CC33408}">
    <text>Annual report Tele Columbus 2020, p.3</text>
  </threadedComment>
  <threadedComment ref="V175" dT="2024-02-26T11:06:58.53" personId="{4203BE57-7F72-4DE4-A469-1C38873083D4}" id="{DCF9BB28-7A3E-4F2A-B1D1-86666FE9EC99}">
    <text>VATM 2019, p.13</text>
  </threadedComment>
  <threadedComment ref="V176" dT="2024-11-11T18:12:57.60" personId="{4203BE57-7F72-4DE4-A469-1C38873083D4}" id="{686858E1-D9BA-4135-8C6A-DF71EC02966F}">
    <text>VATM 2019, p.13</text>
  </threadedComment>
  <threadedComment ref="V178" dT="2024-11-11T16:33:27.87" personId="{4203BE57-7F72-4DE4-A469-1C38873083D4}" id="{3FB40FD8-6C3A-43E0-B92A-9144154C0C5C}">
    <text>Average Broadband Access Lines 2020
DT IR BackUp Q4/2020, p.23</text>
  </threadedComment>
  <threadedComment ref="V180" dT="2024-02-14T11:00:04.95" personId="{4203BE57-7F72-4DE4-A469-1C38873083D4}" id="{1E0E6C6C-A38A-4FB5-926A-1E53F8FCC2AE}">
    <text>Average contracts broadband 2020, Annual report 1&amp;1 Drillisch p.16.</text>
  </threadedComment>
  <threadedComment ref="AG180" dT="2023-12-04T17:25:02.27" personId="{4203BE57-7F72-4DE4-A469-1C38873083D4}" id="{DE7AC0F0-D0FF-A74F-B55E-EE2BF3FD9A34}">
    <text>In the report there were no clear page numbers —&gt; approximately page 16.</text>
  </threadedComment>
  <threadedComment ref="W181" dT="2023-11-27T18:10:40.86" personId="{4203BE57-7F72-4DE4-A469-1C38873083D4}" id="{8028F2E1-C200-484B-8E47-FC5897A040CA}">
    <text>Annual report 2020, p.10</text>
  </threadedComment>
  <threadedComment ref="V182" dT="2024-02-26T10:21:10.63" personId="{4203BE57-7F72-4DE4-A469-1C38873083D4}" id="{4CF84445-6786-462F-804A-F46ADE81D1F6}">
    <text>VATM 2020, p.13</text>
  </threadedComment>
  <threadedComment ref="W183" dT="2023-11-27T18:55:54.92" personId="{4203BE57-7F72-4DE4-A469-1C38873083D4}" id="{E0165BCE-7FC8-4C37-ACCB-6B0C35A09D85}">
    <text>Internet and Telephony average, Annual report 2020, p.3</text>
  </threadedComment>
  <threadedComment ref="V184" dT="2024-02-26T11:06:20.77" personId="{4203BE57-7F72-4DE4-A469-1C38873083D4}" id="{A19A30E0-0FA3-4191-970B-7CDDF1E11F13}">
    <text>VATM 2020, p.13</text>
  </threadedComment>
  <threadedComment ref="V185" dT="2024-02-26T12:23:56.57" personId="{4203BE57-7F72-4DE4-A469-1C38873083D4}" id="{100D5560-0C27-48AB-8879-9D8C9BB30331}">
    <text>https://www.koeln.de/aktuelles/jahresbilanz-2022-netcologne-ergebnis-8917/#:~:text=F%C3%BCr%20NetCologne%20verlief%20das%20Jahr,auf%2022%2C9%20Millionen%20Euro.&amp;text=NetCologne%20schlie%C3%9Ft%20das%20Jahr%202022%20mit%20einer%20positiven%20Bilanz%20ab., lastly accessed 5.12.2023</text>
  </threadedComment>
  <threadedComment ref="V187" dT="2024-11-11T16:36:48.34" personId="{4203BE57-7F72-4DE4-A469-1C38873083D4}" id="{13FC095A-8C5F-4FAC-A717-48198ED8C738}">
    <text>Average Broadband Access Lines 2021
DT IR BackUp Q4/2021, p.23</text>
  </threadedComment>
  <threadedComment ref="V188" dT="2024-02-14T10:39:53.88" personId="{4203BE57-7F72-4DE4-A469-1C38873083D4}" id="{B75334D4-238B-4705-9455-7854222AE1D1}">
    <text>Average subscribers,
Vodafone Group Plc - Additional Information, Sheet "08 Fixed Broadband customers", https://investors.vodafone.com/reports-information/results-reports-presentations?tab=fy22, lastly accessed 4.12.23.</text>
  </threadedComment>
  <threadedComment ref="V190" dT="2024-02-14T12:36:39.36" personId="{4203BE57-7F72-4DE4-A469-1C38873083D4}" id="{15AA4EB1-70A7-4DE8-9CB7-FEAE18363372}">
    <text xml:space="preserve">Total Revenue/(24,92*12)
</text>
  </threadedComment>
  <threadedComment ref="W190" dT="2023-11-27T18:11:02.61" personId="{4203BE57-7F72-4DE4-A469-1C38873083D4}" id="{F93572EE-06A3-4A33-A81A-4451781AFD06}">
    <text xml:space="preserve">ARPU for private customers.
</text>
  </threadedComment>
  <threadedComment ref="V191" dT="2024-02-26T10:20:28.25" personId="{4203BE57-7F72-4DE4-A469-1C38873083D4}" id="{6C7C3F83-EC59-46DB-838F-6E06ABF91A9B}">
    <text>VATM 2021, p.12</text>
  </threadedComment>
  <threadedComment ref="W192" dT="2023-11-27T18:27:51.20" personId="{4203BE57-7F72-4DE4-A469-1C38873083D4}" id="{EAE5EE33-2347-4891-BDB8-C3C3C63C74FD}">
    <text xml:space="preserve">„Gesamt Internet und Telefonie ARPU-Durchschnitt (per Internet RGU)“, Zusammengefasster Lagebericht 2021 p.12., </text>
  </threadedComment>
  <threadedComment ref="V193" dT="2024-02-26T11:01:13.34" personId="{4203BE57-7F72-4DE4-A469-1C38873083D4}" id="{AADB2020-878E-42FF-AAFA-CDCA7994D8EC}">
    <text xml:space="preserve">VATM 2021, p.12
</text>
  </threadedComment>
  <threadedComment ref="V194" dT="2024-02-26T11:34:26.73" personId="{4203BE57-7F72-4DE4-A469-1C38873083D4}" id="{2487B510-68BF-4140-B4E5-6C493B76C6DD}">
    <text>Average subscribers, 
VATM 2021, p.12</text>
  </threadedComment>
  <threadedComment ref="V197" dT="2024-03-03T18:42:17.56" personId="{4203BE57-7F72-4DE4-A469-1C38873083D4}" id="{8E6E4341-F7D9-4CCA-B989-E3DE3DA413AA}">
    <text>Average Broadband Access Lines 2022
DT IR BackUp Q4/2022, p.24</text>
  </threadedComment>
  <threadedComment ref="V198" dT="2024-02-14T10:44:51.52" personId="{4203BE57-7F72-4DE4-A469-1C38873083D4}" id="{B2E341BF-2067-407F-8B19-915BD1B703CF}">
    <text>Vodafone Group Plc - Additional Information, Sheet "08 Fixed Broadband customers", https://investors.vodafone.com/reports-information/results-reports-presentations?tab=fy22, lastly accessed 4.12.23.</text>
  </threadedComment>
  <threadedComment ref="V199" dT="2024-03-03T20:30:49.05" personId="{4203BE57-7F72-4DE4-A469-1C38873083D4}" id="{002C452C-34E1-4BEB-8DF1-6D7FDA232E90}">
    <text>Annual report 2022, (End subscribers + Start subscribers)/2</text>
  </threadedComment>
  <threadedComment ref="V200" dT="2024-02-14T12:38:42.80" personId="{4203BE57-7F72-4DE4-A469-1C38873083D4}" id="{FB287AE4-2596-4C2A-9AB1-8FEDAE777F44}">
    <text xml:space="preserve">Total Revenue/(ARPU*12)
</text>
  </threadedComment>
  <threadedComment ref="W200" dT="2023-11-27T18:11:13.68" personId="{4203BE57-7F72-4DE4-A469-1C38873083D4}" id="{331CF7DB-0ED8-4968-B017-027708361287}">
    <text>ARPU for private customers.</text>
  </threadedComment>
  <threadedComment ref="V201" dT="2024-02-26T10:17:54.18" personId="{4203BE57-7F72-4DE4-A469-1C38873083D4}" id="{F8297E21-57CE-467D-AAC6-EF5FF9794040}">
    <text>VATM 2022, p.13</text>
  </threadedComment>
  <threadedComment ref="W202" dT="2023-11-27T18:27:35.19" personId="{4203BE57-7F72-4DE4-A469-1C38873083D4}" id="{468DB762-1C4D-4FD0-984A-5B537428C43C}">
    <text xml:space="preserve">Annual report Tele Columbus 2022, p.12. </text>
  </threadedComment>
  <threadedComment ref="V203" dT="2024-02-26T11:00:57.22" personId="{4203BE57-7F72-4DE4-A469-1C38873083D4}" id="{E9F3CEA6-3962-4B91-99EB-79039605A074}">
    <text>VATM 2022, p.13</text>
  </threadedComment>
  <threadedComment ref="V204" dT="2024-02-26T11:33:40.25" personId="{4203BE57-7F72-4DE4-A469-1C38873083D4}" id="{9E876E44-92AB-4BB5-8910-8FD4EFA20DDE}">
    <text>Average broadband subscribers. VATM 2022, p.13</text>
  </threadedComment>
  <threadedComment ref="V205" dT="2024-02-26T12:24:05.51" personId="{4203BE57-7F72-4DE4-A469-1C38873083D4}" id="{A43D0985-89E1-4172-B517-232D1B322B5B}">
    <text>https://www.koeln.de/aktuelles/jahresbilanz-2022-netcologne-ergebnis-8917/#:~:text=F%C3%BCr%20NetCologne%20verlief%20das%20Jahr,auf%2022%2C9%20Millionen%20Euro.&amp;text=NetCologne%20schlie%C3%9Ft%20das%20Jahr%202022%20mit%20einer%20positiven%20Bilanz%20ab., lastly accessed 5.12.2023</text>
  </threadedComment>
  <threadedComment ref="V207" dT="2025-02-14T15:07:09.51" personId="{BB9F9AD6-0236-B144-883E-494620683AD6}" id="{D6D2B292-0DF5-D24E-BE41-022DE1048E9B}">
    <text>Annual Report 2023, p.70</text>
  </threadedComment>
  <threadedComment ref="V208" dT="2025-02-18T11:49:50.48" personId="{BB9F9AD6-0236-B144-883E-494620683AD6}" id="{03EC8EBA-9969-5E43-9152-65B8D66B7C00}">
    <text xml:space="preserve">
Vodafone Group Plc
Additional Information FY 2024, Average Fixed Broadband Customers
</text>
  </threadedComment>
  <threadedComment ref="V209" dT="2025-02-18T12:08:50.11" personId="{BB9F9AD6-0236-B144-883E-494620683AD6}" id="{1F2EE33C-9E4C-7145-91B3-BB61CD1D44D7}">
    <text>Annual Report 2023, p.3</text>
  </threadedComment>
  <threadedComment ref="W210" dT="2025-02-18T12:23:33.31" personId="{BB9F9AD6-0236-B144-883E-494620683AD6}" id="{BC52A25A-8A37-0047-B607-79F0C8379D0B}">
    <text xml:space="preserve">Annual Report/Zusammengefasster Lagebericht, p.23  </text>
  </threadedComment>
  <threadedComment ref="V211" dT="2025-02-24T14:40:50.95" personId="{BB9F9AD6-0236-B144-883E-494620683AD6}" id="{BC87B34C-DF11-C94F-BA3C-7023E34ED681}">
    <text>https://www.connect.de/vergleich/festnetztest-2023-breitband-anbieter-internet-speed-vergleich-test-regionale-anbieter-m-net-ewe-tel-pyur-tele-columbus-3203907-9727.html; lastly accessed 24.02.25</text>
    <extLst>
      <x:ext xmlns:xltc2="http://schemas.microsoft.com/office/spreadsheetml/2020/threadedcomments2" uri="{F7C98A9C-CBB3-438F-8F68-D28B6AF4A901}">
        <xltc2:checksum>3023435157</xltc2:checksum>
        <xltc2:hyperlink startIndex="0" length="169" url="https://www.connect.de/vergleich/festnetztest-2023-breitband-anbieter-internet-speed-vergleich-test-regionale-anbieter-m-net-ewe-tel-pyur-tele-columbus-3203907-9727.html"/>
      </x:ext>
    </extLst>
  </threadedComment>
  <threadedComment ref="V212" dT="2025-02-18T13:37:18.51" personId="{BB9F9AD6-0236-B144-883E-494620683AD6}" id="{7A8AE0D3-E59A-8145-8899-BD389EE50159}">
    <text>Annual report 2023, p.8</text>
  </threadedComment>
  <threadedComment ref="W212" dT="2025-02-18T13:42:39.31" personId="{BB9F9AD6-0236-B144-883E-494620683AD6}" id="{D888515C-06A8-D34E-B1A8-01C28718F306}">
    <text>Annual report 2023, p.8</text>
  </threadedComment>
  <threadedComment ref="V213" dT="2025-02-24T15:26:33.64" personId="{BB9F9AD6-0236-B144-883E-494620683AD6}" id="{1BAF90AA-96A1-E047-8B9F-F88CC4F1E9BA}">
    <text>VATM 2023, p.10</text>
  </threadedComment>
  <threadedComment ref="V214" dT="2025-02-24T15:26:45.37" personId="{BB9F9AD6-0236-B144-883E-494620683AD6}" id="{A47361B7-5492-7C43-8908-B69FF2B1BF4A}">
    <text xml:space="preserve">VATM 2023, p.12
</text>
  </threadedComment>
  <threadedComment ref="V215" dT="2025-02-24T14:09:16.72" personId="{BB9F9AD6-0236-B144-883E-494620683AD6}" id="{1692D38F-AC17-E948-A052-BCF6ECB82178}">
    <text>Source: https://netcologne-unternehmen.de/jahresbilanz-2023-netcologne-gruppe-steigert-erneut-ergebnis-umsatz-und-kundenzahl/, lastly accessed 24.02.2025</text>
    <extLst>
      <x:ext xmlns:xltc2="http://schemas.microsoft.com/office/spreadsheetml/2020/threadedcomments2" uri="{F7C98A9C-CBB3-438F-8F68-D28B6AF4A901}">
        <xltc2:checksum>1258305820</xltc2:checksum>
        <xltc2:hyperlink startIndex="8" length="117" url="https://netcologne-unternehmen.de/jahresbilanz-2023-netcologne-gruppe-steigert-erneut-ergebnis-umsatz-und-kundenzahl/"/>
      </x:ext>
    </extLst>
  </threadedComment>
  <threadedComment ref="G247" dT="2024-01-23T16:26:58.74" personId="{4203BE57-7F72-4DE4-A469-1C38873083D4}" id="{3D1D4FAF-5641-5C46-942F-2BB2E67C7AC4}">
    <text>RTL Group annual report 2021, p.37 and 39 
Average paying subscribers RTL Group 2021 = 2996,5
Average RTL+ subscribers 2021 = 1999
1999/2996,5 =0,667 
Total Streaming revenue 2021 = 223
Since the prices of Videoland and RTL Now are similar we estimate: 0,667*223 = 148,74</text>
  </threadedComment>
  <threadedComment ref="W250" dT="2025-03-03T14:55:41.58" personId="{4203BE57-7F72-4DE4-A469-1C38873083D4}" id="{CF9196A2-FFA4-594E-A2D6-8BC8C779CE12}">
    <text>ARPU$: 10,99 in Euro: 10,45
based on: https://www.exchange-rates.org/de/wechselkursverlauf/usd-eur-2022</text>
  </threadedComment>
  <threadedComment ref="W260" dT="2025-03-03T14:58:42.26" personId="{4203BE57-7F72-4DE4-A469-1C38873083D4}" id="{829F3990-B5CA-F34B-BA51-9CDFBC21AC4F}">
    <text>ARPU EMEA: 10,87$; in Euro: 10,05
based on:https://www.exchange-rates.org/de/wechselkursverlauf/usd-eur-2023</text>
  </threadedComment>
  <threadedComment ref="X1039" dT="2024-09-27T17:03:48.39" personId="{4203BE57-7F72-4DE4-A469-1C38873083D4}" id="{1B982E5E-78FA-45B0-8E91-8D5A1B836424}">
    <text xml:space="preserve">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
</text>
    <extLst>
      <x:ext xmlns:xltc2="http://schemas.microsoft.com/office/spreadsheetml/2020/threadedcomments2" uri="{F7C98A9C-CBB3-438F-8F68-D28B6AF4A901}">
        <xltc2:checksum>1075522251</xltc2:checksum>
        <xltc2:hyperlink startIndex="259" length="64" url="https://datareportal.com/reports/digital-2023-germany?rq=germany"/>
      </x:ext>
    </extLst>
  </threadedComment>
  <threadedComment ref="X1041" dT="2024-10-02T12:00:28.77" personId="{4203BE57-7F72-4DE4-A469-1C38873083D4}" id="{25BF05C6-3C6E-4462-9C06-D5313FE452A0}">
    <text>LinkedIn’s ad audience figures are based on total registered members rather than monthly active users. Thus it might not accurate to call these 11 millions users monthly active users.</text>
  </threadedComment>
  <threadedComment ref="X1054" dT="2024-09-27T17:02:01.52" personId="{4203BE57-7F72-4DE4-A469-1C38873083D4}" id="{88EE905E-AB84-4ABA-987C-039F2E5B7448}">
    <text xml:space="preserve">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
</text>
    <extLst>
      <x:ext xmlns:xltc2="http://schemas.microsoft.com/office/spreadsheetml/2020/threadedcomments2" uri="{F7C98A9C-CBB3-438F-8F68-D28B6AF4A901}">
        <xltc2:checksum>1075522251</xltc2:checksum>
        <xltc2:hyperlink startIndex="259" length="64" url="https://datareportal.com/reports/digital-2023-germany?rq=germany"/>
      </x:ext>
    </extLst>
  </threadedComment>
  <threadedComment ref="X1056" dT="2024-10-02T11:54:15.33" personId="{4203BE57-7F72-4DE4-A469-1C38873083D4}" id="{2AF9EF0E-B541-4466-855E-038A30292B05}">
    <text>LinkedIn’s ad audience figures are based on total registered members rather than monthly active users. Thus it might not accurate to call these 11 millions users monthly active users.</text>
  </threadedComment>
  <threadedComment ref="X1071" dT="2024-09-27T16:51:56.32" personId="{4203BE57-7F72-4DE4-A469-1C38873083D4}" id="{AD485B47-844E-4A9E-A016-421D0570DFB7}">
    <text xml:space="preserve">„However,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
</text>
    <extLst>
      <x:ext xmlns:xltc2="http://schemas.microsoft.com/office/spreadsheetml/2020/threadedcomments2" uri="{F7C98A9C-CBB3-438F-8F68-D28B6AF4A901}">
        <xltc2:checksum>3002554689</xltc2:checksum>
        <xltc2:hyperlink startIndex="260" length="64" url="https://datareportal.com/reports/digital-2023-germany?rq=germany"/>
      </x:ext>
    </extLst>
  </threadedComment>
  <threadedComment ref="X1073" dT="2024-10-02T11:50:57.60" personId="{4203BE57-7F72-4DE4-A469-1C38873083D4}" id="{F107AD7D-890B-4E5B-8258-66D39E7793CB}">
    <text>LinkedIn’s ad audience figures are based on total registered members rather than monthly active users. Thus it might not accurate to call these 12,5 millions users monthly active users.</text>
  </threadedComment>
  <threadedComment ref="F1087" dT="2024-09-27T16:45:23.79" personId="{4203BE57-7F72-4DE4-A469-1C38873083D4}" id="{DD34C7D7-8A6F-4C54-A6A4-B35D8E3DA75D}">
    <text>„However,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text>
  </threadedComment>
  <threadedComment ref="X1087" dT="2024-09-27T16:44:58.08" personId="{4203BE57-7F72-4DE4-A469-1C38873083D4}" id="{3A6C532C-3BE7-40EF-B13E-D40F6DD03FFC}">
    <text>„However,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text>
  </threadedComment>
  <threadedComment ref="X1089" dT="2024-10-02T11:50:37.35" personId="{4203BE57-7F72-4DE4-A469-1C38873083D4}" id="{8A6FF8D4-2261-4A5F-A2AD-256564F0FDDB}">
    <text>LinkedIn’s ad audience figures are based on total registered members rather than monthly active users. Thus it might not accurate to call these 14 millions users monthly active users.</text>
  </threadedComment>
  <threadedComment ref="F1092" dT="2024-09-27T17:39:55.17" personId="{4203BE57-7F72-4DE4-A469-1C38873083D4}" id="{7445DB34-0FF3-48D2-920E-515273EE8BEF}">
    <text xml:space="preserve">„Data published in ByteDance’s own ad planning tools show that TikTok’s potential ad reach in Germany increased by 3.7 million (+21.5 percent) between the start of 2022 and early 2023.
However, figures indicate that the potential reach of ads on TikTok in Germany actually increased by 5.8 million (+39.0 percent) between October 2022 and January 2023, suggesting that reach may have fallen between January 2022 and October 2022.
Having said that, ad audiences often only account for a subset of a platform’s total users, and given that TikTok’s ad tools only publish data for users aged 18 and above, it’s important to remember that these changes in TikTok ad reach may not necessarily match changes in the platform’s overall user base.“
Source: https://datareportal.com/reports/digital-2023-germany?rq=germany
</text>
  </threadedComment>
  <threadedComment ref="X1104" dT="2024-09-27T16:13:18.97" personId="{4203BE57-7F72-4DE4-A469-1C38873083D4}" id="{0B41613C-3783-4041-8259-C579AE47D84A}">
    <text>„However, please note that the figures published in Twitter’s planning tools appear to be liable to significant fluctuation – even over short periods of time – and these anomalies may impact the reliability and representativeness of this change data.“ Source: https://datareportal.com/reports/digital-2023-germany?rq=germany</text>
  </threadedComment>
  <threadedComment ref="X1106" dT="2024-10-02T11:46:43.76" personId="{4203BE57-7F72-4DE4-A469-1C38873083D4}" id="{BDAB90EA-BC3B-4018-BB7C-369EB65FE754}">
    <text>LinkedIn’s ad audience figures are based on total registered members rather than monthly active users. Thus it might not accurate to call these 16,5 millions users monthly active users.</text>
  </threadedComment>
  <threadedComment ref="F1110" dT="2024-09-27T17:31:09.13" personId="{4203BE57-7F72-4DE4-A469-1C38873083D4}" id="{91168E99-E414-47EF-99F4-1014CB7FAC35}">
    <text xml:space="preserve">„Data published in ByteDance’s own ad planning tools show that TikTok’s potential ad reach in Germany increased by 3.7 million (+21.5 percent) between the start of 2022 and early 2023.
However, figures indicate that the potential reach of ads on TikTok in Germany actually increased by 5.8 million (+39.0 percent) between October 2022 and January 2023, suggesting that reach may have fallen between January 2022 and October 2022.
Having said that, ad audiences often only account for a subset of a platform’s total users, and given that TikTok’s ad tools only publish data for users aged 18 and above, it’s important to remember that these changes in TikTok ad reach may not necessarily match changes in the platform’s overall user base.“
Source: https://datareportal.com/reports/digital-2023-germany?rq=germany
</text>
  </threadedComment>
  <threadedComment ref="V1377" dT="2024-03-18T10:20:45.25" personId="{4203BE57-7F72-4DE4-A469-1C38873083D4}" id="{2347CCAE-CC7C-4B70-9E78-B8F9125EC1FE}">
    <text>Includes only IPTV and Satelites. Since TV is often sold with a broadband access the real TV-customers are higher.
 Average subscribers, Annual report 2020, p.62</text>
  </threadedComment>
  <threadedComment ref="V1378" dT="2024-01-11T13:33:16.52" personId="{4203BE57-7F72-4DE4-A469-1C38873083D4}" id="{337EAB9A-D675-400F-A728-5D16270B9CD4}">
    <text>Average subscribers Germany, Quarterly average, Full year, spreadshet sheet   https://investors.vodafone.com/reports-information/results-reports-presentations?tab=fy21, sheet 10, TV customers",</text>
  </threadedComment>
  <threadedComment ref="V1379" dT="2024-03-13T15:38:00.74" personId="{4203BE57-7F72-4DE4-A469-1C38873083D4}" id="{5EC5C17F-9140-47AE-AA46-4D7C59DAD429}">
    <text>Difference between Subscribers 2019/20 Q2 and Subscribers 2019/20. Q3 The jump in subscribers is explained by the new accounting of Vodafone that now includes Unity Media that was bought up in August 2019. We assume that all the new subscribers were previously subscribers of Unity Media.</text>
  </threadedComment>
  <threadedComment ref="V1381" dT="2024-03-13T15:32:38.97" personId="{4203BE57-7F72-4DE4-A469-1C38873083D4}" id="{DF63960C-48A3-4008-9BDF-F6DF4807C358}">
    <text>RGUs CableTV and Premium TV, Annual report 2020, p.40</text>
  </threadedComment>
  <threadedComment ref="W1381" dT="2023-11-27T18:39:36.29" personId="{4203BE57-7F72-4DE4-A469-1C38873083D4}" id="{FDABF7EA-81B9-4969-93D9-31EAA5A1916B}">
    <text>Annual report Tele-Columbus 2020, p.3</text>
  </threadedComment>
  <threadedComment ref="E1383" dT="2024-04-08T13:01:51.33" personId="{4203BE57-7F72-4DE4-A469-1C38873083D4}" id="{6D5717CB-B40B-454B-81BC-0882721488B5}">
    <text>The FreenetAG has a majority shareholding in the Exairing AG with 71,5%. I do not understand why Exairing still has the AG title. I can neither find stocks from them nor annual reports.</text>
  </threadedComment>
  <threadedComment ref="V1383" dT="2024-03-18T12:05:05.62" personId="{4203BE57-7F72-4DE4-A469-1C38873083D4}" id="{7139E4CB-4EEB-4CF7-A9FF-12A8DF6FD34C}">
    <text>FreenetTV average subscribers = 849,25
WaipuTV average subscribers: = 647,5
Annual report 2021,p.48</text>
  </threadedComment>
  <threadedComment ref="V1384" dT="2024-04-04T12:22:17.97" personId="{4203BE57-7F72-4DE4-A469-1C38873083D4}" id="{34782D12-52B5-45ED-8740-673608E6B165}">
    <text>Average WaipuTV subscribers = 330,05
Average Freenet TV subscribers = 1017,65
Annual report
—&gt;Freenet TV has a large „sleeping“ customer base (no clear source found, but it goes in the millions) that has a terrestrial from Freenet, but is not paying the subscription that enables the private TV channels.
We only reported the paying subscribers.
Annual report 2019, p.52</text>
  </threadedComment>
  <threadedComment ref="V1388" dT="2024-03-18T10:19:01.11" personId="{4203BE57-7F72-4DE4-A469-1C38873083D4}" id="{5880648A-DFB8-4B03-97CF-86CD4FA39D67}">
    <text>Includes only IPTV and Satelites. Since TV is often sold with a broadband access the real TV-customers are higher.
Average subscribers, Annual report 2020, p.62</text>
  </threadedComment>
  <threadedComment ref="V1389" dT="2024-03-13T15:08:40.80" personId="{4203BE57-7F72-4DE4-A469-1C38873083D4}" id="{BEEED30E-E190-463B-80C4-170D843CAA82}">
    <text>Average subscriber Germany, Quarterly average, Full year, spreadshet sheet   https://investors.vodafone.com/reports-information/results-reports-presentations?tab=fy20, sheet 09, TV and fixed line voice„,
We used only the subscribers from Q2, Q3 and Q4 to calculate the average. Vodafone acquired Unity media and its subscribers in August 2019. But the subscribers increased only at Q2 2020 in the accounting of Vodafone. We assume that this is due to a delay of accounting and that the revenues of the former Unity Media customers go for the whole year to Vodafone.
This allows us to not lose any revenues.</text>
    <extLst>
      <x:ext xmlns:xltc2="http://schemas.microsoft.com/office/spreadsheetml/2020/threadedcomments2" uri="{F7C98A9C-CBB3-438F-8F68-D28B6AF4A901}">
        <xltc2:checksum>3980213341</xltc2:checksum>
        <xltc2:hyperlink startIndex="77" length="89" url="https://investors.vodafone.com/reports-information/results-reports-presentations?tab=fy20"/>
      </x:ext>
    </extLst>
  </threadedComment>
  <threadedComment ref="V1391" dT="2024-06-24T13:07:31.62" personId="{4203BE57-7F72-4DE4-A469-1C38873083D4}" id="{A4B38C45-3865-4DE1-A222-CD995F0C9B48}">
    <text>RGUs CableTV and PremiumTV, Annual report 2020, p.40</text>
  </threadedComment>
  <threadedComment ref="W1391" dT="2023-11-27T18:39:36.29" personId="{4203BE57-7F72-4DE4-A469-1C38873083D4}" id="{09E9BEEA-A22C-4696-93E2-9656D22BDAE9}">
    <text>Annual report Tele-Columbus 2020, p.3</text>
  </threadedComment>
  <threadedComment ref="V1393" dT="2024-03-18T12:05:05.62" personId="{4203BE57-7F72-4DE4-A469-1C38873083D4}" id="{3221ED95-8FF2-4A18-B3D4-A82FABB8980E}">
    <text>FreenetTV average subscribers = 849,25
WaipuTV average subscribers: = 647,5
Annual report 2021,p.48</text>
  </threadedComment>
  <threadedComment ref="V1395" dT="2024-04-08T13:23:57.50" personId="{4203BE57-7F72-4DE4-A469-1C38873083D4}" id="{CB835B19-5BD8-4821-A3F9-DE5D4B99DE2B}">
    <text>Avereage subscribers WaipuTV = 490,4
Average subscribers FreenetTV = 961,55
Annual, report Freenet AG 2020, p.56</text>
  </threadedComment>
  <threadedComment ref="V1398" dT="2024-03-18T10:26:52.51" personId="{4203BE57-7F72-4DE4-A469-1C38873083D4}" id="{5FD09A36-A7D7-4A11-9D94-5DFF6B48D16D}">
    <text>Includes only IPTV and Satelites. Since TV is often sold with a broadband access the real TV-customers are higher.
Average subscribers, annual report 2022,p.76</text>
  </threadedComment>
  <threadedComment ref="V1399" dT="2023-12-12T16:39:11.41" personId="{4203BE57-7F72-4DE4-A469-1C38873083D4}" id="{9461A7F1-F27B-4ECF-B2D1-55B9035CEDA4}">
    <text xml:space="preserve">Average customers, Vodafone Group Plc Additional infos —&gt;https://investors.vodafone.com/reports-information/results-reports-presentations?tab=fy21--&gt;Full Year 21 Spreadsheet. Sheet: Fixed TV Customer. </text>
    <extLst>
      <x:ext xmlns:xltc2="http://schemas.microsoft.com/office/spreadsheetml/2020/threadedcomments2" uri="{F7C98A9C-CBB3-438F-8F68-D28B6AF4A901}">
        <xltc2:checksum>3747080104</xltc2:checksum>
        <xltc2:hyperlink startIndex="57" length="91" url="https://investors.vodafone.com/reports-information/results-reports-presentations?tab=fy21--"/>
      </x:ext>
    </extLst>
  </threadedComment>
  <threadedComment ref="W1400" dT="2023-11-27T18:30:27.10" personId="{4203BE57-7F72-4DE4-A469-1C38873083D4}" id="{04344BA5-1BC0-4501-9B8A-52CA642C18A8}">
    <text xml:space="preserve">Annual report Tele-Columbus 2022 p.12. </text>
  </threadedComment>
  <threadedComment ref="V1403" dT="2024-03-18T12:05:05.62" personId="{4203BE57-7F72-4DE4-A469-1C38873083D4}" id="{4DC99B51-2577-40BE-8370-5FE79F64A5C2}">
    <text>FreenetTV average subscribers = 849,25
WaipuTV average subscribers: = 647,5
Annual report 2021,p.48</text>
  </threadedComment>
  <threadedComment ref="V1405" dT="2024-03-18T11:57:35.05" personId="{4203BE57-7F72-4DE4-A469-1C38873083D4}" id="{BB496464-5919-4570-97DB-5ED7B551BE35}">
    <text>FreenetTV average subscribers = 849,25
WaipuTV average subscribers: = 647,5
Annual report 2021,p.48</text>
  </threadedComment>
  <threadedComment ref="V1407" dT="2024-11-25T16:21:55.59" personId="{4203BE57-7F72-4DE4-A469-1C38873083D4}" id="{24A46076-763D-43C8-8701-15356C0541C7}">
    <text>„included approximately 5 million
customer relationships receiving Sky services in Germany“, Annual Report Comcast 2023,p.38</text>
  </threadedComment>
  <threadedComment ref="W1407" dT="2024-11-25T16:20:47.71" personId="{4203BE57-7F72-4DE4-A469-1C38873083D4}" id="{8BF27E02-B73A-4635-AFBD-9D4FD36E78D6}">
    <text>We calculated with an ARPU od 27,5 Euro. This number is an educated guess. Based on the variety of offers 
The prices for different Sky packaging vary between 15 Euro to 80 Euro. Based on the VAUNET report it is evident, that a vast amount of subscribers use at least one package.
However, Sky provides a variety of special offers for new customers or on special dates, which makes to determine the real ARPU impossible. 
Since the minimum price for Sky is 15 Euro a month in Germany it is self-evident that we can not use the annual ARPU of 129,1$ in the annual report.
Yearly ARPU: 129,1 in $,
Average Dollar/Euro exchange rate in 2022 = 0,95
Sources: Customers: Annual report Comcast, 2023, p.38 
Exchange rate:  Deutsche Bundesbank. (2. Januar, 2024). Jährliche Entwicklung des Wechselkurses des Euro gegenüber dem US-Dollar von 1999 bis 2023 (in US-Dollar) [Graph]. In Statista. Zugriff am 25. November 2024, von https://de.statista.com/statistik/daten/studie/200194/umfrage/wechselkurs-des-euro-gegenueber-dem-us-dollar-seit-2001/
Sky Deutschland Prices 2022: https://kostenblick.de/was-kostet-sky/
Sky-packaging numbers: PAY-TV &amp; PAID-VOD IN DEUTSCHLAND 2020/2021, VAUNET, p.16</text>
    <extLst>
      <x:ext xmlns:xltc2="http://schemas.microsoft.com/office/spreadsheetml/2020/threadedcomments2" uri="{F7C98A9C-CBB3-438F-8F68-D28B6AF4A901}">
        <xltc2:checksum>3186191059</xltc2:checksum>
        <xltc2:hyperlink startIndex="921" length="118" url="https://de.statista.com/statistik/daten/studie/200194/umfrage/wechselkurs-des-euro-gegenueber-dem-us-dollar-seit-2001/"/>
        <xltc2:hyperlink startIndex="1070" length="38" url="https://kostenblick.de/was-kostet-sky/"/>
      </x:ext>
    </extLst>
  </threadedComment>
  <threadedComment ref="V1408" dT="2024-03-18T10:26:01.60" personId="{4203BE57-7F72-4DE4-A469-1C38873083D4}" id="{34B6A5D8-4AAD-490B-A4DB-DC1E65BE75B8}">
    <text>Includes only IPTV and Satelites. Since TV is often sold with a broadband access the real TV-customers are higher.
Average subscribers, annual report 2022,p.76</text>
  </threadedComment>
  <threadedComment ref="V1409" dT="2023-12-12T15:42:45.09" personId="{4203BE57-7F72-4DE4-A469-1C38873083D4}" id="{548C63EB-5A1A-40CA-96D9-F8A9CDAC1F8E}">
    <text xml:space="preserve">Average customers, Vodafone Group Plc Additional infos —&gt;https://investors.vodafone.com/reports-information/results-reports-presentations?tab=fy21--&gt;Full Year 22 Spreadsheet. Sheet: Fixed TV Customer
</text>
    <extLst>
      <x:ext xmlns:xltc2="http://schemas.microsoft.com/office/spreadsheetml/2020/threadedcomments2" uri="{F7C98A9C-CBB3-438F-8F68-D28B6AF4A901}">
        <xltc2:checksum>222891522</xltc2:checksum>
        <xltc2:hyperlink startIndex="57" length="91" url="https://investors.vodafone.com/reports-information/results-reports-presentations?tab=fy21--"/>
      </x:ext>
    </extLst>
  </threadedComment>
  <threadedComment ref="W1410" dT="2023-11-27T18:31:27.65" personId="{4203BE57-7F72-4DE4-A469-1C38873083D4}" id="{35095B3F-3D32-44E6-85EB-8904541C63B1}">
    <text>Annual report Tele-Columbus 2022, p.12.</text>
  </threadedComment>
  <threadedComment ref="V1413" dT="2024-03-18T12:05:05.62" personId="{4203BE57-7F72-4DE4-A469-1C38873083D4}" id="{1F05A13A-7FE4-4BC7-9945-39176904513B}">
    <text>Average Waipu subscribers = 846,25
Average FreenetTV subscribers = 741,1 
Annual report 2022, p.30</text>
  </threadedComment>
  <threadedComment ref="V1414" dT="2025-05-15T10:05:32.06" personId="{4203BE57-7F72-4DE4-A469-1C38873083D4}" id="{9A0F2DD3-175B-F34D-AD8A-67545C8F6F8E}">
    <text>Average Waipu subscribers = 846,25
Average FreenetTV subscribers = 741,1 
Annual report 2022, p.30</text>
  </threadedComment>
  <threadedComment ref="V1418" dT="2025-02-18T14:20:43.96" personId="{BB9F9AD6-0236-B144-883E-494620683AD6}" id="{49CD9411-11B2-6C4D-87EF-B40EB9E0578E}">
    <text>DT IR BackUp Q4/2023; p.23</text>
  </threadedComment>
  <threadedComment ref="V1419" dT="2025-02-18T11:57:55.49" personId="{BB9F9AD6-0236-B144-883E-494620683AD6}" id="{46246663-8A24-E744-A798-3A7C6150D1F3}">
    <text xml:space="preserve">Vodafone Group Plc
Additional Information FY 2024, TV Customers Average
</text>
  </threadedComment>
  <threadedComment ref="W1420" dT="2025-02-18T13:48:13.10" personId="{BB9F9AD6-0236-B144-883E-494620683AD6}" id="{EA3E9494-8375-EA4C-B103-87D88F34E8BF}">
    <text>Annual Report 2023, p.8</text>
  </threadedComment>
  <threadedComment ref="V1421" dT="2025-02-18T13:54:33.53" personId="{BB9F9AD6-0236-B144-883E-494620683AD6}" id="{976CE209-3A20-DF4F-9EED-5A1EAA6DFEE6}">
    <text>Annual Report, p.8</text>
  </threadedComment>
  <threadedComment ref="I1428" dT="2024-01-19T19:22:36.12" personId="{87DA2566-F48B-496E-B22B-2EEC8F197370}" id="{1658CCC1-91A2-4C83-95A0-AA40C4B21432}">
    <text xml:space="preserve">Chip.de (3.1%) and Fokus.de (2.1%) Marketshare </text>
  </threadedComment>
  <threadedComment ref="I1442" dT="2024-01-26T20:46:36.17" personId="{87DA2566-F48B-496E-B22B-2EEC8F197370}" id="{EF401178-EE31-45E6-971C-12131D496E5F}">
    <text xml:space="preserve">KEK 2023, based on Nielsen Data (basis Unique audience) </text>
  </threadedComment>
  <threadedComment ref="I1446" dT="2024-01-26T22:48:03.22" personId="{87DA2566-F48B-496E-B22B-2EEC8F197370}" id="{613A29D5-FDE6-46E6-A4ED-B0247B3220EE}">
    <text>1.77% Bild.de, 1.07% Welt.de</text>
  </threadedComment>
</ThreadedComments>
</file>

<file path=xl/threadedComments/threadedComment3.xml><?xml version="1.0" encoding="utf-8"?>
<ThreadedComments xmlns="http://schemas.microsoft.com/office/spreadsheetml/2018/threadedcomments" xmlns:x="http://schemas.openxmlformats.org/spreadsheetml/2006/main">
  <threadedComment ref="E7" dT="2023-07-01T18:58:06.84" personId="{87DA2566-F48B-496E-B22B-2EEC8F197370}" id="{3E741052-9DDC-4022-92EF-CD099DD2FCC0}">
    <text xml:space="preserve">Was the association of municipial shareholders already the main shareholder ?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gs.statcounter.com/browser-market-share/desktop/germany/" TargetMode="External"/><Relationship Id="rId21" Type="http://schemas.openxmlformats.org/officeDocument/2006/relationships/hyperlink" Target="https://gs.statcounter.com/browser-market-share/mobile/germany/" TargetMode="External"/><Relationship Id="rId42" Type="http://schemas.openxmlformats.org/officeDocument/2006/relationships/hyperlink" Target="https://gs.statcounter.com/search-engine-market-share/all/germany/" TargetMode="External"/><Relationship Id="rId47" Type="http://schemas.openxmlformats.org/officeDocument/2006/relationships/hyperlink" Target="https://gs.statcounter.com/search-engine-market-share/all/germany/" TargetMode="External"/><Relationship Id="rId63" Type="http://schemas.openxmlformats.org/officeDocument/2006/relationships/hyperlink" Target="https://gs.statcounter.com/search-engine-market-share/desktop/germany/" TargetMode="External"/><Relationship Id="rId68" Type="http://schemas.openxmlformats.org/officeDocument/2006/relationships/hyperlink" Target="https://gs.statcounter.com/search-engine-market-share/desktop/germany/" TargetMode="External"/><Relationship Id="rId7" Type="http://schemas.openxmlformats.org/officeDocument/2006/relationships/hyperlink" Target="https://gs.statcounter.com/search-engine-market-share/mobile/germany/" TargetMode="External"/><Relationship Id="rId71" Type="http://schemas.microsoft.com/office/2017/10/relationships/threadedComment" Target="../threadedComments/threadedComment2.xml"/><Relationship Id="rId2" Type="http://schemas.openxmlformats.org/officeDocument/2006/relationships/hyperlink" Target="https://www.zdf.de/zdfunternehmen/2022-jahrbuch-finanzen-jahresabschluss-100.html" TargetMode="External"/><Relationship Id="rId16" Type="http://schemas.openxmlformats.org/officeDocument/2006/relationships/hyperlink" Target="https://gs.statcounter.com/search-engine-market-share/all/germany/" TargetMode="External"/><Relationship Id="rId29" Type="http://schemas.openxmlformats.org/officeDocument/2006/relationships/hyperlink" Target="https://gs.statcounter.com/browser-market-share/desktop/germany/" TargetMode="External"/><Relationship Id="rId11" Type="http://schemas.openxmlformats.org/officeDocument/2006/relationships/hyperlink" Target="https://gs.statcounter.com/search-engine-market-share/desktop/germany/" TargetMode="External"/><Relationship Id="rId24" Type="http://schemas.openxmlformats.org/officeDocument/2006/relationships/hyperlink" Target="https://gs.statcounter.com/browser-market-share/mobile/germany/" TargetMode="External"/><Relationship Id="rId32" Type="http://schemas.openxmlformats.org/officeDocument/2006/relationships/hyperlink" Target="https://www.zdf.de/zdfunternehmen/2022-jahrbuch-finanzen-jahresabschluss-100.html" TargetMode="External"/><Relationship Id="rId37" Type="http://schemas.openxmlformats.org/officeDocument/2006/relationships/hyperlink" Target="https://gs.statcounter.com/search-engine-market-share/mobile/germany/" TargetMode="External"/><Relationship Id="rId40" Type="http://schemas.openxmlformats.org/officeDocument/2006/relationships/hyperlink" Target="https://gs.statcounter.com/search-engine-market-share/desktop/germany/" TargetMode="External"/><Relationship Id="rId45" Type="http://schemas.openxmlformats.org/officeDocument/2006/relationships/hyperlink" Target="https://gs.statcounter.com/search-engine-market-share/all/germany/" TargetMode="External"/><Relationship Id="rId53" Type="http://schemas.openxmlformats.org/officeDocument/2006/relationships/hyperlink" Target="https://gs.statcounter.com/browser-market-share/desktop/germany/" TargetMode="External"/><Relationship Id="rId58" Type="http://schemas.openxmlformats.org/officeDocument/2006/relationships/hyperlink" Target="https://gs.statcounter.com/browser-market-share/mobile/germany/" TargetMode="External"/><Relationship Id="rId66" Type="http://schemas.openxmlformats.org/officeDocument/2006/relationships/hyperlink" Target="https://gs.statcounter.com/search-engine-market-share/desktop/germany/" TargetMode="External"/><Relationship Id="rId5" Type="http://schemas.openxmlformats.org/officeDocument/2006/relationships/hyperlink" Target="https://gs.statcounter.com/search-engine-market-share/mobile/germany/" TargetMode="External"/><Relationship Id="rId61" Type="http://schemas.openxmlformats.org/officeDocument/2006/relationships/hyperlink" Target="https://gs.statcounter.com/search-engine-market-share/desktop/germany/" TargetMode="External"/><Relationship Id="rId19" Type="http://schemas.openxmlformats.org/officeDocument/2006/relationships/hyperlink" Target="https://gs.statcounter.com/search-engine-market-share/all/germany/" TargetMode="External"/><Relationship Id="rId14" Type="http://schemas.openxmlformats.org/officeDocument/2006/relationships/hyperlink" Target="https://gs.statcounter.com/search-engine-market-share/all/germany/" TargetMode="External"/><Relationship Id="rId22" Type="http://schemas.openxmlformats.org/officeDocument/2006/relationships/hyperlink" Target="https://gs.statcounter.com/browser-market-share/mobile/germany/" TargetMode="External"/><Relationship Id="rId27" Type="http://schemas.openxmlformats.org/officeDocument/2006/relationships/hyperlink" Target="https://gs.statcounter.com/browser-market-share/desktop/germany/" TargetMode="External"/><Relationship Id="rId30" Type="http://schemas.openxmlformats.org/officeDocument/2006/relationships/hyperlink" Target="https://gs.statcounter.com/browser-market-share/desktop/germany/" TargetMode="External"/><Relationship Id="rId35" Type="http://schemas.openxmlformats.org/officeDocument/2006/relationships/hyperlink" Target="https://gs.statcounter.com/search-engine-market-share/mobile/germany/" TargetMode="External"/><Relationship Id="rId43" Type="http://schemas.openxmlformats.org/officeDocument/2006/relationships/hyperlink" Target="https://gs.statcounter.com/search-engine-market-share/all/germany/" TargetMode="External"/><Relationship Id="rId48" Type="http://schemas.openxmlformats.org/officeDocument/2006/relationships/hyperlink" Target="https://gs.statcounter.com/browser-market-share/mobile/germany/" TargetMode="External"/><Relationship Id="rId56" Type="http://schemas.openxmlformats.org/officeDocument/2006/relationships/hyperlink" Target="https://gs.statcounter.com/browser-market-share/mobile/germany/" TargetMode="External"/><Relationship Id="rId64" Type="http://schemas.openxmlformats.org/officeDocument/2006/relationships/hyperlink" Target="https://gs.statcounter.com/search-engine-market-share/desktop/germany/" TargetMode="External"/><Relationship Id="rId69" Type="http://schemas.openxmlformats.org/officeDocument/2006/relationships/vmlDrawing" Target="../drawings/vmlDrawing2.vml"/><Relationship Id="rId8" Type="http://schemas.openxmlformats.org/officeDocument/2006/relationships/hyperlink" Target="https://gs.statcounter.com/search-engine-market-share/mobile/germany/" TargetMode="External"/><Relationship Id="rId51" Type="http://schemas.openxmlformats.org/officeDocument/2006/relationships/hyperlink" Target="https://gs.statcounter.com/browser-market-share/desktop/germany/" TargetMode="External"/><Relationship Id="rId3" Type="http://schemas.openxmlformats.org/officeDocument/2006/relationships/hyperlink" Target="https://www.zdf.de/zdfunternehmen/2023-jahrbuch-finanzen-jahresabschluss-100.html" TargetMode="External"/><Relationship Id="rId12" Type="http://schemas.openxmlformats.org/officeDocument/2006/relationships/hyperlink" Target="https://gs.statcounter.com/search-engine-market-share/desktop/germany/" TargetMode="External"/><Relationship Id="rId17" Type="http://schemas.openxmlformats.org/officeDocument/2006/relationships/hyperlink" Target="https://gs.statcounter.com/search-engine-market-share/all/germany/" TargetMode="External"/><Relationship Id="rId25" Type="http://schemas.openxmlformats.org/officeDocument/2006/relationships/hyperlink" Target="https://gs.statcounter.com/browser-market-share/mobile/germany/" TargetMode="External"/><Relationship Id="rId33" Type="http://schemas.openxmlformats.org/officeDocument/2006/relationships/hyperlink" Target="https://gs.statcounter.com/search-engine-market-share/mobile/germany/" TargetMode="External"/><Relationship Id="rId38" Type="http://schemas.openxmlformats.org/officeDocument/2006/relationships/hyperlink" Target="https://gs.statcounter.com/search-engine-market-share/mobile/germany/" TargetMode="External"/><Relationship Id="rId46" Type="http://schemas.openxmlformats.org/officeDocument/2006/relationships/hyperlink" Target="https://gs.statcounter.com/search-engine-market-share/all/germany/" TargetMode="External"/><Relationship Id="rId59" Type="http://schemas.openxmlformats.org/officeDocument/2006/relationships/hyperlink" Target="https://gs.statcounter.com/browser-market-share/mobile/germany/" TargetMode="External"/><Relationship Id="rId67" Type="http://schemas.openxmlformats.org/officeDocument/2006/relationships/hyperlink" Target="https://gs.statcounter.com/search-engine-market-share/desktop/germany/" TargetMode="External"/><Relationship Id="rId20" Type="http://schemas.openxmlformats.org/officeDocument/2006/relationships/hyperlink" Target="https://gs.statcounter.com/browser-market-share/mobile/germany/" TargetMode="External"/><Relationship Id="rId41" Type="http://schemas.openxmlformats.org/officeDocument/2006/relationships/hyperlink" Target="https://gs.statcounter.com/search-engine-market-share/desktop/germany/" TargetMode="External"/><Relationship Id="rId54" Type="http://schemas.openxmlformats.org/officeDocument/2006/relationships/hyperlink" Target="https://gs.statcounter.com/browser-market-share/desktop/germany/" TargetMode="External"/><Relationship Id="rId62" Type="http://schemas.openxmlformats.org/officeDocument/2006/relationships/hyperlink" Target="https://gs.statcounter.com/search-engine-market-share/desktop/germany/" TargetMode="External"/><Relationship Id="rId70" Type="http://schemas.openxmlformats.org/officeDocument/2006/relationships/comments" Target="../comments2.xml"/><Relationship Id="rId1" Type="http://schemas.openxmlformats.org/officeDocument/2006/relationships/hyperlink" Target="https://www.zdf.de/zdfunternehmen/2020-jahrbuch-finanzen-jahresabschluss-100.html" TargetMode="External"/><Relationship Id="rId6" Type="http://schemas.openxmlformats.org/officeDocument/2006/relationships/hyperlink" Target="https://gs.statcounter.com/search-engine-market-share/mobile/germany/" TargetMode="External"/><Relationship Id="rId15" Type="http://schemas.openxmlformats.org/officeDocument/2006/relationships/hyperlink" Target="https://gs.statcounter.com/search-engine-market-share/all/germany/" TargetMode="External"/><Relationship Id="rId23" Type="http://schemas.openxmlformats.org/officeDocument/2006/relationships/hyperlink" Target="https://gs.statcounter.com/browser-market-share/mobile/germany/" TargetMode="External"/><Relationship Id="rId28" Type="http://schemas.openxmlformats.org/officeDocument/2006/relationships/hyperlink" Target="https://gs.statcounter.com/browser-market-share/desktop/germany/" TargetMode="External"/><Relationship Id="rId36" Type="http://schemas.openxmlformats.org/officeDocument/2006/relationships/hyperlink" Target="https://gs.statcounter.com/search-engine-market-share/mobile/germany/" TargetMode="External"/><Relationship Id="rId49" Type="http://schemas.openxmlformats.org/officeDocument/2006/relationships/hyperlink" Target="https://gs.statcounter.com/browser-market-share/desktop/germany/" TargetMode="External"/><Relationship Id="rId57" Type="http://schemas.openxmlformats.org/officeDocument/2006/relationships/hyperlink" Target="https://gs.statcounter.com/browser-market-share/mobile/germany/" TargetMode="External"/><Relationship Id="rId10" Type="http://schemas.openxmlformats.org/officeDocument/2006/relationships/hyperlink" Target="https://gs.statcounter.com/search-engine-market-share/desktop/germany/" TargetMode="External"/><Relationship Id="rId31" Type="http://schemas.openxmlformats.org/officeDocument/2006/relationships/hyperlink" Target="https://gs.statcounter.com/browser-market-share/desktop/germany/" TargetMode="External"/><Relationship Id="rId44" Type="http://schemas.openxmlformats.org/officeDocument/2006/relationships/hyperlink" Target="https://gs.statcounter.com/search-engine-market-share/all/germany/" TargetMode="External"/><Relationship Id="rId52" Type="http://schemas.openxmlformats.org/officeDocument/2006/relationships/hyperlink" Target="https://gs.statcounter.com/browser-market-share/desktop/germany/" TargetMode="External"/><Relationship Id="rId60" Type="http://schemas.openxmlformats.org/officeDocument/2006/relationships/hyperlink" Target="https://gs.statcounter.com/search-engine-market-share/desktop/germany/" TargetMode="External"/><Relationship Id="rId65" Type="http://schemas.openxmlformats.org/officeDocument/2006/relationships/hyperlink" Target="https://gs.statcounter.com/search-engine-market-share/desktop/germany/" TargetMode="External"/><Relationship Id="rId4" Type="http://schemas.openxmlformats.org/officeDocument/2006/relationships/hyperlink" Target="https://gs.statcounter.com/search-engine-market-share/mobile/germany/" TargetMode="External"/><Relationship Id="rId9" Type="http://schemas.openxmlformats.org/officeDocument/2006/relationships/hyperlink" Target="https://gs.statcounter.com/search-engine-market-share/mobile/germany/" TargetMode="External"/><Relationship Id="rId13" Type="http://schemas.openxmlformats.org/officeDocument/2006/relationships/hyperlink" Target="https://gs.statcounter.com/search-engine-market-share/desktop/germany/" TargetMode="External"/><Relationship Id="rId18" Type="http://schemas.openxmlformats.org/officeDocument/2006/relationships/hyperlink" Target="https://gs.statcounter.com/search-engine-market-share/all/germany/" TargetMode="External"/><Relationship Id="rId39" Type="http://schemas.openxmlformats.org/officeDocument/2006/relationships/hyperlink" Target="https://gs.statcounter.com/search-engine-market-share/desktop/germany/" TargetMode="External"/><Relationship Id="rId34" Type="http://schemas.openxmlformats.org/officeDocument/2006/relationships/hyperlink" Target="https://gs.statcounter.com/search-engine-market-share/mobile/germany/" TargetMode="External"/><Relationship Id="rId50" Type="http://schemas.openxmlformats.org/officeDocument/2006/relationships/hyperlink" Target="https://gs.statcounter.com/browser-market-share/desktop/germany/" TargetMode="External"/><Relationship Id="rId55" Type="http://schemas.openxmlformats.org/officeDocument/2006/relationships/hyperlink" Target="https://gs.statcounter.com/browser-market-share/mobile/germany/"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1.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5966-7933-4A7B-8EEF-24EFB586069A}">
  <sheetPr filterMode="1"/>
  <dimension ref="A1:W304"/>
  <sheetViews>
    <sheetView tabSelected="1" zoomScale="90" zoomScaleNormal="85" workbookViewId="0">
      <pane xSplit="3" ySplit="1" topLeftCell="D157" activePane="bottomRight" state="frozen"/>
      <selection pane="bottomRight" activeCell="D187" sqref="D187"/>
      <selection pane="bottomLeft" activeCell="A2" sqref="A2"/>
      <selection pane="topRight" activeCell="D1" sqref="D1"/>
    </sheetView>
  </sheetViews>
  <sheetFormatPr defaultColWidth="10.28515625" defaultRowHeight="15.6"/>
  <cols>
    <col min="1" max="1" width="10.42578125" style="9" bestFit="1" customWidth="1"/>
    <col min="2" max="2" width="9.42578125" style="12" bestFit="1" customWidth="1"/>
    <col min="3" max="3" width="46.7109375" style="15" customWidth="1"/>
    <col min="4" max="4" width="33.85546875" style="178" bestFit="1" customWidth="1"/>
    <col min="5" max="5" width="30.28515625" style="178" customWidth="1"/>
    <col min="6" max="6" width="30.42578125" style="9" customWidth="1"/>
    <col min="7" max="7" width="42.28515625" style="9" customWidth="1"/>
    <col min="8" max="8" width="35.140625" style="9" customWidth="1"/>
    <col min="9" max="9" width="25.42578125" style="9" customWidth="1"/>
    <col min="10" max="10" width="27.42578125" style="9" customWidth="1"/>
    <col min="11" max="11" width="21.140625" style="9" customWidth="1"/>
    <col min="12" max="12" width="16.140625" style="9" customWidth="1"/>
    <col min="13" max="13" width="20.28515625" style="9" customWidth="1"/>
    <col min="14" max="14" width="27.140625" style="9" customWidth="1"/>
    <col min="15" max="15" width="36.140625" style="9" customWidth="1"/>
    <col min="16" max="16" width="39" style="9" customWidth="1"/>
    <col min="17" max="17" width="41.7109375" style="9" customWidth="1"/>
    <col min="18" max="18" width="33.28515625" style="9" customWidth="1"/>
    <col min="19" max="19" width="28.7109375" style="9" customWidth="1"/>
    <col min="20" max="21" width="28.42578125" style="9" customWidth="1"/>
    <col min="22" max="22" width="255.85546875" style="14" bestFit="1" customWidth="1"/>
    <col min="23" max="16384" width="10.28515625" style="9"/>
  </cols>
  <sheetData>
    <row r="1" spans="1:22" s="175" customFormat="1" ht="18" customHeight="1">
      <c r="A1" s="1" t="s">
        <v>0</v>
      </c>
      <c r="B1" s="2" t="s">
        <v>1</v>
      </c>
      <c r="C1" s="2" t="s">
        <v>2</v>
      </c>
      <c r="D1" s="173" t="s">
        <v>3</v>
      </c>
      <c r="E1" s="174" t="s">
        <v>4</v>
      </c>
      <c r="F1" s="175" t="s">
        <v>5</v>
      </c>
      <c r="G1" s="175" t="s">
        <v>6</v>
      </c>
      <c r="H1" s="175" t="s">
        <v>7</v>
      </c>
      <c r="I1" s="175" t="s">
        <v>8</v>
      </c>
      <c r="J1" s="175" t="s">
        <v>9</v>
      </c>
      <c r="K1" s="176" t="s">
        <v>10</v>
      </c>
      <c r="L1" s="176" t="s">
        <v>11</v>
      </c>
      <c r="M1" s="176" t="s">
        <v>12</v>
      </c>
      <c r="N1" s="175" t="s">
        <v>13</v>
      </c>
      <c r="O1" s="175" t="s">
        <v>14</v>
      </c>
      <c r="P1" s="175" t="s">
        <v>15</v>
      </c>
      <c r="Q1" s="175" t="s">
        <v>16</v>
      </c>
      <c r="R1" s="175" t="s">
        <v>17</v>
      </c>
      <c r="S1" s="175" t="s">
        <v>18</v>
      </c>
      <c r="T1" s="175" t="s">
        <v>19</v>
      </c>
      <c r="U1" s="2" t="s">
        <v>20</v>
      </c>
      <c r="V1" s="177" t="s">
        <v>21</v>
      </c>
    </row>
    <row r="2" spans="1:22" s="6" customFormat="1" ht="18" hidden="1" customHeight="1">
      <c r="A2" s="15" t="s">
        <v>22</v>
      </c>
      <c r="B2" s="15">
        <v>1988</v>
      </c>
      <c r="C2" s="12" t="s">
        <v>23</v>
      </c>
      <c r="D2" s="178">
        <v>19017</v>
      </c>
      <c r="E2" s="178">
        <v>22210</v>
      </c>
      <c r="F2" s="5"/>
      <c r="V2" s="27"/>
    </row>
    <row r="3" spans="1:22" s="6" customFormat="1" ht="18" hidden="1" customHeight="1">
      <c r="A3" s="15" t="s">
        <v>22</v>
      </c>
      <c r="B3" s="15">
        <v>1992</v>
      </c>
      <c r="C3" s="12" t="s">
        <v>23</v>
      </c>
      <c r="D3" s="178">
        <v>19495</v>
      </c>
      <c r="E3" s="178">
        <f>D3/1.56165</f>
        <v>12483.591073544008</v>
      </c>
      <c r="F3" s="5"/>
      <c r="V3" s="27"/>
    </row>
    <row r="4" spans="1:22" s="6" customFormat="1" ht="18" hidden="1" customHeight="1">
      <c r="A4" s="15" t="s">
        <v>22</v>
      </c>
      <c r="B4" s="15">
        <v>1996</v>
      </c>
      <c r="C4" s="12" t="s">
        <v>23</v>
      </c>
      <c r="D4" s="178">
        <v>22771</v>
      </c>
      <c r="E4" s="178">
        <f>D4/1.50477416666667</f>
        <v>15132.50327153185</v>
      </c>
      <c r="F4" s="5"/>
      <c r="V4" s="27"/>
    </row>
    <row r="5" spans="1:22" s="6" customFormat="1" ht="18" hidden="1" customHeight="1">
      <c r="A5" s="15" t="s">
        <v>22</v>
      </c>
      <c r="B5" s="15">
        <v>2000</v>
      </c>
      <c r="C5" s="12" t="s">
        <v>23</v>
      </c>
      <c r="D5" s="178">
        <v>34000</v>
      </c>
      <c r="E5" s="178">
        <f>D5/1.08270508132602</f>
        <v>31402.826666666442</v>
      </c>
      <c r="F5" s="5"/>
      <c r="V5" s="27"/>
    </row>
    <row r="6" spans="1:22" s="6" customFormat="1" ht="18" hidden="1" customHeight="1">
      <c r="A6" s="15" t="s">
        <v>22</v>
      </c>
      <c r="B6" s="15">
        <v>2004</v>
      </c>
      <c r="C6" s="12" t="s">
        <v>23</v>
      </c>
      <c r="D6" s="178">
        <v>37600</v>
      </c>
      <c r="E6" s="178">
        <f>D6/0.803921647747618</f>
        <v>46770.727104246471</v>
      </c>
      <c r="F6" s="5"/>
      <c r="V6" s="27"/>
    </row>
    <row r="7" spans="1:22" s="6" customFormat="1" ht="18" hidden="1" customHeight="1">
      <c r="A7" s="15" t="s">
        <v>22</v>
      </c>
      <c r="B7" s="15">
        <v>2007</v>
      </c>
      <c r="C7" s="12" t="s">
        <v>23</v>
      </c>
      <c r="D7" s="178">
        <v>37000</v>
      </c>
      <c r="E7" s="178">
        <f>D7/0.729672399984083</f>
        <v>50707.687450980899</v>
      </c>
      <c r="F7" s="5"/>
      <c r="V7" s="27"/>
    </row>
    <row r="8" spans="1:22" s="6" customFormat="1" ht="18" hidden="1" customHeight="1">
      <c r="A8" s="9" t="s">
        <v>24</v>
      </c>
      <c r="B8" s="12">
        <v>2019</v>
      </c>
      <c r="C8" s="15" t="s">
        <v>23</v>
      </c>
      <c r="D8" s="178">
        <v>9386.7099999999991</v>
      </c>
      <c r="E8" s="178">
        <f>D8/0.893276257067409</f>
        <v>10508.182575921363</v>
      </c>
      <c r="F8" s="180"/>
      <c r="V8" s="181" t="s">
        <v>25</v>
      </c>
    </row>
    <row r="9" spans="1:22" s="6" customFormat="1" ht="18" hidden="1" customHeight="1">
      <c r="A9" s="9" t="s">
        <v>26</v>
      </c>
      <c r="B9" s="12">
        <v>2020</v>
      </c>
      <c r="C9" s="15" t="s">
        <v>23</v>
      </c>
      <c r="D9" s="178">
        <v>9623.93</v>
      </c>
      <c r="E9" s="178">
        <f>D9/0.875506396987998</f>
        <v>10992.415398801399</v>
      </c>
      <c r="F9" s="180"/>
      <c r="V9" s="14" t="s">
        <v>27</v>
      </c>
    </row>
    <row r="10" spans="1:22" s="6" customFormat="1" ht="18" hidden="1" customHeight="1">
      <c r="A10" s="9" t="s">
        <v>26</v>
      </c>
      <c r="B10" s="12">
        <v>2021</v>
      </c>
      <c r="C10" s="15" t="s">
        <v>23</v>
      </c>
      <c r="D10" s="178">
        <v>9510.0499999999993</v>
      </c>
      <c r="E10" s="178">
        <f>D10/0.84549413889045</f>
        <v>11247.919485852532</v>
      </c>
      <c r="F10" s="180"/>
      <c r="V10" s="14" t="s">
        <v>28</v>
      </c>
    </row>
    <row r="11" spans="1:22" s="6" customFormat="1" ht="18" hidden="1" customHeight="1">
      <c r="A11" s="9" t="s">
        <v>26</v>
      </c>
      <c r="B11" s="12">
        <v>2022</v>
      </c>
      <c r="C11" s="15" t="s">
        <v>23</v>
      </c>
      <c r="D11" s="178">
        <v>9112.42</v>
      </c>
      <c r="E11" s="178">
        <f>D11/0.949623753156941</f>
        <v>9595.8214710895318</v>
      </c>
      <c r="F11" s="212"/>
      <c r="V11" s="14" t="s">
        <v>29</v>
      </c>
    </row>
    <row r="12" spans="1:22" s="6" customFormat="1" ht="18" hidden="1" customHeight="1">
      <c r="A12" s="9" t="s">
        <v>26</v>
      </c>
      <c r="B12" s="12">
        <v>2023</v>
      </c>
      <c r="C12" s="15" t="s">
        <v>23</v>
      </c>
      <c r="D12" s="178">
        <v>8707.3700000000008</v>
      </c>
      <c r="E12" s="178">
        <f>D12/0.924839558470698</f>
        <v>9415.0060086080102</v>
      </c>
      <c r="F12" s="212"/>
      <c r="V12" s="14" t="s">
        <v>30</v>
      </c>
    </row>
    <row r="13" spans="1:22" s="3" customFormat="1" ht="18" hidden="1" customHeight="1">
      <c r="A13" s="15" t="s">
        <v>22</v>
      </c>
      <c r="B13" s="15">
        <v>1992</v>
      </c>
      <c r="C13" s="12" t="s">
        <v>31</v>
      </c>
      <c r="D13" s="178">
        <v>115</v>
      </c>
      <c r="E13" s="178">
        <f>D13/1.56165</f>
        <v>73.640060192744855</v>
      </c>
      <c r="F13" s="5"/>
      <c r="G13" s="6"/>
      <c r="H13" s="6"/>
      <c r="I13" s="6"/>
      <c r="J13" s="6"/>
      <c r="K13" s="6"/>
      <c r="L13" s="6"/>
      <c r="M13" s="6"/>
      <c r="N13" s="6"/>
      <c r="O13" s="6"/>
      <c r="P13" s="6"/>
      <c r="Q13" s="6"/>
      <c r="R13" s="6"/>
      <c r="S13" s="6"/>
      <c r="T13" s="6"/>
      <c r="U13" s="6"/>
      <c r="V13" s="27"/>
    </row>
    <row r="14" spans="1:22" s="3" customFormat="1" ht="18" hidden="1" customHeight="1">
      <c r="A14" s="15" t="s">
        <v>22</v>
      </c>
      <c r="B14" s="15">
        <v>1996</v>
      </c>
      <c r="C14" s="12" t="s">
        <v>31</v>
      </c>
      <c r="D14" s="178">
        <v>6000</v>
      </c>
      <c r="E14" s="178">
        <f>D14/1.50477416666667</f>
        <v>3987.3092806284794</v>
      </c>
      <c r="F14" s="5"/>
      <c r="G14" s="6"/>
      <c r="H14" s="6"/>
      <c r="I14" s="6"/>
      <c r="J14" s="6"/>
      <c r="K14" s="6"/>
      <c r="L14" s="6"/>
      <c r="M14" s="6"/>
      <c r="N14" s="6"/>
      <c r="O14" s="6"/>
      <c r="P14" s="6"/>
      <c r="Q14" s="6"/>
      <c r="R14" s="6"/>
      <c r="S14" s="6"/>
      <c r="T14" s="6"/>
      <c r="U14" s="6"/>
      <c r="V14" s="27"/>
    </row>
    <row r="15" spans="1:22" s="3" customFormat="1" ht="18" hidden="1" customHeight="1">
      <c r="A15" s="15" t="s">
        <v>22</v>
      </c>
      <c r="B15" s="15">
        <v>2000</v>
      </c>
      <c r="C15" s="12" t="s">
        <v>31</v>
      </c>
      <c r="D15" s="178">
        <v>16200</v>
      </c>
      <c r="E15" s="178">
        <f>D15/1.08270508132602</f>
        <v>14962.523294117542</v>
      </c>
      <c r="F15" s="5"/>
      <c r="G15" s="6"/>
      <c r="H15" s="6"/>
      <c r="I15" s="6"/>
      <c r="J15" s="6"/>
      <c r="K15" s="6"/>
      <c r="L15" s="6"/>
      <c r="M15" s="6"/>
      <c r="N15" s="6"/>
      <c r="O15" s="6"/>
      <c r="P15" s="6"/>
      <c r="Q15" s="6"/>
      <c r="R15" s="6"/>
      <c r="S15" s="6"/>
      <c r="T15" s="6"/>
      <c r="U15" s="6"/>
      <c r="V15" s="27"/>
    </row>
    <row r="16" spans="1:22" s="3" customFormat="1" ht="18" hidden="1" customHeight="1">
      <c r="A16" s="15" t="s">
        <v>22</v>
      </c>
      <c r="B16" s="15">
        <v>2004</v>
      </c>
      <c r="C16" s="12" t="s">
        <v>31</v>
      </c>
      <c r="D16" s="178">
        <v>22108</v>
      </c>
      <c r="E16" s="178">
        <f>D16/0.803921647747618</f>
        <v>27500.192415443642</v>
      </c>
      <c r="F16" s="5"/>
      <c r="G16" s="6"/>
      <c r="H16" s="6"/>
      <c r="I16" s="6"/>
      <c r="J16" s="6"/>
      <c r="K16" s="6"/>
      <c r="L16" s="6"/>
      <c r="M16" s="6"/>
      <c r="N16" s="6"/>
      <c r="O16" s="6"/>
      <c r="P16" s="6"/>
      <c r="Q16" s="6"/>
      <c r="R16" s="6"/>
      <c r="S16" s="6"/>
      <c r="T16" s="6"/>
      <c r="U16" s="6"/>
      <c r="V16" s="27"/>
    </row>
    <row r="17" spans="1:22" s="3" customFormat="1" ht="18" hidden="1" customHeight="1">
      <c r="A17" s="15" t="s">
        <v>22</v>
      </c>
      <c r="B17" s="15">
        <v>2008</v>
      </c>
      <c r="C17" s="12" t="s">
        <v>31</v>
      </c>
      <c r="D17" s="178">
        <v>25600</v>
      </c>
      <c r="E17" s="178">
        <f>D17/0.679922680042729</f>
        <v>37651.339999999989</v>
      </c>
      <c r="F17" s="5"/>
      <c r="G17" s="6"/>
      <c r="H17" s="6"/>
      <c r="I17" s="6"/>
      <c r="J17" s="6"/>
      <c r="K17" s="6"/>
      <c r="L17" s="6"/>
      <c r="M17" s="6"/>
      <c r="N17" s="6"/>
      <c r="O17" s="6"/>
      <c r="P17" s="6"/>
      <c r="Q17" s="6"/>
      <c r="R17" s="6"/>
      <c r="S17" s="6"/>
      <c r="T17" s="6"/>
      <c r="U17" s="6"/>
      <c r="V17" s="27"/>
    </row>
    <row r="18" spans="1:22" s="3" customFormat="1" ht="18" hidden="1" customHeight="1">
      <c r="A18" s="15" t="s">
        <v>22</v>
      </c>
      <c r="B18" s="15">
        <v>2012</v>
      </c>
      <c r="C18" s="12" t="s">
        <v>31</v>
      </c>
      <c r="D18" s="178">
        <v>17088</v>
      </c>
      <c r="E18" s="178">
        <f>D18/0.778338120416812</f>
        <v>21954.468825000004</v>
      </c>
      <c r="V18" s="27"/>
    </row>
    <row r="19" spans="1:22" s="3" customFormat="1" ht="18" hidden="1" customHeight="1">
      <c r="A19" s="9" t="s">
        <v>26</v>
      </c>
      <c r="B19" s="12">
        <v>2019</v>
      </c>
      <c r="C19" s="15" t="s">
        <v>31</v>
      </c>
      <c r="D19" s="179">
        <v>26600</v>
      </c>
      <c r="E19" s="178">
        <f>D19/0.893276257067409</f>
        <v>29778.021960783732</v>
      </c>
      <c r="F19" s="180"/>
      <c r="G19" s="6"/>
      <c r="H19" s="6"/>
      <c r="I19" s="6"/>
      <c r="J19" s="6"/>
      <c r="K19" s="6"/>
      <c r="L19" s="6"/>
      <c r="M19" s="6"/>
      <c r="N19" s="6"/>
      <c r="O19" s="6"/>
      <c r="P19" s="6"/>
      <c r="Q19" s="6"/>
      <c r="R19" s="6"/>
      <c r="S19" s="6"/>
      <c r="T19" s="6"/>
      <c r="U19" s="6"/>
      <c r="V19" s="14" t="s">
        <v>32</v>
      </c>
    </row>
    <row r="20" spans="1:22" s="3" customFormat="1" ht="18" hidden="1" customHeight="1">
      <c r="A20" s="9" t="s">
        <v>26</v>
      </c>
      <c r="B20" s="12">
        <v>2020</v>
      </c>
      <c r="C20" s="15" t="s">
        <v>31</v>
      </c>
      <c r="D20" s="179">
        <v>25650</v>
      </c>
      <c r="E20" s="178">
        <f>D20/0.875506396987998</f>
        <v>29297.330194552109</v>
      </c>
      <c r="F20" s="180"/>
      <c r="G20" s="6"/>
      <c r="H20" s="6"/>
      <c r="I20" s="6"/>
      <c r="J20" s="6"/>
      <c r="K20" s="6"/>
      <c r="L20" s="6"/>
      <c r="M20" s="6"/>
      <c r="N20" s="6"/>
      <c r="O20" s="6"/>
      <c r="P20" s="6"/>
      <c r="Q20" s="6"/>
      <c r="R20" s="6"/>
      <c r="S20" s="6"/>
      <c r="T20" s="6"/>
      <c r="U20" s="6"/>
      <c r="V20" s="14" t="s">
        <v>33</v>
      </c>
    </row>
    <row r="21" spans="1:22" s="3" customFormat="1" ht="18" hidden="1" customHeight="1">
      <c r="A21" s="9" t="s">
        <v>26</v>
      </c>
      <c r="B21" s="12">
        <v>2021</v>
      </c>
      <c r="C21" s="15" t="s">
        <v>31</v>
      </c>
      <c r="D21" s="179">
        <v>26500</v>
      </c>
      <c r="E21" s="178">
        <f>D21/0.84549413889045</f>
        <v>31342.618217053761</v>
      </c>
      <c r="F21" s="180"/>
      <c r="G21" s="6"/>
      <c r="H21" s="6"/>
      <c r="I21" s="6"/>
      <c r="J21" s="6"/>
      <c r="K21" s="6"/>
      <c r="L21" s="6"/>
      <c r="M21" s="6"/>
      <c r="N21" s="6"/>
      <c r="O21" s="6"/>
      <c r="P21" s="6"/>
      <c r="Q21" s="6"/>
      <c r="R21" s="6"/>
      <c r="S21" s="6"/>
      <c r="T21" s="6"/>
      <c r="U21" s="6"/>
      <c r="V21" s="14" t="s">
        <v>33</v>
      </c>
    </row>
    <row r="22" spans="1:22" s="3" customFormat="1" ht="18" hidden="1" customHeight="1">
      <c r="A22" s="9" t="s">
        <v>26</v>
      </c>
      <c r="B22" s="12">
        <v>2022</v>
      </c>
      <c r="C22" s="15" t="s">
        <v>31</v>
      </c>
      <c r="D22" s="179">
        <v>27530</v>
      </c>
      <c r="E22" s="178">
        <f>D22/0.949623753156941</f>
        <v>28990.429007782215</v>
      </c>
      <c r="F22" s="180"/>
      <c r="G22" s="6"/>
      <c r="H22" s="6"/>
      <c r="I22" s="6"/>
      <c r="J22" s="6"/>
      <c r="K22" s="6"/>
      <c r="L22" s="6"/>
      <c r="M22" s="6"/>
      <c r="N22" s="6"/>
      <c r="O22" s="6"/>
      <c r="P22" s="6"/>
      <c r="Q22" s="6"/>
      <c r="R22" s="6"/>
      <c r="S22" s="6"/>
      <c r="T22" s="6"/>
      <c r="U22" s="6"/>
      <c r="V22" s="14" t="s">
        <v>34</v>
      </c>
    </row>
    <row r="23" spans="1:22" s="3" customFormat="1" ht="18" hidden="1" customHeight="1">
      <c r="A23" s="9" t="s">
        <v>26</v>
      </c>
      <c r="B23" s="12">
        <v>2023</v>
      </c>
      <c r="C23" s="15" t="s">
        <v>31</v>
      </c>
      <c r="D23" s="178">
        <v>27640</v>
      </c>
      <c r="E23" s="178">
        <f>D23/0.924839558470698</f>
        <v>29886.264862745626</v>
      </c>
      <c r="F23" s="180"/>
      <c r="G23" s="6"/>
      <c r="H23" s="6"/>
      <c r="I23" s="6"/>
      <c r="J23" s="6"/>
      <c r="K23" s="6"/>
      <c r="L23" s="6"/>
      <c r="M23" s="6"/>
      <c r="N23" s="6"/>
      <c r="O23" s="6"/>
      <c r="P23" s="6"/>
      <c r="Q23" s="6"/>
      <c r="R23" s="6"/>
      <c r="S23" s="6"/>
      <c r="T23" s="6"/>
      <c r="U23" s="6"/>
      <c r="V23" s="14" t="s">
        <v>35</v>
      </c>
    </row>
    <row r="24" spans="1:22" s="3" customFormat="1" ht="18" hidden="1" customHeight="1">
      <c r="A24" s="15" t="s">
        <v>22</v>
      </c>
      <c r="B24" s="15">
        <v>2005</v>
      </c>
      <c r="C24" s="15" t="s">
        <v>36</v>
      </c>
      <c r="D24" s="178">
        <v>3.52</v>
      </c>
      <c r="E24" s="178">
        <f>D24/0.803800192161442</f>
        <v>4.3791977587547199</v>
      </c>
      <c r="V24" s="27"/>
    </row>
    <row r="25" spans="1:22" s="3" customFormat="1" ht="18" hidden="1" customHeight="1">
      <c r="A25" s="15" t="s">
        <v>22</v>
      </c>
      <c r="B25" s="15">
        <v>2006</v>
      </c>
      <c r="C25" s="15" t="s">
        <v>36</v>
      </c>
      <c r="D25" s="178">
        <v>4.55</v>
      </c>
      <c r="E25" s="178">
        <f>D25/0.796432730949102</f>
        <v>5.7129746470587719</v>
      </c>
      <c r="V25" s="27"/>
    </row>
    <row r="26" spans="1:22" s="3" customFormat="1" ht="18" hidden="1" customHeight="1">
      <c r="A26" s="15" t="s">
        <v>22</v>
      </c>
      <c r="B26" s="15">
        <v>2007</v>
      </c>
      <c r="C26" s="15" t="s">
        <v>36</v>
      </c>
      <c r="D26" s="178">
        <v>5.19</v>
      </c>
      <c r="E26" s="178">
        <f>D26/0.729672399984083</f>
        <v>7.1127810235294842</v>
      </c>
      <c r="V26" s="27"/>
    </row>
    <row r="27" spans="1:22" s="3" customFormat="1" ht="18" hidden="1" customHeight="1">
      <c r="A27" s="15" t="s">
        <v>22</v>
      </c>
      <c r="B27" s="15">
        <v>2008</v>
      </c>
      <c r="C27" s="15" t="s">
        <v>36</v>
      </c>
      <c r="D27" s="178">
        <v>5.75</v>
      </c>
      <c r="E27" s="178">
        <f>D27/0.679922680042729</f>
        <v>8.4568439453124977</v>
      </c>
      <c r="V27" s="27"/>
    </row>
    <row r="28" spans="1:22" s="6" customFormat="1" ht="18" hidden="1" customHeight="1">
      <c r="A28" s="9" t="s">
        <v>26</v>
      </c>
      <c r="B28" s="12">
        <v>2019</v>
      </c>
      <c r="C28" s="15" t="s">
        <v>36</v>
      </c>
      <c r="D28" s="178">
        <v>10159.92</v>
      </c>
      <c r="E28" s="178">
        <f>D28/0.893276257067409</f>
        <v>11373.771461646837</v>
      </c>
      <c r="F28" s="180"/>
      <c r="V28" s="181" t="s">
        <v>37</v>
      </c>
    </row>
    <row r="29" spans="1:22" s="6" customFormat="1" ht="18" hidden="1" customHeight="1">
      <c r="A29" s="9" t="s">
        <v>26</v>
      </c>
      <c r="B29" s="12">
        <v>2020</v>
      </c>
      <c r="C29" s="15" t="s">
        <v>36</v>
      </c>
      <c r="D29" s="178">
        <v>10408.219999999999</v>
      </c>
      <c r="E29" s="178">
        <f>D29/0.875506396987998</f>
        <v>11888.228385089322</v>
      </c>
      <c r="F29" s="180"/>
      <c r="V29" s="14" t="s">
        <v>38</v>
      </c>
    </row>
    <row r="30" spans="1:22" s="6" customFormat="1" ht="18" hidden="1" customHeight="1">
      <c r="A30" s="9" t="s">
        <v>26</v>
      </c>
      <c r="B30" s="12">
        <v>2021</v>
      </c>
      <c r="C30" s="15" t="s">
        <v>36</v>
      </c>
      <c r="D30" s="178">
        <v>11033.71</v>
      </c>
      <c r="E30" s="178">
        <f>D30/0.84549413889045</f>
        <v>13050.013586705216</v>
      </c>
      <c r="F30" s="180"/>
      <c r="G30" s="182"/>
      <c r="H30" s="182"/>
      <c r="I30" s="182"/>
      <c r="J30" s="182"/>
      <c r="K30" s="182"/>
      <c r="L30" s="182"/>
      <c r="M30" s="182"/>
      <c r="N30" s="182"/>
      <c r="V30" s="14" t="s">
        <v>39</v>
      </c>
    </row>
    <row r="31" spans="1:22" s="6" customFormat="1" ht="18" hidden="1" customHeight="1">
      <c r="A31" s="9" t="s">
        <v>26</v>
      </c>
      <c r="B31" s="12">
        <v>2022</v>
      </c>
      <c r="C31" s="15" t="s">
        <v>36</v>
      </c>
      <c r="D31" s="178">
        <v>11681.02</v>
      </c>
      <c r="E31" s="178">
        <f>D31/0.949623753156941</f>
        <v>12300.682202996157</v>
      </c>
      <c r="F31" s="180"/>
      <c r="G31" s="182"/>
      <c r="H31" s="182"/>
      <c r="I31" s="182"/>
      <c r="J31" s="182"/>
      <c r="K31" s="182"/>
      <c r="L31" s="182"/>
      <c r="M31" s="182"/>
      <c r="N31" s="182"/>
      <c r="V31" s="14" t="s">
        <v>40</v>
      </c>
    </row>
    <row r="32" spans="1:22" s="6" customFormat="1" ht="18" hidden="1" customHeight="1">
      <c r="A32" s="9" t="s">
        <v>26</v>
      </c>
      <c r="B32" s="12">
        <v>2023</v>
      </c>
      <c r="C32" s="15" t="s">
        <v>36</v>
      </c>
      <c r="D32" s="178">
        <v>11007.6</v>
      </c>
      <c r="E32" s="178">
        <f>D32/0.924839558470698</f>
        <v>11902.172543529623</v>
      </c>
      <c r="F32" s="180"/>
      <c r="G32" s="182"/>
      <c r="H32" s="182"/>
      <c r="I32" s="182"/>
      <c r="J32" s="182"/>
      <c r="K32" s="182"/>
      <c r="L32" s="182"/>
      <c r="M32" s="182"/>
      <c r="N32" s="182"/>
      <c r="V32" s="14" t="s">
        <v>41</v>
      </c>
    </row>
    <row r="33" spans="1:22" s="6" customFormat="1" ht="18" hidden="1" customHeight="1">
      <c r="A33" s="9" t="s">
        <v>26</v>
      </c>
      <c r="B33" s="12">
        <v>2002</v>
      </c>
      <c r="C33" s="15" t="s">
        <v>42</v>
      </c>
      <c r="D33" s="183"/>
      <c r="E33" s="183"/>
      <c r="F33" s="5"/>
      <c r="I33" s="184">
        <v>3956</v>
      </c>
      <c r="V33" s="14" t="s">
        <v>43</v>
      </c>
    </row>
    <row r="34" spans="1:22" s="6" customFormat="1" ht="18" hidden="1" customHeight="1">
      <c r="A34" s="9" t="s">
        <v>26</v>
      </c>
      <c r="B34" s="12">
        <v>2003</v>
      </c>
      <c r="C34" s="15" t="s">
        <v>42</v>
      </c>
      <c r="D34" s="183"/>
      <c r="E34" s="183"/>
      <c r="F34" s="5"/>
      <c r="I34" s="184">
        <v>3811</v>
      </c>
      <c r="V34" s="14" t="s">
        <v>43</v>
      </c>
    </row>
    <row r="35" spans="1:22" s="6" customFormat="1" ht="18" hidden="1" customHeight="1">
      <c r="A35" s="9" t="s">
        <v>26</v>
      </c>
      <c r="B35" s="12">
        <v>2004</v>
      </c>
      <c r="C35" s="15" t="s">
        <v>42</v>
      </c>
      <c r="D35" s="183"/>
      <c r="E35" s="183">
        <f>D35/0.803921647747618</f>
        <v>0</v>
      </c>
      <c r="F35" s="5"/>
      <c r="I35" s="184">
        <v>3860</v>
      </c>
      <c r="V35" s="14" t="s">
        <v>43</v>
      </c>
    </row>
    <row r="36" spans="1:22" s="6" customFormat="1" ht="18" hidden="1" customHeight="1">
      <c r="A36" s="9" t="s">
        <v>26</v>
      </c>
      <c r="B36" s="12">
        <v>2005</v>
      </c>
      <c r="C36" s="15" t="s">
        <v>42</v>
      </c>
      <c r="D36" s="183"/>
      <c r="E36" s="183"/>
      <c r="F36" s="5"/>
      <c r="I36" s="184">
        <v>3930</v>
      </c>
      <c r="V36" s="14" t="s">
        <v>43</v>
      </c>
    </row>
    <row r="37" spans="1:22" s="6" customFormat="1" ht="18" hidden="1" customHeight="1">
      <c r="A37" s="9" t="s">
        <v>26</v>
      </c>
      <c r="B37" s="12">
        <v>2006</v>
      </c>
      <c r="C37" s="15" t="s">
        <v>42</v>
      </c>
      <c r="D37" s="183"/>
      <c r="E37" s="183">
        <f>D37/0.796432730949102</f>
        <v>0</v>
      </c>
      <c r="F37" s="5"/>
      <c r="I37" s="184">
        <v>4114</v>
      </c>
      <c r="V37" s="14" t="s">
        <v>43</v>
      </c>
    </row>
    <row r="38" spans="1:22" s="6" customFormat="1" ht="18" hidden="1" customHeight="1">
      <c r="A38" s="9" t="s">
        <v>26</v>
      </c>
      <c r="B38" s="12">
        <v>2007</v>
      </c>
      <c r="C38" s="15" t="s">
        <v>42</v>
      </c>
      <c r="D38" s="183"/>
      <c r="E38" s="178">
        <f>D38/0.729672399984083</f>
        <v>0</v>
      </c>
      <c r="F38" s="5"/>
      <c r="I38" s="184">
        <v>4156</v>
      </c>
      <c r="V38" s="14" t="s">
        <v>43</v>
      </c>
    </row>
    <row r="39" spans="1:22" s="6" customFormat="1" ht="18" hidden="1" customHeight="1">
      <c r="A39" s="9" t="s">
        <v>26</v>
      </c>
      <c r="B39" s="12">
        <v>2008</v>
      </c>
      <c r="C39" s="15" t="s">
        <v>42</v>
      </c>
      <c r="D39" s="183"/>
      <c r="E39" s="178">
        <f>D39/0.679922680042729</f>
        <v>0</v>
      </c>
      <c r="F39" s="5"/>
      <c r="I39" s="184">
        <v>4036</v>
      </c>
      <c r="V39" s="14" t="s">
        <v>43</v>
      </c>
    </row>
    <row r="40" spans="1:22" s="6" customFormat="1" ht="18" hidden="1" customHeight="1">
      <c r="A40" s="9" t="s">
        <v>26</v>
      </c>
      <c r="B40" s="12">
        <v>2009</v>
      </c>
      <c r="C40" s="15" t="s">
        <v>42</v>
      </c>
      <c r="D40" s="183"/>
      <c r="E40" s="178"/>
      <c r="F40" s="5"/>
      <c r="I40" s="184">
        <v>3640</v>
      </c>
      <c r="V40" s="14" t="s">
        <v>43</v>
      </c>
    </row>
    <row r="41" spans="1:22" s="6" customFormat="1" ht="18" hidden="1" customHeight="1">
      <c r="A41" s="9" t="s">
        <v>26</v>
      </c>
      <c r="B41" s="12">
        <v>2010</v>
      </c>
      <c r="C41" s="15" t="s">
        <v>42</v>
      </c>
      <c r="D41" s="183"/>
      <c r="E41" s="183">
        <f>D41/0.754308990105961</f>
        <v>0</v>
      </c>
      <c r="F41" s="5"/>
      <c r="I41" s="184">
        <v>3954</v>
      </c>
      <c r="V41" s="14" t="s">
        <v>43</v>
      </c>
    </row>
    <row r="42" spans="1:22" s="6" customFormat="1" ht="18" hidden="1" customHeight="1">
      <c r="A42" s="9" t="s">
        <v>26</v>
      </c>
      <c r="B42" s="12">
        <v>2011</v>
      </c>
      <c r="C42" s="15" t="s">
        <v>42</v>
      </c>
      <c r="D42" s="183"/>
      <c r="E42" s="178">
        <f>D42/0.718413898653317</f>
        <v>0</v>
      </c>
      <c r="F42" s="5"/>
      <c r="I42" s="184">
        <v>3981</v>
      </c>
      <c r="V42" s="14" t="s">
        <v>43</v>
      </c>
    </row>
    <row r="43" spans="1:22" s="6" customFormat="1" ht="18" hidden="1" customHeight="1">
      <c r="A43" s="9" t="s">
        <v>26</v>
      </c>
      <c r="B43" s="12">
        <v>2012</v>
      </c>
      <c r="C43" s="15" t="s">
        <v>42</v>
      </c>
      <c r="D43" s="183"/>
      <c r="E43" s="178">
        <f>D43/0.778338120416812</f>
        <v>0</v>
      </c>
      <c r="F43" s="5"/>
      <c r="I43" s="184">
        <v>4038</v>
      </c>
      <c r="V43" s="14" t="s">
        <v>43</v>
      </c>
    </row>
    <row r="44" spans="1:22" s="6" customFormat="1" ht="18" hidden="1" customHeight="1">
      <c r="A44" s="9" t="s">
        <v>26</v>
      </c>
      <c r="B44" s="12">
        <v>2013</v>
      </c>
      <c r="C44" s="15" t="s">
        <v>42</v>
      </c>
      <c r="D44" s="183"/>
      <c r="E44" s="178"/>
      <c r="F44" s="5"/>
      <c r="I44" s="184">
        <v>4125</v>
      </c>
      <c r="V44" s="14" t="s">
        <v>43</v>
      </c>
    </row>
    <row r="45" spans="1:22" s="6" customFormat="1" ht="18" hidden="1" customHeight="1">
      <c r="A45" s="9" t="s">
        <v>26</v>
      </c>
      <c r="B45" s="12">
        <v>2014</v>
      </c>
      <c r="C45" s="15" t="s">
        <v>42</v>
      </c>
      <c r="D45" s="183"/>
      <c r="E45" s="178"/>
      <c r="F45" s="5"/>
      <c r="I45" s="6">
        <v>4292</v>
      </c>
      <c r="V45" s="14" t="s">
        <v>43</v>
      </c>
    </row>
    <row r="46" spans="1:22" s="6" customFormat="1" ht="18" hidden="1" customHeight="1">
      <c r="A46" s="9" t="s">
        <v>26</v>
      </c>
      <c r="B46" s="12">
        <v>2015</v>
      </c>
      <c r="C46" s="15" t="s">
        <v>42</v>
      </c>
      <c r="D46" s="183"/>
      <c r="E46" s="178"/>
      <c r="F46" s="5"/>
      <c r="I46" s="6">
        <v>4422</v>
      </c>
      <c r="V46" s="14" t="s">
        <v>43</v>
      </c>
    </row>
    <row r="47" spans="1:22" s="6" customFormat="1" ht="18" hidden="1" customHeight="1">
      <c r="A47" s="9" t="s">
        <v>26</v>
      </c>
      <c r="B47" s="12">
        <v>2016</v>
      </c>
      <c r="C47" s="15" t="s">
        <v>42</v>
      </c>
      <c r="D47" s="183"/>
      <c r="E47" s="178"/>
      <c r="F47" s="5"/>
      <c r="I47" s="6">
        <v>4560</v>
      </c>
      <c r="V47" s="14" t="s">
        <v>43</v>
      </c>
    </row>
    <row r="48" spans="1:22" s="6" customFormat="1" ht="18" hidden="1" customHeight="1">
      <c r="A48" s="9" t="s">
        <v>26</v>
      </c>
      <c r="B48" s="12">
        <v>2017</v>
      </c>
      <c r="C48" s="15" t="s">
        <v>42</v>
      </c>
      <c r="D48" s="183"/>
      <c r="E48" s="178"/>
      <c r="F48" s="5"/>
      <c r="I48" s="6">
        <v>4591</v>
      </c>
      <c r="V48" s="14" t="s">
        <v>43</v>
      </c>
    </row>
    <row r="49" spans="1:22" s="6" customFormat="1" ht="18" hidden="1" customHeight="1">
      <c r="A49" s="9" t="s">
        <v>26</v>
      </c>
      <c r="B49" s="12">
        <v>2018</v>
      </c>
      <c r="C49" s="15" t="s">
        <v>42</v>
      </c>
      <c r="D49" s="183"/>
      <c r="E49" s="178"/>
      <c r="F49" s="5"/>
      <c r="I49" s="6">
        <v>4537</v>
      </c>
      <c r="V49" s="14" t="s">
        <v>43</v>
      </c>
    </row>
    <row r="50" spans="1:22" s="6" customFormat="1" ht="18" hidden="1" customHeight="1">
      <c r="A50" s="9" t="s">
        <v>26</v>
      </c>
      <c r="B50" s="12">
        <v>2019</v>
      </c>
      <c r="C50" s="15" t="s">
        <v>42</v>
      </c>
      <c r="D50" s="178">
        <v>11264.72</v>
      </c>
      <c r="E50" s="178">
        <f>D50/0.893276257067409</f>
        <v>12610.566900078185</v>
      </c>
      <c r="F50" s="5"/>
      <c r="I50" s="6">
        <v>4400</v>
      </c>
      <c r="V50" s="14" t="s">
        <v>44</v>
      </c>
    </row>
    <row r="51" spans="1:22" s="6" customFormat="1" ht="18" hidden="1" customHeight="1">
      <c r="A51" s="9" t="s">
        <v>26</v>
      </c>
      <c r="B51" s="12">
        <v>2020</v>
      </c>
      <c r="C51" s="15" t="s">
        <v>42</v>
      </c>
      <c r="D51" s="178">
        <v>10877.46</v>
      </c>
      <c r="E51" s="178">
        <f>D51/0.875506396987998</f>
        <v>12424.19248725274</v>
      </c>
      <c r="F51" s="5"/>
      <c r="I51" s="6">
        <v>4012</v>
      </c>
      <c r="V51" s="14" t="s">
        <v>45</v>
      </c>
    </row>
    <row r="52" spans="1:22" s="6" customFormat="1" ht="18" hidden="1" customHeight="1">
      <c r="A52" s="9" t="s">
        <v>26</v>
      </c>
      <c r="B52" s="12">
        <v>2021</v>
      </c>
      <c r="C52" s="15" t="s">
        <v>42</v>
      </c>
      <c r="D52" s="178">
        <v>11554.9</v>
      </c>
      <c r="E52" s="178">
        <f>D52/0.84549413889045</f>
        <v>13666.446008914509</v>
      </c>
      <c r="F52" s="5"/>
      <c r="I52" s="6">
        <v>4341</v>
      </c>
      <c r="V52" s="14" t="s">
        <v>46</v>
      </c>
    </row>
    <row r="53" spans="1:22" s="6" customFormat="1" ht="18" hidden="1" customHeight="1">
      <c r="A53" s="9" t="s">
        <v>26</v>
      </c>
      <c r="B53" s="12">
        <v>2022</v>
      </c>
      <c r="C53" s="15" t="s">
        <v>42</v>
      </c>
      <c r="D53" s="178">
        <v>11363.47</v>
      </c>
      <c r="E53" s="178">
        <f>D53/0.949623753156941</f>
        <v>11966.286607957245</v>
      </c>
      <c r="F53" s="5"/>
      <c r="I53" s="6">
        <v>4018</v>
      </c>
      <c r="V53" s="14" t="s">
        <v>47</v>
      </c>
    </row>
    <row r="54" spans="1:22" s="6" customFormat="1" ht="18" hidden="1" customHeight="1">
      <c r="A54" s="9" t="s">
        <v>26</v>
      </c>
      <c r="B54" s="12">
        <v>2023</v>
      </c>
      <c r="C54" s="15" t="s">
        <v>42</v>
      </c>
      <c r="D54" s="178">
        <v>11503.03</v>
      </c>
      <c r="E54" s="178">
        <f>D54/0.924839558470698</f>
        <v>12437.865459627672</v>
      </c>
      <c r="F54" s="5"/>
      <c r="V54" s="14" t="s">
        <v>48</v>
      </c>
    </row>
    <row r="55" spans="1:22" s="6" customFormat="1" ht="18" hidden="1" customHeight="1">
      <c r="A55" s="15" t="s">
        <v>22</v>
      </c>
      <c r="B55" s="15">
        <v>2000</v>
      </c>
      <c r="C55" s="12" t="s">
        <v>49</v>
      </c>
      <c r="D55" s="178">
        <v>11019</v>
      </c>
      <c r="E55" s="178">
        <f>D55/1.08270508132602</f>
        <v>10177.286677646987</v>
      </c>
      <c r="F55" s="3"/>
      <c r="G55" s="3"/>
      <c r="H55" s="3"/>
      <c r="I55" s="3"/>
      <c r="J55" s="3"/>
      <c r="K55" s="3"/>
      <c r="L55" s="3"/>
      <c r="M55" s="3"/>
      <c r="N55" s="3"/>
      <c r="O55" s="3"/>
      <c r="P55" s="3"/>
      <c r="Q55" s="3"/>
      <c r="R55" s="3"/>
      <c r="S55" s="3"/>
      <c r="T55" s="3"/>
      <c r="U55" s="3"/>
      <c r="V55" s="27"/>
    </row>
    <row r="56" spans="1:22" s="6" customFormat="1" ht="18" hidden="1" customHeight="1">
      <c r="A56" s="15" t="s">
        <v>22</v>
      </c>
      <c r="B56" s="15">
        <v>2004</v>
      </c>
      <c r="C56" s="12" t="s">
        <v>49</v>
      </c>
      <c r="D56" s="178">
        <v>11322</v>
      </c>
      <c r="E56" s="178">
        <f>D56/0.803921647747618</f>
        <v>14083.462028571237</v>
      </c>
      <c r="F56" s="3"/>
      <c r="G56" s="3"/>
      <c r="H56" s="3"/>
      <c r="I56" s="3"/>
      <c r="J56" s="3"/>
      <c r="K56" s="3"/>
      <c r="L56" s="3"/>
      <c r="M56" s="3"/>
      <c r="N56" s="3"/>
      <c r="O56" s="3"/>
      <c r="P56" s="3"/>
      <c r="Q56" s="3"/>
      <c r="R56" s="3"/>
      <c r="S56" s="3"/>
      <c r="T56" s="3"/>
      <c r="U56" s="3"/>
      <c r="V56" s="27"/>
    </row>
    <row r="57" spans="1:22" s="6" customFormat="1" ht="18" hidden="1" customHeight="1">
      <c r="A57" s="15" t="s">
        <v>22</v>
      </c>
      <c r="B57" s="15">
        <v>2007</v>
      </c>
      <c r="C57" s="12" t="s">
        <v>49</v>
      </c>
      <c r="D57" s="178">
        <v>11698</v>
      </c>
      <c r="E57" s="178">
        <f>D57/0.729672399984083</f>
        <v>16031.852102745259</v>
      </c>
      <c r="F57" s="3"/>
      <c r="G57" s="3"/>
      <c r="H57" s="3"/>
      <c r="I57" s="3"/>
      <c r="J57" s="3"/>
      <c r="K57" s="3"/>
      <c r="L57" s="3"/>
      <c r="M57" s="3"/>
      <c r="N57" s="3"/>
      <c r="O57" s="3"/>
      <c r="P57" s="3"/>
      <c r="Q57" s="3"/>
      <c r="R57" s="3"/>
      <c r="S57" s="3"/>
      <c r="T57" s="3"/>
      <c r="U57" s="3"/>
      <c r="V57" s="27"/>
    </row>
    <row r="58" spans="1:22" s="6" customFormat="1" ht="18" hidden="1" customHeight="1">
      <c r="A58" s="15" t="s">
        <v>22</v>
      </c>
      <c r="B58" s="15">
        <v>2012</v>
      </c>
      <c r="C58" s="12" t="s">
        <v>49</v>
      </c>
      <c r="D58" s="183"/>
      <c r="E58" s="178">
        <v>19974</v>
      </c>
      <c r="F58" s="3"/>
      <c r="G58" s="3"/>
      <c r="H58" s="3"/>
      <c r="I58" s="3"/>
      <c r="J58" s="3"/>
      <c r="K58" s="3"/>
      <c r="L58" s="3"/>
      <c r="M58" s="3"/>
      <c r="N58" s="3"/>
      <c r="O58" s="3"/>
      <c r="P58" s="3"/>
      <c r="Q58" s="3"/>
      <c r="R58" s="3"/>
      <c r="S58" s="3"/>
      <c r="T58" s="3"/>
      <c r="U58" s="3"/>
      <c r="V58" s="27"/>
    </row>
    <row r="59" spans="1:22" s="6" customFormat="1" ht="18" hidden="1" customHeight="1">
      <c r="A59" s="9" t="s">
        <v>26</v>
      </c>
      <c r="B59" s="12">
        <v>2019</v>
      </c>
      <c r="C59" s="14" t="s">
        <v>49</v>
      </c>
      <c r="D59" s="178">
        <v>2300</v>
      </c>
      <c r="E59" s="178">
        <f>D59/0.893276257067409</f>
        <v>2574.7913725489693</v>
      </c>
      <c r="F59" s="5"/>
      <c r="V59" s="14" t="s">
        <v>50</v>
      </c>
    </row>
    <row r="60" spans="1:22" s="6" customFormat="1" ht="18" hidden="1" customHeight="1">
      <c r="A60" s="9" t="s">
        <v>26</v>
      </c>
      <c r="B60" s="12">
        <v>2020</v>
      </c>
      <c r="C60" s="14" t="s">
        <v>49</v>
      </c>
      <c r="D60" s="178">
        <v>2100</v>
      </c>
      <c r="E60" s="178">
        <f>D60/0.875506396987998</f>
        <v>2398.6118287937397</v>
      </c>
      <c r="F60" s="5"/>
      <c r="V60" s="14" t="s">
        <v>50</v>
      </c>
    </row>
    <row r="61" spans="1:22" s="6" customFormat="1" ht="18" hidden="1" customHeight="1">
      <c r="A61" s="9" t="s">
        <v>26</v>
      </c>
      <c r="B61" s="12">
        <v>2021</v>
      </c>
      <c r="C61" s="14" t="s">
        <v>49</v>
      </c>
      <c r="D61" s="178">
        <v>2200</v>
      </c>
      <c r="E61" s="178">
        <f>D61/0.84549413889045</f>
        <v>2602.0286821705008</v>
      </c>
      <c r="F61" s="5"/>
      <c r="V61" s="14" t="s">
        <v>51</v>
      </c>
    </row>
    <row r="62" spans="1:22" s="6" customFormat="1" ht="18" hidden="1" customHeight="1">
      <c r="A62" s="9" t="s">
        <v>26</v>
      </c>
      <c r="B62" s="12">
        <v>2022</v>
      </c>
      <c r="C62" s="14" t="s">
        <v>49</v>
      </c>
      <c r="D62" s="178">
        <v>2200</v>
      </c>
      <c r="E62" s="178">
        <f>D62/0.949623753156941</f>
        <v>2316.7070038910597</v>
      </c>
      <c r="F62" s="5"/>
      <c r="V62" s="14" t="s">
        <v>51</v>
      </c>
    </row>
    <row r="63" spans="1:22" s="6" customFormat="1" ht="18" hidden="1" customHeight="1">
      <c r="A63" s="9" t="s">
        <v>26</v>
      </c>
      <c r="B63" s="12">
        <v>2019</v>
      </c>
      <c r="C63" s="15" t="s">
        <v>52</v>
      </c>
      <c r="D63" s="178">
        <v>1611.96</v>
      </c>
      <c r="E63" s="178">
        <f>D63/0.893276257067409</f>
        <v>1804.5481308234941</v>
      </c>
      <c r="F63" s="5"/>
      <c r="V63" s="181" t="s">
        <v>53</v>
      </c>
    </row>
    <row r="64" spans="1:22" s="6" customFormat="1" ht="18" hidden="1" customHeight="1">
      <c r="A64" s="9" t="s">
        <v>26</v>
      </c>
      <c r="B64" s="12">
        <v>2020</v>
      </c>
      <c r="C64" s="15" t="s">
        <v>52</v>
      </c>
      <c r="D64" s="178">
        <v>2279.08</v>
      </c>
      <c r="E64" s="178">
        <f>D64/0.875506396987998</f>
        <v>2603.1563079843982</v>
      </c>
      <c r="F64" s="5"/>
      <c r="V64" s="14" t="s">
        <v>54</v>
      </c>
    </row>
    <row r="65" spans="1:22" s="6" customFormat="1" hidden="1">
      <c r="A65" s="9" t="s">
        <v>26</v>
      </c>
      <c r="B65" s="12">
        <v>2021</v>
      </c>
      <c r="C65" s="15" t="s">
        <v>52</v>
      </c>
      <c r="D65" s="178">
        <v>2979.67</v>
      </c>
      <c r="E65" s="178">
        <f>D65/0.84549413889045</f>
        <v>3524.1758197286258</v>
      </c>
      <c r="F65" s="5"/>
      <c r="V65" s="14" t="s">
        <v>55</v>
      </c>
    </row>
    <row r="66" spans="1:22" s="6" customFormat="1" ht="15" hidden="1" customHeight="1">
      <c r="A66" s="9" t="s">
        <v>26</v>
      </c>
      <c r="B66" s="12">
        <v>2022</v>
      </c>
      <c r="C66" s="15" t="s">
        <v>52</v>
      </c>
      <c r="D66" s="178">
        <v>3433.99</v>
      </c>
      <c r="E66" s="178">
        <f>D66/0.949623753156941</f>
        <v>3616.1584928599359</v>
      </c>
      <c r="F66" s="5"/>
      <c r="V66" s="14" t="s">
        <v>55</v>
      </c>
    </row>
    <row r="67" spans="1:22" s="6" customFormat="1" ht="18" hidden="1" customHeight="1">
      <c r="A67" s="9" t="s">
        <v>26</v>
      </c>
      <c r="B67" s="12">
        <v>2023</v>
      </c>
      <c r="C67" s="15" t="s">
        <v>52</v>
      </c>
      <c r="D67" s="178">
        <v>4103.08</v>
      </c>
      <c r="E67" s="178">
        <f>D67/0.924839558470698</f>
        <v>4436.5316799216471</v>
      </c>
      <c r="F67" s="5"/>
      <c r="V67" s="14" t="s">
        <v>54</v>
      </c>
    </row>
    <row r="68" spans="1:22" s="6" customFormat="1" ht="18" hidden="1" customHeight="1">
      <c r="A68" s="9" t="s">
        <v>26</v>
      </c>
      <c r="B68" s="12">
        <v>2019</v>
      </c>
      <c r="C68" s="15" t="s">
        <v>56</v>
      </c>
      <c r="D68" s="178">
        <v>1024</v>
      </c>
      <c r="E68" s="178">
        <f>D68/0.893276257067409</f>
        <v>1146.3418980391934</v>
      </c>
      <c r="I68" s="8"/>
      <c r="J68" s="185"/>
      <c r="K68" s="186"/>
      <c r="L68" s="185"/>
      <c r="M68" s="185"/>
      <c r="U68" s="187">
        <v>118006</v>
      </c>
      <c r="V68" s="14" t="s">
        <v>57</v>
      </c>
    </row>
    <row r="69" spans="1:22" s="6" customFormat="1" ht="18" hidden="1" customHeight="1">
      <c r="A69" s="6" t="s">
        <v>26</v>
      </c>
      <c r="B69" s="4">
        <v>2020</v>
      </c>
      <c r="C69" s="3" t="s">
        <v>56</v>
      </c>
      <c r="D69" s="188">
        <v>318</v>
      </c>
      <c r="E69" s="178">
        <f>D69/0.875506396987998</f>
        <v>363.21836264590917</v>
      </c>
      <c r="I69" s="8"/>
      <c r="J69" s="189"/>
      <c r="K69" s="186"/>
      <c r="L69" s="189"/>
      <c r="M69" s="189"/>
      <c r="T69" s="189"/>
      <c r="U69" s="189">
        <v>38100</v>
      </c>
      <c r="V69" s="190" t="s">
        <v>58</v>
      </c>
    </row>
    <row r="70" spans="1:22" s="6" customFormat="1" ht="18" hidden="1" customHeight="1">
      <c r="A70" s="6" t="s">
        <v>26</v>
      </c>
      <c r="B70" s="4">
        <v>2021</v>
      </c>
      <c r="C70" s="3" t="s">
        <v>56</v>
      </c>
      <c r="D70" s="188">
        <v>373.2</v>
      </c>
      <c r="E70" s="178">
        <f>D70/0.84549413889045</f>
        <v>441.39868372092315</v>
      </c>
      <c r="G70" s="182"/>
      <c r="H70" s="182"/>
      <c r="I70" s="191"/>
      <c r="J70" s="186"/>
      <c r="K70" s="186"/>
      <c r="L70" s="186"/>
      <c r="M70" s="186"/>
      <c r="N70" s="182"/>
      <c r="T70" s="189"/>
      <c r="U70" s="189">
        <v>42100</v>
      </c>
      <c r="V70" s="190" t="s">
        <v>58</v>
      </c>
    </row>
    <row r="71" spans="1:22" s="6" customFormat="1" ht="18" hidden="1" customHeight="1">
      <c r="A71" s="6" t="s">
        <v>26</v>
      </c>
      <c r="B71" s="4">
        <v>2022</v>
      </c>
      <c r="C71" s="3" t="s">
        <v>56</v>
      </c>
      <c r="D71" s="188">
        <v>722</v>
      </c>
      <c r="E71" s="178">
        <f>D71/0.949623753156941</f>
        <v>760.30111673152044</v>
      </c>
      <c r="I71" s="8"/>
      <c r="J71" s="189"/>
      <c r="K71" s="186"/>
      <c r="L71" s="189"/>
      <c r="M71" s="189"/>
      <c r="T71" s="189"/>
      <c r="U71" s="189">
        <v>78000</v>
      </c>
      <c r="V71" s="190" t="s">
        <v>58</v>
      </c>
    </row>
    <row r="72" spans="1:22" s="6" customFormat="1" ht="18" hidden="1" customHeight="1">
      <c r="A72" s="6" t="s">
        <v>26</v>
      </c>
      <c r="B72" s="4">
        <v>2023</v>
      </c>
      <c r="C72" s="3" t="s">
        <v>56</v>
      </c>
      <c r="D72" s="188">
        <v>929</v>
      </c>
      <c r="E72" s="178">
        <f>D72/0.924839558470698</f>
        <v>1004.4985549019785</v>
      </c>
      <c r="I72" s="8"/>
      <c r="J72" s="189"/>
      <c r="K72" s="186"/>
      <c r="L72" s="189"/>
      <c r="M72" s="189"/>
      <c r="T72" s="189"/>
      <c r="U72" s="189"/>
      <c r="V72" s="9" t="s">
        <v>59</v>
      </c>
    </row>
    <row r="73" spans="1:22" s="6" customFormat="1" ht="18" hidden="1" customHeight="1">
      <c r="A73" s="6" t="s">
        <v>26</v>
      </c>
      <c r="B73" s="4">
        <v>2019</v>
      </c>
      <c r="C73" s="3" t="s">
        <v>60</v>
      </c>
      <c r="D73" s="188">
        <v>5960.03</v>
      </c>
      <c r="E73" s="178">
        <f>D73/0.893276257067409</f>
        <v>6672.101662666536</v>
      </c>
      <c r="I73" s="8"/>
      <c r="J73" s="189"/>
      <c r="K73" s="186"/>
      <c r="L73" s="189"/>
      <c r="M73" s="189"/>
      <c r="T73" s="189"/>
      <c r="U73" s="189"/>
      <c r="V73" s="190" t="s">
        <v>61</v>
      </c>
    </row>
    <row r="74" spans="1:22" s="6" customFormat="1" ht="18" hidden="1" customHeight="1">
      <c r="A74" s="6" t="s">
        <v>26</v>
      </c>
      <c r="B74" s="4">
        <v>2020</v>
      </c>
      <c r="C74" s="3" t="s">
        <v>60</v>
      </c>
      <c r="D74" s="188">
        <v>7261.97</v>
      </c>
      <c r="E74" s="178">
        <f>D74/0.875506396987998</f>
        <v>8294.5938773072739</v>
      </c>
      <c r="G74" s="182"/>
      <c r="H74" s="182"/>
      <c r="I74" s="191"/>
      <c r="J74" s="186"/>
      <c r="K74" s="186"/>
      <c r="L74" s="186"/>
      <c r="M74" s="186"/>
      <c r="N74" s="182"/>
      <c r="T74" s="189"/>
      <c r="U74" s="189"/>
      <c r="V74" s="190" t="s">
        <v>61</v>
      </c>
    </row>
    <row r="75" spans="1:22" s="6" customFormat="1" ht="18" hidden="1" customHeight="1">
      <c r="A75" s="9" t="s">
        <v>26</v>
      </c>
      <c r="B75" s="12">
        <v>2021</v>
      </c>
      <c r="C75" s="15" t="s">
        <v>60</v>
      </c>
      <c r="D75" s="178">
        <v>7500.53</v>
      </c>
      <c r="E75" s="178">
        <f>D75/0.84549413889045</f>
        <v>8871.1791779455943</v>
      </c>
      <c r="I75" s="8"/>
      <c r="J75" s="192"/>
      <c r="K75" s="186"/>
      <c r="L75" s="192"/>
      <c r="M75" s="192"/>
      <c r="T75" s="189"/>
      <c r="U75" s="189"/>
      <c r="V75" s="190" t="s">
        <v>61</v>
      </c>
    </row>
    <row r="76" spans="1:22" s="6" customFormat="1" ht="18" hidden="1" customHeight="1">
      <c r="A76" s="9" t="s">
        <v>26</v>
      </c>
      <c r="B76" s="12">
        <v>2022</v>
      </c>
      <c r="C76" s="15" t="s">
        <v>60</v>
      </c>
      <c r="D76" s="178">
        <v>7536.37</v>
      </c>
      <c r="E76" s="178">
        <f>D76/0.949623753156941</f>
        <v>7936.1641649611202</v>
      </c>
      <c r="I76" s="8"/>
      <c r="J76" s="192"/>
      <c r="K76" s="186"/>
      <c r="L76" s="192"/>
      <c r="M76" s="192"/>
      <c r="T76" s="189"/>
      <c r="U76" s="189"/>
      <c r="V76" s="190" t="s">
        <v>61</v>
      </c>
    </row>
    <row r="77" spans="1:22" s="6" customFormat="1" ht="18" hidden="1" customHeight="1">
      <c r="A77" s="9" t="s">
        <v>26</v>
      </c>
      <c r="B77" s="12">
        <v>2023</v>
      </c>
      <c r="C77" s="15" t="s">
        <v>60</v>
      </c>
      <c r="D77" s="178">
        <v>7748.96</v>
      </c>
      <c r="E77" s="178">
        <f>D77/0.924839558470698</f>
        <v>8378.7073433726964</v>
      </c>
      <c r="I77" s="8"/>
      <c r="J77" s="192"/>
      <c r="K77" s="186"/>
      <c r="L77" s="192"/>
      <c r="M77" s="192"/>
      <c r="T77" s="189"/>
      <c r="U77" s="189"/>
      <c r="V77" s="190" t="s">
        <v>61</v>
      </c>
    </row>
    <row r="78" spans="1:22" s="6" customFormat="1" hidden="1">
      <c r="A78" s="15" t="s">
        <v>22</v>
      </c>
      <c r="B78" s="15">
        <v>1996</v>
      </c>
      <c r="C78" s="12" t="s">
        <v>62</v>
      </c>
      <c r="D78" s="178">
        <v>547</v>
      </c>
      <c r="E78" s="178">
        <f>D78/1.50477416666667</f>
        <v>363.50969608396304</v>
      </c>
      <c r="F78" s="5"/>
      <c r="V78" s="27"/>
    </row>
    <row r="79" spans="1:22" s="6" customFormat="1" ht="17.100000000000001" hidden="1" customHeight="1">
      <c r="A79" s="15" t="s">
        <v>22</v>
      </c>
      <c r="B79" s="15">
        <v>2000</v>
      </c>
      <c r="C79" s="12" t="s">
        <v>62</v>
      </c>
      <c r="D79" s="178">
        <v>742</v>
      </c>
      <c r="E79" s="178">
        <f>D79/1.08270508132602</f>
        <v>685.32051137254416</v>
      </c>
      <c r="F79" s="5"/>
      <c r="V79" s="27"/>
    </row>
    <row r="80" spans="1:22" s="6" customFormat="1" ht="18" hidden="1" customHeight="1">
      <c r="A80" s="15" t="s">
        <v>22</v>
      </c>
      <c r="B80" s="15">
        <v>2003</v>
      </c>
      <c r="C80" s="12" t="s">
        <v>62</v>
      </c>
      <c r="D80" s="178">
        <v>603</v>
      </c>
      <c r="E80" s="178">
        <f>D80/0.88404792718493</f>
        <v>682.08971647061071</v>
      </c>
      <c r="F80" s="5"/>
      <c r="V80" s="27"/>
    </row>
    <row r="81" spans="1:22" s="6" customFormat="1" ht="18" hidden="1" customHeight="1">
      <c r="A81" s="15" t="s">
        <v>22</v>
      </c>
      <c r="B81" s="15">
        <v>2007</v>
      </c>
      <c r="C81" s="12" t="s">
        <v>62</v>
      </c>
      <c r="D81" s="178">
        <v>678</v>
      </c>
      <c r="E81" s="178">
        <f>D81/0.729672399984083</f>
        <v>929.18411058824461</v>
      </c>
      <c r="F81" s="5"/>
      <c r="V81" s="27"/>
    </row>
    <row r="82" spans="1:22" s="6" customFormat="1" ht="18" hidden="1" customHeight="1">
      <c r="A82" s="15" t="s">
        <v>22</v>
      </c>
      <c r="B82" s="15">
        <v>2009</v>
      </c>
      <c r="C82" s="12" t="s">
        <v>62</v>
      </c>
      <c r="D82" s="178">
        <v>680</v>
      </c>
      <c r="E82" s="178">
        <f>D82/0.716957702016136</f>
        <v>948.45204687499938</v>
      </c>
      <c r="F82" s="5"/>
      <c r="V82" s="27"/>
    </row>
    <row r="83" spans="1:22" s="6" customFormat="1" ht="18" hidden="1" customHeight="1">
      <c r="A83" s="9" t="s">
        <v>26</v>
      </c>
      <c r="B83" s="12">
        <v>2019</v>
      </c>
      <c r="C83" s="15" t="s">
        <v>62</v>
      </c>
      <c r="D83" s="178">
        <v>2282.89</v>
      </c>
      <c r="E83" s="178">
        <f>D83/0.893276257067409</f>
        <v>2555.6371636862245</v>
      </c>
      <c r="I83" s="8"/>
      <c r="J83" s="192"/>
      <c r="K83" s="186"/>
      <c r="L83" s="192"/>
      <c r="M83" s="192"/>
      <c r="T83" s="189"/>
      <c r="U83" s="189">
        <v>54250</v>
      </c>
      <c r="V83" s="14" t="s">
        <v>63</v>
      </c>
    </row>
    <row r="84" spans="1:22" s="6" customFormat="1" ht="18" hidden="1" customHeight="1">
      <c r="A84" s="9" t="s">
        <v>26</v>
      </c>
      <c r="B84" s="12">
        <v>2020</v>
      </c>
      <c r="C84" s="15" t="s">
        <v>62</v>
      </c>
      <c r="D84" s="178">
        <v>2219.85</v>
      </c>
      <c r="E84" s="178">
        <f>D84/0.875506396987998</f>
        <v>2535.5040324513252</v>
      </c>
      <c r="I84" s="8"/>
      <c r="J84" s="9"/>
      <c r="K84" s="186"/>
      <c r="L84" s="9"/>
      <c r="M84" s="9"/>
      <c r="T84" s="189"/>
      <c r="U84" s="189">
        <v>53261</v>
      </c>
      <c r="V84" s="14" t="s">
        <v>64</v>
      </c>
    </row>
    <row r="85" spans="1:22" s="6" customFormat="1" ht="18" hidden="1" customHeight="1">
      <c r="A85" s="9" t="s">
        <v>26</v>
      </c>
      <c r="B85" s="12">
        <v>2021</v>
      </c>
      <c r="C85" s="15" t="s">
        <v>62</v>
      </c>
      <c r="D85" s="178">
        <v>2301.09</v>
      </c>
      <c r="E85" s="178">
        <f>D85/0.84549413889045</f>
        <v>2721.5919001162356</v>
      </c>
      <c r="I85" s="8"/>
      <c r="J85" s="192"/>
      <c r="K85" s="186"/>
      <c r="L85" s="192"/>
      <c r="M85" s="192"/>
      <c r="T85" s="189"/>
      <c r="U85" s="7">
        <v>52667</v>
      </c>
      <c r="V85" s="14" t="s">
        <v>65</v>
      </c>
    </row>
    <row r="86" spans="1:22" s="6" customFormat="1" ht="18.95" hidden="1" customHeight="1">
      <c r="A86" s="9" t="s">
        <v>26</v>
      </c>
      <c r="B86" s="12">
        <v>2022</v>
      </c>
      <c r="C86" s="15" t="s">
        <v>62</v>
      </c>
      <c r="D86" s="178">
        <v>2301.09</v>
      </c>
      <c r="E86" s="178">
        <f>D86/0.949623753156941</f>
        <v>2423.1596907198541</v>
      </c>
      <c r="I86" s="185"/>
      <c r="J86" s="185"/>
      <c r="K86" s="186"/>
      <c r="L86" s="185"/>
      <c r="M86" s="185"/>
      <c r="N86" s="189"/>
      <c r="O86" s="189"/>
      <c r="P86" s="189"/>
      <c r="Q86" s="189"/>
      <c r="R86" s="189"/>
      <c r="S86" s="189"/>
      <c r="T86" s="193"/>
      <c r="U86" s="7">
        <v>66416</v>
      </c>
      <c r="V86" s="14" t="s">
        <v>66</v>
      </c>
    </row>
    <row r="87" spans="1:22" s="6" customFormat="1" ht="18" hidden="1" customHeight="1">
      <c r="A87" s="9" t="s">
        <v>26</v>
      </c>
      <c r="B87" s="12">
        <v>2023</v>
      </c>
      <c r="C87" s="15" t="s">
        <v>62</v>
      </c>
      <c r="D87" s="178">
        <v>2370.52</v>
      </c>
      <c r="E87" s="178">
        <f>D87/0.924839558470698</f>
        <v>2563.1689067451434</v>
      </c>
      <c r="I87" s="185"/>
      <c r="J87" s="9"/>
      <c r="K87" s="186"/>
      <c r="L87" s="9"/>
      <c r="M87" s="9"/>
      <c r="N87" s="189"/>
      <c r="O87" s="189"/>
      <c r="P87" s="189"/>
      <c r="Q87" s="189"/>
      <c r="R87" s="189"/>
      <c r="S87" s="189"/>
      <c r="T87" s="193"/>
      <c r="U87" s="193"/>
      <c r="V87" s="14" t="s">
        <v>67</v>
      </c>
    </row>
    <row r="88" spans="1:22" s="6" customFormat="1" ht="18" hidden="1" customHeight="1">
      <c r="A88" s="9" t="s">
        <v>26</v>
      </c>
      <c r="B88" s="12">
        <v>2019</v>
      </c>
      <c r="C88" s="15" t="s">
        <v>68</v>
      </c>
      <c r="D88" s="178">
        <v>3811.9</v>
      </c>
      <c r="E88" s="178">
        <f>D88/0.893276257067409</f>
        <v>4267.3248839214857</v>
      </c>
      <c r="I88" s="185"/>
      <c r="J88" s="9"/>
      <c r="K88" s="186"/>
      <c r="L88" s="9"/>
      <c r="M88" s="9"/>
      <c r="N88" s="189">
        <v>577</v>
      </c>
      <c r="O88" s="189">
        <v>977.11</v>
      </c>
      <c r="P88" s="189">
        <v>8</v>
      </c>
      <c r="Q88" s="189">
        <v>2014.79</v>
      </c>
      <c r="R88" s="189">
        <v>215</v>
      </c>
      <c r="S88" s="189"/>
      <c r="T88" s="193"/>
      <c r="U88" s="193"/>
      <c r="V88" s="14" t="s">
        <v>69</v>
      </c>
    </row>
    <row r="89" spans="1:22" s="6" customFormat="1" ht="18" hidden="1" customHeight="1">
      <c r="A89" s="9" t="s">
        <v>26</v>
      </c>
      <c r="B89" s="12">
        <v>2020</v>
      </c>
      <c r="C89" s="15" t="s">
        <v>68</v>
      </c>
      <c r="D89" s="178">
        <v>2421.19</v>
      </c>
      <c r="E89" s="178">
        <f>D89/0.875506396987998</f>
        <v>2765.4737970271976</v>
      </c>
      <c r="I89" s="185"/>
      <c r="J89" s="9"/>
      <c r="K89" s="186"/>
      <c r="L89" s="9"/>
      <c r="M89" s="9"/>
      <c r="N89" s="189">
        <v>509.5</v>
      </c>
      <c r="O89" s="189">
        <v>1202.82</v>
      </c>
      <c r="P89" s="189">
        <v>7.42</v>
      </c>
      <c r="Q89" s="189">
        <v>485.11</v>
      </c>
      <c r="R89" s="189">
        <v>216.34</v>
      </c>
      <c r="S89" s="189"/>
      <c r="T89" s="193"/>
      <c r="U89" s="193"/>
      <c r="V89" s="14" t="s">
        <v>69</v>
      </c>
    </row>
    <row r="90" spans="1:22" s="6" customFormat="1" ht="18" hidden="1" customHeight="1">
      <c r="A90" s="9" t="s">
        <v>26</v>
      </c>
      <c r="B90" s="12">
        <v>2021</v>
      </c>
      <c r="C90" s="15" t="s">
        <v>68</v>
      </c>
      <c r="D90" s="178">
        <v>3035.57</v>
      </c>
      <c r="E90" s="178">
        <f>D90/0.84549413889045</f>
        <v>3590.2910030619582</v>
      </c>
      <c r="I90" s="185"/>
      <c r="J90" s="185"/>
      <c r="K90" s="186"/>
      <c r="L90" s="185"/>
      <c r="M90" s="185"/>
      <c r="N90" s="189">
        <v>463</v>
      </c>
      <c r="O90" s="189">
        <v>1491.93</v>
      </c>
      <c r="P90" s="189">
        <v>9.0299999999999994</v>
      </c>
      <c r="Q90" s="189">
        <v>834.93</v>
      </c>
      <c r="R90" s="189">
        <v>236.67</v>
      </c>
      <c r="S90" s="189"/>
      <c r="T90" s="193"/>
      <c r="U90" s="193"/>
      <c r="V90" s="14" t="s">
        <v>69</v>
      </c>
    </row>
    <row r="91" spans="1:22" s="6" customFormat="1" ht="18" hidden="1" customHeight="1">
      <c r="A91" s="9" t="s">
        <v>26</v>
      </c>
      <c r="B91" s="12">
        <v>2022</v>
      </c>
      <c r="C91" s="15" t="s">
        <v>68</v>
      </c>
      <c r="D91" s="178">
        <v>4233.13</v>
      </c>
      <c r="E91" s="178">
        <f>D91/0.949623753156941</f>
        <v>4457.6917815369825</v>
      </c>
      <c r="I91" s="185"/>
      <c r="J91" s="9"/>
      <c r="K91" s="186"/>
      <c r="L91" s="9"/>
      <c r="M91" s="9"/>
      <c r="N91" s="185">
        <v>407.94</v>
      </c>
      <c r="O91" s="189">
        <v>3</v>
      </c>
      <c r="P91" s="189">
        <v>10.039999999999999</v>
      </c>
      <c r="Q91" s="189">
        <v>1918.15</v>
      </c>
      <c r="R91" s="189">
        <v>220.51</v>
      </c>
      <c r="S91" s="189"/>
      <c r="T91" s="193"/>
      <c r="U91" s="193"/>
      <c r="V91" s="14" t="s">
        <v>69</v>
      </c>
    </row>
    <row r="92" spans="1:22" s="6" customFormat="1" ht="18" hidden="1" customHeight="1">
      <c r="A92" s="9" t="s">
        <v>26</v>
      </c>
      <c r="B92" s="12">
        <v>2023</v>
      </c>
      <c r="C92" s="15" t="s">
        <v>68</v>
      </c>
      <c r="D92" s="178">
        <v>4955.22</v>
      </c>
      <c r="E92" s="178">
        <f>D92/0.924839558470698</f>
        <v>5357.9239281177415</v>
      </c>
      <c r="I92" s="185"/>
      <c r="J92" s="9"/>
      <c r="K92" s="186"/>
      <c r="L92" s="9"/>
      <c r="M92" s="9"/>
      <c r="N92" s="185">
        <v>408.94</v>
      </c>
      <c r="O92" s="189">
        <v>1814.05</v>
      </c>
      <c r="P92" s="189">
        <v>10.64</v>
      </c>
      <c r="Q92" s="189">
        <v>2484.8000000000002</v>
      </c>
      <c r="R92" s="189">
        <v>236.79</v>
      </c>
      <c r="S92" s="189"/>
      <c r="T92" s="193"/>
      <c r="U92" s="193"/>
      <c r="V92" s="14" t="s">
        <v>69</v>
      </c>
    </row>
    <row r="93" spans="1:22" s="6" customFormat="1" ht="18" hidden="1" customHeight="1">
      <c r="A93" s="15" t="s">
        <v>22</v>
      </c>
      <c r="B93" s="15">
        <v>2004</v>
      </c>
      <c r="C93" s="12" t="s">
        <v>70</v>
      </c>
      <c r="D93" s="183"/>
      <c r="E93" s="183">
        <f>D93/0.803921647747618</f>
        <v>0</v>
      </c>
      <c r="F93" s="5"/>
      <c r="V93" s="27"/>
    </row>
    <row r="94" spans="1:22" s="6" customFormat="1" ht="18" hidden="1" customHeight="1">
      <c r="A94" s="15" t="s">
        <v>22</v>
      </c>
      <c r="B94" s="15">
        <v>2008</v>
      </c>
      <c r="C94" s="12" t="s">
        <v>70</v>
      </c>
      <c r="D94" s="183"/>
      <c r="E94" s="178">
        <f>D94/0.679922680042729</f>
        <v>0</v>
      </c>
      <c r="F94" s="5"/>
      <c r="V94" s="27"/>
    </row>
    <row r="95" spans="1:22" s="6" customFormat="1" ht="18" hidden="1" customHeight="1">
      <c r="A95" s="15" t="s">
        <v>22</v>
      </c>
      <c r="B95" s="15">
        <v>2004</v>
      </c>
      <c r="C95" s="12" t="s">
        <v>71</v>
      </c>
      <c r="D95" s="178">
        <v>60</v>
      </c>
      <c r="E95" s="178">
        <f>D95/0.803921647747618</f>
        <v>74.634138996137992</v>
      </c>
      <c r="F95" s="5"/>
      <c r="V95" s="27"/>
    </row>
    <row r="96" spans="1:22" s="6" customFormat="1" ht="18" hidden="1" customHeight="1">
      <c r="A96" s="15" t="s">
        <v>22</v>
      </c>
      <c r="B96" s="15">
        <v>2008</v>
      </c>
      <c r="C96" s="12" t="s">
        <v>71</v>
      </c>
      <c r="D96" s="178">
        <v>268</v>
      </c>
      <c r="E96" s="178">
        <f>D96/0.679922680042729</f>
        <v>394.16246562499992</v>
      </c>
      <c r="F96" s="5"/>
      <c r="V96" s="27"/>
    </row>
    <row r="97" spans="1:22" s="6" customFormat="1" ht="18" hidden="1" customHeight="1">
      <c r="A97" s="15" t="s">
        <v>22</v>
      </c>
      <c r="B97" s="15">
        <v>2010</v>
      </c>
      <c r="C97" s="12" t="s">
        <v>71</v>
      </c>
      <c r="D97" s="178">
        <v>275</v>
      </c>
      <c r="E97" s="178">
        <f>D97/0.754308990105961</f>
        <v>364.57208333334273</v>
      </c>
      <c r="F97" s="5"/>
      <c r="V97" s="27"/>
    </row>
    <row r="98" spans="1:22" s="6" customFormat="1" ht="18" hidden="1" customHeight="1">
      <c r="A98" s="15" t="s">
        <v>22</v>
      </c>
      <c r="B98" s="15">
        <v>2004</v>
      </c>
      <c r="C98" s="12" t="s">
        <v>72</v>
      </c>
      <c r="D98" s="183"/>
      <c r="E98" s="183">
        <f>D98/0.803921647747618</f>
        <v>0</v>
      </c>
      <c r="F98" s="5"/>
      <c r="V98" s="27"/>
    </row>
    <row r="99" spans="1:22" s="6" customFormat="1" ht="18" hidden="1" customHeight="1">
      <c r="A99" s="15" t="s">
        <v>22</v>
      </c>
      <c r="B99" s="15">
        <v>2006</v>
      </c>
      <c r="C99" s="12" t="s">
        <v>72</v>
      </c>
      <c r="D99" s="183"/>
      <c r="E99" s="183">
        <f>D99/0.796432730949102</f>
        <v>0</v>
      </c>
      <c r="F99" s="194"/>
      <c r="V99" s="27"/>
    </row>
    <row r="100" spans="1:22" s="6" customFormat="1" ht="18" hidden="1" customHeight="1">
      <c r="A100" s="9" t="s">
        <v>26</v>
      </c>
      <c r="B100" s="15">
        <v>1993</v>
      </c>
      <c r="C100" s="15" t="s">
        <v>73</v>
      </c>
      <c r="D100" s="178">
        <v>7891</v>
      </c>
      <c r="E100" s="178">
        <f>D100/1.65332083333333</f>
        <v>4772.818342880626</v>
      </c>
      <c r="G100" s="182"/>
      <c r="H100" s="182"/>
      <c r="I100" s="182"/>
      <c r="J100" s="182"/>
      <c r="K100" s="182"/>
      <c r="L100" s="182"/>
      <c r="M100" s="182"/>
      <c r="N100" s="182"/>
      <c r="V100" s="14" t="s">
        <v>74</v>
      </c>
    </row>
    <row r="101" spans="1:22" s="6" customFormat="1" ht="18" hidden="1" customHeight="1">
      <c r="A101" s="9" t="s">
        <v>26</v>
      </c>
      <c r="B101" s="15">
        <v>1994</v>
      </c>
      <c r="C101" s="15" t="s">
        <v>73</v>
      </c>
      <c r="D101" s="178">
        <v>8168</v>
      </c>
      <c r="E101" s="178">
        <f>D101/1.62279416666667</f>
        <v>5033.2939123004298</v>
      </c>
      <c r="G101" s="182"/>
      <c r="H101" s="182"/>
      <c r="I101" s="182"/>
      <c r="J101" s="182"/>
      <c r="K101" s="182"/>
      <c r="L101" s="182"/>
      <c r="M101" s="182"/>
      <c r="N101" s="182"/>
      <c r="V101" s="14" t="s">
        <v>74</v>
      </c>
    </row>
    <row r="102" spans="1:22" s="6" customFormat="1" ht="18" hidden="1" customHeight="1">
      <c r="A102" s="9" t="s">
        <v>26</v>
      </c>
      <c r="B102" s="15">
        <v>1995</v>
      </c>
      <c r="C102" s="15" t="s">
        <v>73</v>
      </c>
      <c r="D102" s="178">
        <v>8455</v>
      </c>
      <c r="E102" s="178">
        <f>D102/1.4331325</f>
        <v>5899.663848248505</v>
      </c>
      <c r="G102" s="182"/>
      <c r="H102" s="182"/>
      <c r="I102" s="182"/>
      <c r="J102" s="182"/>
      <c r="K102" s="182"/>
      <c r="L102" s="182"/>
      <c r="M102" s="182"/>
      <c r="N102" s="182"/>
      <c r="V102" s="14" t="s">
        <v>74</v>
      </c>
    </row>
    <row r="103" spans="1:22" s="6" customFormat="1" ht="18" hidden="1" customHeight="1">
      <c r="A103" s="9" t="s">
        <v>26</v>
      </c>
      <c r="B103" s="15">
        <v>1996</v>
      </c>
      <c r="C103" s="15" t="s">
        <v>73</v>
      </c>
      <c r="D103" s="178">
        <v>8810</v>
      </c>
      <c r="E103" s="178">
        <f>D103/1.50477416666667</f>
        <v>5854.6991270561512</v>
      </c>
      <c r="G103" s="182"/>
      <c r="H103" s="182"/>
      <c r="I103" s="182"/>
      <c r="J103" s="182"/>
      <c r="K103" s="182"/>
      <c r="L103" s="182"/>
      <c r="M103" s="182"/>
      <c r="N103" s="182"/>
      <c r="V103" s="14" t="s">
        <v>74</v>
      </c>
    </row>
    <row r="104" spans="1:22" s="6" customFormat="1" ht="18" hidden="1" customHeight="1">
      <c r="A104" s="9" t="s">
        <v>26</v>
      </c>
      <c r="B104" s="15">
        <v>1997</v>
      </c>
      <c r="C104" s="15" t="s">
        <v>73</v>
      </c>
      <c r="D104" s="178">
        <v>8946</v>
      </c>
      <c r="E104" s="178">
        <f>D104/1.73405583333333</f>
        <v>5159.0034346260572</v>
      </c>
      <c r="F104" s="7"/>
      <c r="I104" s="195"/>
      <c r="N104" s="182"/>
      <c r="O104" s="196"/>
      <c r="V104" s="14" t="s">
        <v>74</v>
      </c>
    </row>
    <row r="105" spans="1:22" s="6" customFormat="1" ht="18" hidden="1" customHeight="1">
      <c r="A105" s="9" t="s">
        <v>26</v>
      </c>
      <c r="B105" s="15">
        <v>1998</v>
      </c>
      <c r="C105" s="15" t="s">
        <v>73</v>
      </c>
      <c r="D105" s="178">
        <v>9088</v>
      </c>
      <c r="E105" s="178">
        <f>D105/1.7596676</f>
        <v>5164.6117709958407</v>
      </c>
      <c r="F105" s="7"/>
      <c r="I105" s="195"/>
      <c r="N105" s="182"/>
      <c r="O105" s="196"/>
      <c r="V105" s="14" t="s">
        <v>74</v>
      </c>
    </row>
    <row r="106" spans="1:22" s="6" customFormat="1" ht="18" hidden="1" customHeight="1">
      <c r="A106" s="9" t="s">
        <v>26</v>
      </c>
      <c r="B106" s="15">
        <v>1999</v>
      </c>
      <c r="C106" s="15" t="s">
        <v>73</v>
      </c>
      <c r="D106" s="178">
        <v>9225</v>
      </c>
      <c r="E106" s="178">
        <f>D106/0.938283072395283</f>
        <v>9831.7877316597933</v>
      </c>
      <c r="F106" s="7"/>
      <c r="I106" s="195"/>
      <c r="N106" s="182"/>
      <c r="O106" s="196"/>
      <c r="V106" s="14" t="s">
        <v>74</v>
      </c>
    </row>
    <row r="107" spans="1:22" s="6" customFormat="1" ht="18" hidden="1" customHeight="1">
      <c r="A107" s="9" t="s">
        <v>26</v>
      </c>
      <c r="B107" s="15">
        <v>2000</v>
      </c>
      <c r="C107" s="15" t="s">
        <v>73</v>
      </c>
      <c r="D107" s="178">
        <v>9421</v>
      </c>
      <c r="E107" s="178">
        <f>D107/1.08270508132602</f>
        <v>8701.3538243136645</v>
      </c>
      <c r="F107" s="7"/>
      <c r="I107" s="195"/>
      <c r="N107" s="182"/>
      <c r="O107" s="196"/>
      <c r="V107" s="14" t="s">
        <v>74</v>
      </c>
    </row>
    <row r="108" spans="1:22" s="6" customFormat="1" ht="18" hidden="1" customHeight="1">
      <c r="A108" s="9" t="s">
        <v>26</v>
      </c>
      <c r="B108" s="15">
        <v>2001</v>
      </c>
      <c r="C108" s="15" t="s">
        <v>73</v>
      </c>
      <c r="D108" s="178">
        <v>9412</v>
      </c>
      <c r="E108" s="178">
        <f>D108/1.11653308564462</f>
        <v>8429.6651133862888</v>
      </c>
      <c r="F108" s="7"/>
      <c r="I108" s="195"/>
      <c r="N108" s="182"/>
      <c r="O108" s="196"/>
      <c r="V108" s="14" t="s">
        <v>74</v>
      </c>
    </row>
    <row r="109" spans="1:22" s="6" customFormat="1" ht="18" hidden="1" customHeight="1">
      <c r="A109" s="9" t="s">
        <v>26</v>
      </c>
      <c r="B109" s="15">
        <v>2002</v>
      </c>
      <c r="C109" s="15" t="s">
        <v>73</v>
      </c>
      <c r="D109" s="178">
        <v>9224</v>
      </c>
      <c r="E109" s="178">
        <f>D109/1.05755899623965</f>
        <v>8721.9720439215835</v>
      </c>
      <c r="F109" s="7"/>
      <c r="G109" s="197"/>
      <c r="I109" s="195"/>
      <c r="N109" s="182"/>
      <c r="O109" s="196"/>
      <c r="V109" s="14" t="s">
        <v>74</v>
      </c>
    </row>
    <row r="110" spans="1:22" s="6" customFormat="1" ht="18" hidden="1" customHeight="1">
      <c r="A110" s="9" t="s">
        <v>26</v>
      </c>
      <c r="B110" s="15">
        <v>2003</v>
      </c>
      <c r="C110" s="15" t="s">
        <v>73</v>
      </c>
      <c r="D110" s="178">
        <v>9067</v>
      </c>
      <c r="E110" s="178">
        <f>D110/0.88404792718493</f>
        <v>10256.231275686612</v>
      </c>
      <c r="F110" s="7"/>
      <c r="I110" s="195"/>
      <c r="N110" s="182"/>
      <c r="O110" s="196"/>
      <c r="V110" s="14" t="s">
        <v>74</v>
      </c>
    </row>
    <row r="111" spans="1:22" s="6" customFormat="1" ht="18" hidden="1" customHeight="1">
      <c r="A111" s="9" t="s">
        <v>26</v>
      </c>
      <c r="B111" s="15">
        <v>2004</v>
      </c>
      <c r="C111" s="15" t="s">
        <v>73</v>
      </c>
      <c r="D111" s="178">
        <v>9076</v>
      </c>
      <c r="E111" s="178">
        <f>D111/0.803921647747618</f>
        <v>11289.657425482472</v>
      </c>
      <c r="F111" s="7"/>
      <c r="I111" s="195"/>
      <c r="N111" s="182"/>
      <c r="O111" s="196"/>
      <c r="V111" s="14" t="s">
        <v>74</v>
      </c>
    </row>
    <row r="112" spans="1:22" s="6" customFormat="1" ht="18" hidden="1" customHeight="1">
      <c r="A112" s="9" t="s">
        <v>26</v>
      </c>
      <c r="B112" s="15">
        <v>2005</v>
      </c>
      <c r="C112" s="15" t="s">
        <v>73</v>
      </c>
      <c r="D112" s="178">
        <v>9159</v>
      </c>
      <c r="E112" s="178">
        <f>D112/0.803800192161442</f>
        <v>11394.622804668885</v>
      </c>
      <c r="F112" s="7"/>
      <c r="I112" s="195"/>
      <c r="N112" s="182"/>
      <c r="O112" s="196"/>
      <c r="V112" s="14" t="s">
        <v>74</v>
      </c>
    </row>
    <row r="113" spans="1:22" s="6" customFormat="1" ht="18" hidden="1" customHeight="1">
      <c r="A113" s="9" t="s">
        <v>26</v>
      </c>
      <c r="B113" s="15">
        <v>2006</v>
      </c>
      <c r="C113" s="15" t="s">
        <v>73</v>
      </c>
      <c r="D113" s="178">
        <v>9261</v>
      </c>
      <c r="E113" s="178">
        <f>D113/0.796432730949102</f>
        <v>11628.100704705777</v>
      </c>
      <c r="F113" s="7"/>
      <c r="I113" s="195"/>
      <c r="N113" s="182"/>
      <c r="O113" s="196"/>
      <c r="V113" s="14" t="s">
        <v>74</v>
      </c>
    </row>
    <row r="114" spans="1:22" s="6" customFormat="1" ht="18" hidden="1" customHeight="1">
      <c r="A114" s="9" t="s">
        <v>26</v>
      </c>
      <c r="B114" s="15">
        <v>2007</v>
      </c>
      <c r="C114" s="15" t="s">
        <v>73</v>
      </c>
      <c r="D114" s="178">
        <v>9576</v>
      </c>
      <c r="E114" s="178">
        <f>D114/0.729672399984083</f>
        <v>13123.697703529544</v>
      </c>
      <c r="F114" s="7"/>
      <c r="G114" s="182"/>
      <c r="H114" s="182"/>
      <c r="I114" s="195"/>
      <c r="J114" s="182"/>
      <c r="K114" s="182"/>
      <c r="L114" s="182"/>
      <c r="M114" s="182"/>
      <c r="N114" s="182"/>
      <c r="O114" s="196"/>
      <c r="V114" s="14" t="s">
        <v>74</v>
      </c>
    </row>
    <row r="115" spans="1:22" s="6" customFormat="1" ht="18" hidden="1" customHeight="1">
      <c r="A115" s="9" t="s">
        <v>26</v>
      </c>
      <c r="B115" s="15">
        <v>2008</v>
      </c>
      <c r="C115" s="15" t="s">
        <v>73</v>
      </c>
      <c r="D115" s="178">
        <v>9614</v>
      </c>
      <c r="E115" s="178">
        <f>D115/0.679922680042729</f>
        <v>14139.843076562496</v>
      </c>
      <c r="G115" s="182"/>
      <c r="H115" s="182"/>
      <c r="I115" s="195"/>
      <c r="J115" s="182"/>
      <c r="K115" s="182"/>
      <c r="L115" s="182"/>
      <c r="M115" s="182"/>
      <c r="N115" s="182"/>
      <c r="O115" s="196"/>
      <c r="V115" s="14" t="s">
        <v>74</v>
      </c>
    </row>
    <row r="116" spans="1:22" s="6" customFormat="1" ht="18" hidden="1" customHeight="1">
      <c r="A116" s="9" t="s">
        <v>26</v>
      </c>
      <c r="B116" s="15">
        <v>2009</v>
      </c>
      <c r="C116" s="15" t="s">
        <v>73</v>
      </c>
      <c r="D116" s="178">
        <v>9691</v>
      </c>
      <c r="E116" s="178">
        <f>D116/0.716957702016136</f>
        <v>13516.836450390616</v>
      </c>
      <c r="F116" s="198"/>
      <c r="G116" s="182"/>
      <c r="H116" s="182"/>
      <c r="I116" s="199"/>
      <c r="J116" s="182"/>
      <c r="K116" s="182"/>
      <c r="L116" s="182"/>
      <c r="M116" s="182"/>
      <c r="N116" s="182"/>
      <c r="O116" s="200"/>
      <c r="V116" s="14" t="s">
        <v>74</v>
      </c>
    </row>
    <row r="117" spans="1:22" s="6" customFormat="1" ht="18" hidden="1" customHeight="1">
      <c r="A117" s="9" t="s">
        <v>26</v>
      </c>
      <c r="B117" s="15">
        <v>2010</v>
      </c>
      <c r="C117" s="15" t="s">
        <v>73</v>
      </c>
      <c r="D117" s="178">
        <v>9734</v>
      </c>
      <c r="E117" s="178">
        <f>D117/0.754308990105961</f>
        <v>12904.526033333666</v>
      </c>
      <c r="G117" s="182"/>
      <c r="H117" s="182"/>
      <c r="I117" s="201"/>
      <c r="J117" s="182"/>
      <c r="K117" s="182"/>
      <c r="L117" s="182"/>
      <c r="M117" s="182"/>
      <c r="N117" s="182"/>
      <c r="O117" s="202"/>
      <c r="V117" s="14" t="s">
        <v>74</v>
      </c>
    </row>
    <row r="118" spans="1:22" s="6" customFormat="1" ht="18" hidden="1" customHeight="1">
      <c r="A118" s="9" t="s">
        <v>26</v>
      </c>
      <c r="B118" s="15">
        <v>2011</v>
      </c>
      <c r="C118" s="15" t="s">
        <v>73</v>
      </c>
      <c r="D118" s="178">
        <v>9601</v>
      </c>
      <c r="E118" s="178">
        <f>D118/0.718413898653317</f>
        <v>13364.162383268602</v>
      </c>
      <c r="K118" s="7"/>
      <c r="L118" s="7"/>
      <c r="M118" s="7"/>
      <c r="T118" s="7"/>
      <c r="U118" s="7"/>
      <c r="V118" s="14" t="s">
        <v>74</v>
      </c>
    </row>
    <row r="119" spans="1:22" s="6" customFormat="1" ht="18" hidden="1" customHeight="1">
      <c r="A119" s="9" t="s">
        <v>26</v>
      </c>
      <c r="B119" s="15">
        <v>2012</v>
      </c>
      <c r="C119" s="15" t="s">
        <v>73</v>
      </c>
      <c r="D119" s="178">
        <v>9520</v>
      </c>
      <c r="E119" s="178">
        <f>D119/0.778338120416812</f>
        <v>12231.188156250002</v>
      </c>
      <c r="K119" s="7"/>
      <c r="L119" s="7"/>
      <c r="M119" s="7"/>
      <c r="T119" s="7"/>
      <c r="U119" s="7"/>
      <c r="V119" s="14" t="s">
        <v>74</v>
      </c>
    </row>
    <row r="120" spans="1:22" s="6" customFormat="1" ht="18" hidden="1" customHeight="1">
      <c r="A120" s="9" t="s">
        <v>26</v>
      </c>
      <c r="B120" s="15">
        <v>2013</v>
      </c>
      <c r="C120" s="15" t="s">
        <v>73</v>
      </c>
      <c r="D120" s="178">
        <v>9536</v>
      </c>
      <c r="E120" s="178">
        <f>D120/0.752945122701996</f>
        <v>12664.933621960921</v>
      </c>
      <c r="K120" s="7"/>
      <c r="L120" s="7"/>
      <c r="M120" s="7"/>
      <c r="T120" s="7"/>
      <c r="U120" s="7"/>
      <c r="V120" s="14" t="s">
        <v>74</v>
      </c>
    </row>
    <row r="121" spans="1:22" s="6" customFormat="1" ht="18" hidden="1" customHeight="1">
      <c r="A121" s="9" t="s">
        <v>26</v>
      </c>
      <c r="B121" s="15">
        <v>2014</v>
      </c>
      <c r="C121" s="15" t="s">
        <v>73</v>
      </c>
      <c r="D121" s="178">
        <v>9322</v>
      </c>
      <c r="E121" s="178">
        <f>D121/0.752728196932603</f>
        <v>12384.284311372308</v>
      </c>
      <c r="K121" s="7"/>
      <c r="L121" s="7"/>
      <c r="M121" s="7"/>
      <c r="T121" s="7"/>
      <c r="U121" s="7"/>
      <c r="V121" s="14" t="s">
        <v>74</v>
      </c>
    </row>
    <row r="122" spans="1:22" s="6" customFormat="1" ht="18" hidden="1" customHeight="1">
      <c r="A122" s="9" t="s">
        <v>26</v>
      </c>
      <c r="B122" s="15">
        <v>2015</v>
      </c>
      <c r="C122" s="15" t="s">
        <v>73</v>
      </c>
      <c r="D122" s="178">
        <v>9188</v>
      </c>
      <c r="E122" s="178">
        <f>D122/0.901296423367096</f>
        <v>10194.204439062494</v>
      </c>
      <c r="K122" s="7"/>
      <c r="L122" s="7"/>
      <c r="M122" s="7"/>
      <c r="T122" s="7"/>
      <c r="U122" s="7"/>
      <c r="V122" s="14" t="s">
        <v>74</v>
      </c>
    </row>
    <row r="123" spans="1:22" s="6" customFormat="1" ht="18" hidden="1" customHeight="1">
      <c r="A123" s="9" t="s">
        <v>26</v>
      </c>
      <c r="B123" s="15">
        <v>2016</v>
      </c>
      <c r="C123" s="15" t="s">
        <v>73</v>
      </c>
      <c r="D123" s="178">
        <v>9276</v>
      </c>
      <c r="E123" s="178">
        <f>D123/0.903421436257263</f>
        <v>10267.63327470848</v>
      </c>
      <c r="K123" s="7"/>
      <c r="L123" s="7"/>
      <c r="M123" s="7"/>
      <c r="T123" s="7"/>
      <c r="U123" s="7"/>
      <c r="V123" s="14" t="s">
        <v>74</v>
      </c>
    </row>
    <row r="124" spans="1:22" s="6" customFormat="1" ht="18" hidden="1" customHeight="1">
      <c r="A124" s="9" t="s">
        <v>26</v>
      </c>
      <c r="B124" s="15">
        <v>2017</v>
      </c>
      <c r="C124" s="15" t="s">
        <v>73</v>
      </c>
      <c r="D124" s="178">
        <v>9131</v>
      </c>
      <c r="E124" s="178">
        <f>D124/0.885205508269372</f>
        <v>10315.118822353052</v>
      </c>
      <c r="K124" s="7"/>
      <c r="L124" s="7"/>
      <c r="M124" s="7"/>
      <c r="T124" s="7"/>
      <c r="U124" s="7"/>
      <c r="V124" s="14" t="s">
        <v>74</v>
      </c>
    </row>
    <row r="125" spans="1:22" s="6" customFormat="1" ht="18" hidden="1" customHeight="1">
      <c r="A125" s="9" t="s">
        <v>26</v>
      </c>
      <c r="B125" s="15">
        <v>2018</v>
      </c>
      <c r="C125" s="15" t="s">
        <v>73</v>
      </c>
      <c r="D125" s="178">
        <v>9134</v>
      </c>
      <c r="E125" s="178">
        <f>D125/0.846772667108111</f>
        <v>10786.838492548819</v>
      </c>
      <c r="K125" s="7"/>
      <c r="L125" s="7"/>
      <c r="M125" s="7"/>
      <c r="T125" s="7"/>
      <c r="U125" s="7"/>
      <c r="V125" s="20" t="s">
        <v>75</v>
      </c>
    </row>
    <row r="126" spans="1:22" s="6" customFormat="1" ht="18" hidden="1" customHeight="1">
      <c r="A126" s="9" t="s">
        <v>26</v>
      </c>
      <c r="B126" s="15">
        <v>2019</v>
      </c>
      <c r="C126" s="15" t="s">
        <v>73</v>
      </c>
      <c r="D126" s="178">
        <v>9291</v>
      </c>
      <c r="E126" s="178">
        <f>D126/0.893276257067409</f>
        <v>10401.037670588032</v>
      </c>
      <c r="K126" s="7"/>
      <c r="L126" s="7"/>
      <c r="M126" s="7"/>
      <c r="T126" s="7"/>
      <c r="U126" s="7"/>
      <c r="V126" s="20" t="s">
        <v>76</v>
      </c>
    </row>
    <row r="127" spans="1:22" s="6" customFormat="1" ht="18" hidden="1" customHeight="1">
      <c r="A127" s="9" t="s">
        <v>26</v>
      </c>
      <c r="B127" s="15">
        <v>2020</v>
      </c>
      <c r="C127" s="15" t="s">
        <v>73</v>
      </c>
      <c r="D127" s="178">
        <v>9303</v>
      </c>
      <c r="E127" s="178">
        <f>D127/0.875506396987998</f>
        <v>10625.850401556268</v>
      </c>
      <c r="K127" s="7"/>
      <c r="L127" s="7"/>
      <c r="M127" s="7"/>
      <c r="T127" s="7"/>
      <c r="U127" s="7"/>
      <c r="V127" s="20" t="s">
        <v>77</v>
      </c>
    </row>
    <row r="128" spans="1:22" s="6" customFormat="1" ht="18" hidden="1" customHeight="1">
      <c r="A128" s="9" t="s">
        <v>26</v>
      </c>
      <c r="B128" s="15">
        <v>2021</v>
      </c>
      <c r="C128" s="15" t="s">
        <v>73</v>
      </c>
      <c r="D128" s="178">
        <v>9630</v>
      </c>
      <c r="E128" s="178">
        <f>D128/0.84549413889045</f>
        <v>11389.789186046328</v>
      </c>
      <c r="K128" s="7"/>
      <c r="L128" s="7"/>
      <c r="M128" s="7"/>
      <c r="T128" s="7"/>
      <c r="U128" s="7"/>
      <c r="V128" s="20" t="s">
        <v>78</v>
      </c>
    </row>
    <row r="129" spans="1:22" s="6" customFormat="1" ht="18" hidden="1" customHeight="1">
      <c r="A129" s="9" t="s">
        <v>26</v>
      </c>
      <c r="B129" s="15">
        <v>2022</v>
      </c>
      <c r="C129" s="15" t="s">
        <v>73</v>
      </c>
      <c r="D129" s="178">
        <v>9444</v>
      </c>
      <c r="E129" s="178">
        <f>D129/0.949623753156941</f>
        <v>9944.9913385214386</v>
      </c>
      <c r="G129" s="182"/>
      <c r="H129" s="182"/>
      <c r="I129" s="182"/>
      <c r="J129" s="182"/>
      <c r="K129" s="7"/>
      <c r="L129" s="7"/>
      <c r="M129" s="7"/>
      <c r="N129" s="182"/>
      <c r="T129" s="7"/>
      <c r="U129" s="7"/>
      <c r="V129" s="20" t="s">
        <v>79</v>
      </c>
    </row>
    <row r="130" spans="1:22" s="6" customFormat="1" ht="18" hidden="1" customHeight="1">
      <c r="A130" s="9" t="s">
        <v>26</v>
      </c>
      <c r="B130" s="15">
        <v>2023</v>
      </c>
      <c r="C130" s="15" t="s">
        <v>73</v>
      </c>
      <c r="D130" s="178">
        <v>9707</v>
      </c>
      <c r="E130" s="178">
        <f>D130/0.924839558470698</f>
        <v>10495.874566666853</v>
      </c>
      <c r="G130" s="182"/>
      <c r="H130" s="182"/>
      <c r="I130" s="182"/>
      <c r="J130" s="182"/>
      <c r="K130" s="7"/>
      <c r="L130" s="7"/>
      <c r="M130" s="7"/>
      <c r="N130" s="182"/>
      <c r="T130" s="7"/>
      <c r="U130" s="7"/>
      <c r="V130" s="20" t="s">
        <v>80</v>
      </c>
    </row>
    <row r="131" spans="1:22" s="6" customFormat="1" ht="18" hidden="1" customHeight="1">
      <c r="A131" s="15" t="s">
        <v>26</v>
      </c>
      <c r="B131" s="24">
        <v>2018</v>
      </c>
      <c r="C131" s="26" t="s">
        <v>81</v>
      </c>
      <c r="D131" s="178">
        <v>1128</v>
      </c>
      <c r="E131" s="178">
        <f>D131/0.846772667108111</f>
        <v>1332.1166870587988</v>
      </c>
      <c r="F131" s="195"/>
      <c r="H131" s="10"/>
      <c r="I131" s="7"/>
      <c r="J131" s="10"/>
      <c r="K131" s="10"/>
      <c r="L131" s="10"/>
      <c r="M131" s="10"/>
      <c r="N131" s="7"/>
      <c r="O131" s="7"/>
      <c r="P131" s="10"/>
      <c r="Q131" s="7"/>
      <c r="R131" s="7"/>
      <c r="S131" s="10"/>
      <c r="T131" s="10"/>
      <c r="U131" s="10"/>
      <c r="V131" s="14" t="s">
        <v>82</v>
      </c>
    </row>
    <row r="132" spans="1:22" s="6" customFormat="1" ht="18" hidden="1" customHeight="1">
      <c r="A132" s="15" t="s">
        <v>26</v>
      </c>
      <c r="B132" s="24">
        <v>2019</v>
      </c>
      <c r="C132" s="26" t="s">
        <v>81</v>
      </c>
      <c r="D132" s="178">
        <v>1339</v>
      </c>
      <c r="E132" s="178">
        <f>D132/0.893276257067409</f>
        <v>1498.9763686274218</v>
      </c>
      <c r="F132" s="195"/>
      <c r="H132" s="10"/>
      <c r="I132" s="7"/>
      <c r="J132" s="10"/>
      <c r="K132" s="10"/>
      <c r="L132" s="10"/>
      <c r="M132" s="10"/>
      <c r="N132" s="7"/>
      <c r="O132" s="7"/>
      <c r="P132" s="10"/>
      <c r="Q132" s="7"/>
      <c r="R132" s="7"/>
      <c r="S132" s="10"/>
      <c r="T132" s="195"/>
      <c r="U132" s="195"/>
      <c r="V132" s="14" t="s">
        <v>82</v>
      </c>
    </row>
    <row r="133" spans="1:22" s="6" customFormat="1" ht="18" hidden="1" customHeight="1">
      <c r="A133" s="15" t="s">
        <v>26</v>
      </c>
      <c r="B133" s="24">
        <v>2020</v>
      </c>
      <c r="C133" s="26" t="s">
        <v>81</v>
      </c>
      <c r="D133" s="178">
        <v>1554</v>
      </c>
      <c r="E133" s="178">
        <f>D133/0.875506396987998</f>
        <v>1774.9727533073676</v>
      </c>
      <c r="F133" s="195"/>
      <c r="G133" s="10"/>
      <c r="H133" s="10"/>
      <c r="I133" s="7"/>
      <c r="J133" s="10"/>
      <c r="K133" s="10"/>
      <c r="L133" s="10"/>
      <c r="M133" s="10"/>
      <c r="N133" s="7"/>
      <c r="O133" s="7"/>
      <c r="P133" s="10"/>
      <c r="Q133" s="7"/>
      <c r="R133" s="7"/>
      <c r="S133" s="10"/>
      <c r="T133" s="195"/>
      <c r="U133" s="195"/>
      <c r="V133" s="14" t="s">
        <v>82</v>
      </c>
    </row>
    <row r="134" spans="1:22" s="6" customFormat="1" ht="18" hidden="1" customHeight="1">
      <c r="A134" s="15" t="s">
        <v>26</v>
      </c>
      <c r="B134" s="24">
        <v>2021</v>
      </c>
      <c r="C134" s="26" t="s">
        <v>81</v>
      </c>
      <c r="D134" s="178">
        <v>2141</v>
      </c>
      <c r="E134" s="178">
        <f>D134/0.84549413889045</f>
        <v>2532.2470038759284</v>
      </c>
      <c r="F134" s="195"/>
      <c r="G134" s="10"/>
      <c r="H134" s="10"/>
      <c r="I134" s="7"/>
      <c r="J134" s="10"/>
      <c r="K134" s="10"/>
      <c r="L134" s="10"/>
      <c r="M134" s="10"/>
      <c r="N134" s="7"/>
      <c r="O134" s="7"/>
      <c r="P134" s="10"/>
      <c r="Q134" s="7"/>
      <c r="R134" s="7"/>
      <c r="S134" s="10"/>
      <c r="T134" s="195"/>
      <c r="U134" s="195"/>
      <c r="V134" s="14" t="s">
        <v>82</v>
      </c>
    </row>
    <row r="135" spans="1:22" s="6" customFormat="1" ht="18" hidden="1" customHeight="1">
      <c r="A135" s="15" t="s">
        <v>26</v>
      </c>
      <c r="B135" s="12">
        <v>2022</v>
      </c>
      <c r="C135" s="26" t="s">
        <v>81</v>
      </c>
      <c r="D135" s="178">
        <v>2410</v>
      </c>
      <c r="E135" s="178">
        <f>D135/0.949623753156941</f>
        <v>2537.8472178988427</v>
      </c>
      <c r="F135" s="195"/>
      <c r="G135" s="10"/>
      <c r="H135" s="10"/>
      <c r="I135" s="7"/>
      <c r="J135" s="10"/>
      <c r="K135" s="10"/>
      <c r="L135" s="10"/>
      <c r="M135" s="10"/>
      <c r="N135" s="7"/>
      <c r="O135" s="7"/>
      <c r="P135" s="10"/>
      <c r="Q135" s="7"/>
      <c r="R135" s="7"/>
      <c r="S135" s="10"/>
      <c r="T135" s="195"/>
      <c r="U135" s="195"/>
      <c r="V135" s="14" t="s">
        <v>82</v>
      </c>
    </row>
    <row r="136" spans="1:22" s="6" customFormat="1" ht="18" hidden="1" customHeight="1">
      <c r="A136" s="9" t="s">
        <v>26</v>
      </c>
      <c r="B136" s="12">
        <v>2023</v>
      </c>
      <c r="C136" s="26" t="s">
        <v>81</v>
      </c>
      <c r="D136" s="178">
        <v>2683</v>
      </c>
      <c r="E136" s="178">
        <f>D136/0.924839558470698</f>
        <v>2901.0437274510318</v>
      </c>
      <c r="F136" s="195"/>
      <c r="G136" s="10"/>
      <c r="H136" s="10"/>
      <c r="I136" s="7"/>
      <c r="J136" s="10"/>
      <c r="K136" s="10"/>
      <c r="L136" s="10"/>
      <c r="M136" s="10"/>
      <c r="N136" s="7"/>
      <c r="O136" s="7"/>
      <c r="P136" s="10"/>
      <c r="Q136" s="7"/>
      <c r="R136" s="7"/>
      <c r="S136" s="10"/>
      <c r="T136" s="195"/>
      <c r="U136" s="195"/>
      <c r="V136" s="14" t="s">
        <v>82</v>
      </c>
    </row>
    <row r="137" spans="1:22" s="6" customFormat="1" ht="18" hidden="1" customHeight="1">
      <c r="A137" s="15" t="s">
        <v>26</v>
      </c>
      <c r="B137" s="12">
        <v>2018</v>
      </c>
      <c r="C137" s="26" t="s">
        <v>83</v>
      </c>
      <c r="D137" s="178">
        <v>2130</v>
      </c>
      <c r="E137" s="178">
        <f>D137/0.846772667108111</f>
        <v>2515.4331058823063</v>
      </c>
      <c r="F137" s="7"/>
      <c r="H137" s="182"/>
      <c r="I137" s="7"/>
      <c r="J137" s="201"/>
      <c r="K137" s="201"/>
      <c r="L137" s="201"/>
      <c r="M137" s="201"/>
      <c r="N137" s="7"/>
      <c r="O137" s="7"/>
      <c r="Q137" s="7"/>
      <c r="R137" s="7"/>
      <c r="V137" s="14" t="s">
        <v>84</v>
      </c>
    </row>
    <row r="138" spans="1:22" s="6" customFormat="1" ht="18" hidden="1" customHeight="1">
      <c r="A138" s="15" t="s">
        <v>26</v>
      </c>
      <c r="B138" s="24">
        <v>2019</v>
      </c>
      <c r="C138" s="26" t="s">
        <v>83</v>
      </c>
      <c r="D138" s="178">
        <v>2106</v>
      </c>
      <c r="E138" s="178">
        <f>D138/0.893276257067409</f>
        <v>2357.613317647013</v>
      </c>
      <c r="F138" s="7"/>
      <c r="H138" s="182"/>
      <c r="I138" s="7"/>
      <c r="J138" s="201"/>
      <c r="K138" s="201"/>
      <c r="L138" s="201"/>
      <c r="M138" s="201"/>
      <c r="N138" s="7"/>
      <c r="O138" s="7"/>
      <c r="Q138" s="7"/>
      <c r="R138" s="7"/>
      <c r="V138" s="14" t="s">
        <v>84</v>
      </c>
    </row>
    <row r="139" spans="1:22" s="6" customFormat="1" ht="18" hidden="1" customHeight="1">
      <c r="A139" s="15" t="s">
        <v>26</v>
      </c>
      <c r="B139" s="24">
        <v>2020</v>
      </c>
      <c r="C139" s="26" t="s">
        <v>83</v>
      </c>
      <c r="D139" s="178">
        <v>2338</v>
      </c>
      <c r="E139" s="178">
        <f>D139/0.875506396987998</f>
        <v>2670.4545027236973</v>
      </c>
      <c r="F139" s="7"/>
      <c r="H139" s="182"/>
      <c r="I139" s="7"/>
      <c r="J139" s="201"/>
      <c r="K139" s="201"/>
      <c r="L139" s="201"/>
      <c r="M139" s="201"/>
      <c r="N139" s="7"/>
      <c r="O139" s="7"/>
      <c r="Q139" s="7"/>
      <c r="R139" s="7"/>
      <c r="V139" s="14" t="s">
        <v>84</v>
      </c>
    </row>
    <row r="140" spans="1:22" s="6" customFormat="1" ht="18" hidden="1" customHeight="1">
      <c r="A140" s="15" t="s">
        <v>26</v>
      </c>
      <c r="B140" s="24">
        <v>2021</v>
      </c>
      <c r="C140" s="26" t="s">
        <v>83</v>
      </c>
      <c r="D140" s="178">
        <v>2811</v>
      </c>
      <c r="E140" s="178">
        <f>D140/0.84549413889045</f>
        <v>3324.6830116278534</v>
      </c>
      <c r="F140" s="7"/>
      <c r="H140" s="10"/>
      <c r="I140" s="7"/>
      <c r="J140" s="10"/>
      <c r="K140" s="10"/>
      <c r="L140" s="10"/>
      <c r="M140" s="10"/>
      <c r="N140" s="7"/>
      <c r="O140" s="7"/>
      <c r="P140" s="10"/>
      <c r="Q140" s="7"/>
      <c r="R140" s="7"/>
      <c r="S140" s="10"/>
      <c r="T140" s="10"/>
      <c r="U140" s="10"/>
      <c r="V140" s="14" t="s">
        <v>84</v>
      </c>
    </row>
    <row r="141" spans="1:22" s="6" customFormat="1" ht="18" hidden="1" customHeight="1">
      <c r="A141" s="15" t="s">
        <v>26</v>
      </c>
      <c r="B141" s="24">
        <v>2022</v>
      </c>
      <c r="C141" s="26" t="s">
        <v>83</v>
      </c>
      <c r="D141" s="178">
        <v>2787</v>
      </c>
      <c r="E141" s="178">
        <f>D141/0.949623753156941</f>
        <v>2934.8465544747196</v>
      </c>
      <c r="F141" s="7"/>
      <c r="H141" s="10"/>
      <c r="I141" s="7"/>
      <c r="J141" s="10"/>
      <c r="K141" s="10"/>
      <c r="L141" s="10"/>
      <c r="M141" s="10"/>
      <c r="N141" s="7"/>
      <c r="O141" s="7"/>
      <c r="P141" s="10"/>
      <c r="Q141" s="7"/>
      <c r="R141" s="7"/>
      <c r="S141" s="10"/>
      <c r="T141" s="10"/>
      <c r="U141" s="10"/>
      <c r="V141" s="14" t="s">
        <v>84</v>
      </c>
    </row>
    <row r="142" spans="1:22" s="6" customFormat="1" ht="18" hidden="1" customHeight="1">
      <c r="A142" s="15" t="s">
        <v>26</v>
      </c>
      <c r="B142" s="24">
        <v>2023</v>
      </c>
      <c r="C142" s="26" t="s">
        <v>83</v>
      </c>
      <c r="D142" s="178">
        <v>2812</v>
      </c>
      <c r="E142" s="178">
        <f>D142/0.924839558470698</f>
        <v>3040.5273803922105</v>
      </c>
      <c r="F142" s="195"/>
      <c r="H142" s="10"/>
      <c r="I142" s="7"/>
      <c r="J142" s="10"/>
      <c r="K142" s="10"/>
      <c r="L142" s="10"/>
      <c r="M142" s="10"/>
      <c r="N142" s="7"/>
      <c r="O142" s="7"/>
      <c r="P142" s="10"/>
      <c r="Q142" s="7"/>
      <c r="R142" s="7"/>
      <c r="S142" s="11"/>
      <c r="T142" s="10"/>
      <c r="U142" s="10"/>
      <c r="V142" s="14" t="s">
        <v>84</v>
      </c>
    </row>
    <row r="143" spans="1:22" s="6" customFormat="1" ht="18" hidden="1" customHeight="1">
      <c r="A143" s="15" t="s">
        <v>22</v>
      </c>
      <c r="B143" s="15">
        <v>2004</v>
      </c>
      <c r="C143" s="15" t="s">
        <v>85</v>
      </c>
      <c r="D143" s="178">
        <v>1106</v>
      </c>
      <c r="E143" s="178">
        <f>D143/0.803921647747618</f>
        <v>1375.7559621621435</v>
      </c>
      <c r="F143" s="194"/>
      <c r="V143" s="27"/>
    </row>
    <row r="144" spans="1:22" s="6" customFormat="1" ht="18" hidden="1" customHeight="1">
      <c r="A144" s="15" t="s">
        <v>22</v>
      </c>
      <c r="B144" s="15">
        <v>2008</v>
      </c>
      <c r="C144" s="15" t="s">
        <v>85</v>
      </c>
      <c r="D144" s="178">
        <v>1476</v>
      </c>
      <c r="E144" s="178">
        <f>D144/0.679922680042729</f>
        <v>2170.8350718749994</v>
      </c>
      <c r="F144" s="194"/>
      <c r="G144" s="182"/>
      <c r="H144" s="182"/>
      <c r="I144" s="182"/>
      <c r="J144" s="182"/>
      <c r="K144" s="182"/>
      <c r="L144" s="182"/>
      <c r="M144" s="182"/>
      <c r="N144" s="182"/>
      <c r="V144" s="27"/>
    </row>
    <row r="145" spans="1:22" s="6" customFormat="1" ht="18" hidden="1" customHeight="1">
      <c r="A145" s="15" t="s">
        <v>22</v>
      </c>
      <c r="B145" s="15">
        <v>2010</v>
      </c>
      <c r="C145" s="15" t="s">
        <v>85</v>
      </c>
      <c r="D145" s="178">
        <v>1867</v>
      </c>
      <c r="E145" s="178">
        <f>D145/0.754308990105961</f>
        <v>2475.1130166667303</v>
      </c>
      <c r="F145" s="203"/>
      <c r="G145" s="182"/>
      <c r="H145" s="182"/>
      <c r="I145" s="182"/>
      <c r="J145" s="182"/>
      <c r="K145" s="182"/>
      <c r="L145" s="182"/>
      <c r="M145" s="182"/>
      <c r="N145" s="182"/>
      <c r="V145" s="27"/>
    </row>
    <row r="146" spans="1:22" s="6" customFormat="1" ht="18" hidden="1" customHeight="1">
      <c r="A146" s="15" t="s">
        <v>22</v>
      </c>
      <c r="B146" s="15">
        <v>2013</v>
      </c>
      <c r="C146" s="15" t="s">
        <v>85</v>
      </c>
      <c r="D146" s="178">
        <v>2277</v>
      </c>
      <c r="E146" s="178">
        <f>D146/0.752945122701996</f>
        <v>3024.1247752941504</v>
      </c>
      <c r="F146" s="194"/>
      <c r="G146" s="182"/>
      <c r="H146" s="182"/>
      <c r="I146" s="182"/>
      <c r="J146" s="182"/>
      <c r="K146" s="182"/>
      <c r="L146" s="182"/>
      <c r="M146" s="182"/>
      <c r="N146" s="182"/>
      <c r="V146" s="27"/>
    </row>
    <row r="147" spans="1:22" s="6" customFormat="1" ht="18" hidden="1" customHeight="1">
      <c r="A147" s="9" t="s">
        <v>26</v>
      </c>
      <c r="B147" s="12">
        <v>2018</v>
      </c>
      <c r="C147" s="15" t="s">
        <v>85</v>
      </c>
      <c r="D147" s="178">
        <v>3258</v>
      </c>
      <c r="E147" s="178">
        <f>D147/0.846772667108111</f>
        <v>3847.5497929411049</v>
      </c>
      <c r="F147" s="195"/>
      <c r="Q147" s="204"/>
      <c r="V147" s="14" t="s">
        <v>86</v>
      </c>
    </row>
    <row r="148" spans="1:22" s="6" customFormat="1" ht="18" hidden="1" customHeight="1">
      <c r="A148" s="9" t="s">
        <v>26</v>
      </c>
      <c r="B148" s="12">
        <v>2019</v>
      </c>
      <c r="C148" s="15" t="s">
        <v>85</v>
      </c>
      <c r="D148" s="178">
        <v>3445</v>
      </c>
      <c r="E148" s="178">
        <f>D148/0.893276257067409</f>
        <v>3856.5896862744344</v>
      </c>
      <c r="Q148" s="204"/>
      <c r="V148" s="14" t="s">
        <v>86</v>
      </c>
    </row>
    <row r="149" spans="1:22" s="6" customFormat="1" ht="18" hidden="1" customHeight="1">
      <c r="A149" s="9" t="s">
        <v>26</v>
      </c>
      <c r="B149" s="12">
        <v>2020</v>
      </c>
      <c r="C149" s="15" t="s">
        <v>85</v>
      </c>
      <c r="D149" s="178">
        <v>3892</v>
      </c>
      <c r="E149" s="178">
        <f>D149/0.875506396987998</f>
        <v>4445.4272560310646</v>
      </c>
      <c r="Q149" s="204"/>
      <c r="V149" s="14" t="s">
        <v>86</v>
      </c>
    </row>
    <row r="150" spans="1:22" s="6" customFormat="1" ht="18" hidden="1" customHeight="1">
      <c r="A150" s="9" t="s">
        <v>26</v>
      </c>
      <c r="B150" s="12">
        <v>2021</v>
      </c>
      <c r="C150" s="15" t="s">
        <v>85</v>
      </c>
      <c r="D150" s="178">
        <v>4952</v>
      </c>
      <c r="E150" s="178">
        <f>D150/0.84549413889045</f>
        <v>5856.9300155037818</v>
      </c>
      <c r="F150" s="205"/>
      <c r="G150" s="195"/>
      <c r="H150" s="195"/>
      <c r="I150" s="205"/>
      <c r="J150" s="205"/>
      <c r="K150" s="195"/>
      <c r="L150" s="195"/>
      <c r="M150" s="195"/>
      <c r="N150" s="195"/>
      <c r="V150" s="14" t="s">
        <v>86</v>
      </c>
    </row>
    <row r="151" spans="1:22" s="6" customFormat="1" ht="18" hidden="1" customHeight="1">
      <c r="A151" s="9" t="s">
        <v>26</v>
      </c>
      <c r="B151" s="12">
        <v>2022</v>
      </c>
      <c r="C151" s="15" t="s">
        <v>85</v>
      </c>
      <c r="D151" s="178">
        <v>5207</v>
      </c>
      <c r="E151" s="178">
        <f>D151/0.949623753156941</f>
        <v>5483.2242587548853</v>
      </c>
      <c r="F151" s="205"/>
      <c r="G151" s="195"/>
      <c r="H151" s="195"/>
      <c r="I151" s="205"/>
      <c r="J151" s="205"/>
      <c r="K151" s="195"/>
      <c r="L151" s="195"/>
      <c r="M151" s="195"/>
      <c r="N151" s="195"/>
      <c r="V151" s="14" t="s">
        <v>86</v>
      </c>
    </row>
    <row r="152" spans="1:22" s="6" customFormat="1" ht="18" hidden="1" customHeight="1">
      <c r="A152" s="9" t="s">
        <v>26</v>
      </c>
      <c r="B152" s="12">
        <v>2023</v>
      </c>
      <c r="C152" s="15" t="s">
        <v>85</v>
      </c>
      <c r="D152" s="178">
        <v>5495</v>
      </c>
      <c r="E152" s="178">
        <f>D152/0.924839558470698</f>
        <v>5941.5711078432423</v>
      </c>
      <c r="F152"/>
      <c r="G152" s="195"/>
      <c r="H152" s="195"/>
      <c r="I152"/>
      <c r="J152"/>
      <c r="K152" s="195"/>
      <c r="L152" s="195"/>
      <c r="M152" s="195"/>
      <c r="N152" s="195"/>
      <c r="V152" s="14" t="s">
        <v>86</v>
      </c>
    </row>
    <row r="153" spans="1:22" s="6" customFormat="1" ht="18" hidden="1" customHeight="1">
      <c r="A153" s="15" t="s">
        <v>22</v>
      </c>
      <c r="B153" s="15">
        <v>2000</v>
      </c>
      <c r="C153" s="12" t="s">
        <v>87</v>
      </c>
      <c r="D153" s="178">
        <v>300</v>
      </c>
      <c r="E153" s="178">
        <f>D153/1.08270508132602</f>
        <v>277.08376470588041</v>
      </c>
      <c r="F153" s="5"/>
      <c r="V153" s="27"/>
    </row>
    <row r="154" spans="1:22" s="6" customFormat="1" ht="18" hidden="1" customHeight="1">
      <c r="A154" s="15" t="s">
        <v>22</v>
      </c>
      <c r="B154" s="15">
        <v>2004</v>
      </c>
      <c r="C154" s="12" t="s">
        <v>87</v>
      </c>
      <c r="D154" s="178">
        <v>385</v>
      </c>
      <c r="E154" s="178">
        <f>D154/0.803921647747618</f>
        <v>478.90239189188543</v>
      </c>
      <c r="F154" s="180"/>
      <c r="V154" s="27"/>
    </row>
    <row r="155" spans="1:22" s="6" customFormat="1" ht="18" hidden="1" customHeight="1">
      <c r="A155" s="15" t="s">
        <v>22</v>
      </c>
      <c r="B155" s="15">
        <v>2008</v>
      </c>
      <c r="C155" s="12" t="s">
        <v>87</v>
      </c>
      <c r="D155" s="178">
        <v>655</v>
      </c>
      <c r="E155" s="178">
        <f>D155/0.679922680042729</f>
        <v>963.34483203124978</v>
      </c>
      <c r="F155" s="180"/>
      <c r="V155" s="27"/>
    </row>
    <row r="156" spans="1:22" s="6" customFormat="1" ht="18" hidden="1" customHeight="1">
      <c r="A156" s="15" t="s">
        <v>22</v>
      </c>
      <c r="B156" s="15">
        <v>2010</v>
      </c>
      <c r="C156" s="12" t="s">
        <v>87</v>
      </c>
      <c r="D156" s="178">
        <v>1080</v>
      </c>
      <c r="E156" s="178">
        <f>D156/0.754308990105961</f>
        <v>1431.7740000000369</v>
      </c>
      <c r="F156" s="180"/>
      <c r="V156" s="27"/>
    </row>
    <row r="157" spans="1:22" s="6" customFormat="1" ht="18" customHeight="1">
      <c r="A157" s="9" t="s">
        <v>26</v>
      </c>
      <c r="B157" s="12">
        <v>2019</v>
      </c>
      <c r="C157" s="15" t="s">
        <v>88</v>
      </c>
      <c r="D157" s="188">
        <v>1829.11</v>
      </c>
      <c r="E157" s="178">
        <f>D157/0.893276257067409</f>
        <v>2047.6420206274108</v>
      </c>
      <c r="I157" s="7"/>
      <c r="J157" s="7"/>
      <c r="K157" s="185"/>
      <c r="L157" s="185"/>
      <c r="M157" s="185"/>
      <c r="V157" s="14" t="s">
        <v>89</v>
      </c>
    </row>
    <row r="158" spans="1:22" s="6" customFormat="1" ht="18" customHeight="1">
      <c r="A158" s="9" t="s">
        <v>26</v>
      </c>
      <c r="B158" s="12">
        <v>2020</v>
      </c>
      <c r="C158" s="15" t="s">
        <v>88</v>
      </c>
      <c r="D158" s="188">
        <v>2908.8</v>
      </c>
      <c r="E158" s="178">
        <f>D158/0.875506396987998</f>
        <v>3322.4200417120146</v>
      </c>
      <c r="F158" s="7"/>
      <c r="I158" s="7"/>
      <c r="J158" s="7"/>
      <c r="K158" s="184"/>
      <c r="L158" s="184"/>
      <c r="M158" s="184"/>
      <c r="V158" s="14" t="s">
        <v>89</v>
      </c>
    </row>
    <row r="159" spans="1:22" s="6" customFormat="1" ht="18" customHeight="1">
      <c r="A159" s="9" t="s">
        <v>26</v>
      </c>
      <c r="B159" s="12">
        <v>2021</v>
      </c>
      <c r="C159" s="15" t="s">
        <v>88</v>
      </c>
      <c r="D159" s="188">
        <v>2874.86</v>
      </c>
      <c r="E159" s="178">
        <f>D159/0.84549413889045</f>
        <v>3400.2128078294027</v>
      </c>
      <c r="F159" s="7"/>
      <c r="I159" s="7"/>
      <c r="J159" s="7"/>
      <c r="K159" s="184"/>
      <c r="L159" s="184"/>
      <c r="M159" s="184"/>
      <c r="V159" s="14" t="s">
        <v>89</v>
      </c>
    </row>
    <row r="160" spans="1:22" s="6" customFormat="1" ht="18" customHeight="1">
      <c r="A160" s="9" t="s">
        <v>26</v>
      </c>
      <c r="B160" s="12">
        <v>2022</v>
      </c>
      <c r="C160" s="15" t="s">
        <v>88</v>
      </c>
      <c r="D160" s="178">
        <v>1856</v>
      </c>
      <c r="E160" s="178">
        <f>D160/0.949623753156941</f>
        <v>1954.4582723735484</v>
      </c>
      <c r="F160" s="7"/>
      <c r="I160" s="7"/>
      <c r="J160" s="7"/>
      <c r="K160" s="184"/>
      <c r="L160" s="184"/>
      <c r="M160" s="184"/>
      <c r="V160" s="14" t="s">
        <v>89</v>
      </c>
    </row>
    <row r="161" spans="1:22" s="6" customFormat="1" ht="18" customHeight="1">
      <c r="A161" s="9" t="s">
        <v>26</v>
      </c>
      <c r="B161" s="12">
        <v>2023</v>
      </c>
      <c r="C161" s="15" t="s">
        <v>88</v>
      </c>
      <c r="D161" s="188">
        <v>1558</v>
      </c>
      <c r="E161" s="178">
        <f>D161/0.924839558470698</f>
        <v>1684.6165215686572</v>
      </c>
      <c r="F161" s="7"/>
      <c r="I161" s="7"/>
      <c r="J161" s="7"/>
      <c r="K161" s="184"/>
      <c r="L161" s="184"/>
      <c r="M161" s="184"/>
      <c r="V161" s="14" t="s">
        <v>89</v>
      </c>
    </row>
    <row r="162" spans="1:22" s="6" customFormat="1" ht="18" hidden="1" customHeight="1">
      <c r="A162" s="9" t="s">
        <v>26</v>
      </c>
      <c r="B162" s="12">
        <v>2018</v>
      </c>
      <c r="C162" s="15" t="s">
        <v>90</v>
      </c>
      <c r="D162" s="178">
        <v>1609</v>
      </c>
      <c r="E162" s="178">
        <f>D162/0.846772667108111</f>
        <v>1900.1558062744746</v>
      </c>
      <c r="F162" s="195"/>
      <c r="G162" s="186"/>
      <c r="H162" s="186"/>
      <c r="I162" s="7"/>
      <c r="J162" s="186"/>
      <c r="K162" s="186"/>
      <c r="L162" s="186"/>
      <c r="M162" s="186"/>
      <c r="N162" s="7"/>
      <c r="O162" s="7"/>
      <c r="P162" s="10"/>
      <c r="Q162" s="7"/>
      <c r="R162" s="7"/>
      <c r="S162" s="10"/>
      <c r="T162" s="7"/>
      <c r="U162" s="7"/>
      <c r="V162" s="14" t="s">
        <v>91</v>
      </c>
    </row>
    <row r="163" spans="1:22" s="6" customFormat="1" ht="18" hidden="1" customHeight="1">
      <c r="A163" s="9" t="s">
        <v>26</v>
      </c>
      <c r="B163" s="12">
        <v>2019</v>
      </c>
      <c r="C163" s="15" t="s">
        <v>90</v>
      </c>
      <c r="D163" s="178">
        <v>1700</v>
      </c>
      <c r="E163" s="178">
        <f>D163/0.893276257067409</f>
        <v>1903.1066666666295</v>
      </c>
      <c r="F163" s="195"/>
      <c r="G163" s="186"/>
      <c r="H163" s="186"/>
      <c r="I163" s="7"/>
      <c r="J163" s="186"/>
      <c r="K163" s="186"/>
      <c r="L163" s="186"/>
      <c r="M163" s="186"/>
      <c r="N163" s="7"/>
      <c r="O163" s="7"/>
      <c r="P163" s="10"/>
      <c r="Q163" s="7"/>
      <c r="R163" s="7"/>
      <c r="S163" s="10"/>
      <c r="T163" s="7"/>
      <c r="U163" s="7"/>
      <c r="V163" s="14" t="s">
        <v>91</v>
      </c>
    </row>
    <row r="164" spans="1:22" s="6" customFormat="1" ht="18" hidden="1" customHeight="1">
      <c r="A164" s="9" t="s">
        <v>26</v>
      </c>
      <c r="B164" s="12">
        <v>2020</v>
      </c>
      <c r="C164" s="15" t="s">
        <v>90</v>
      </c>
      <c r="D164" s="178">
        <v>1680</v>
      </c>
      <c r="E164" s="178">
        <f>D164/0.875506396987998</f>
        <v>1918.8894630349919</v>
      </c>
      <c r="F164" s="198"/>
      <c r="G164" s="186"/>
      <c r="H164" s="186"/>
      <c r="I164" s="206"/>
      <c r="J164" s="186"/>
      <c r="K164" s="186"/>
      <c r="L164" s="186"/>
      <c r="M164" s="186"/>
      <c r="N164" s="206"/>
      <c r="P164" s="10"/>
      <c r="S164" s="10"/>
      <c r="V164" s="14" t="s">
        <v>91</v>
      </c>
    </row>
    <row r="165" spans="1:22" s="6" customFormat="1" ht="18" hidden="1" customHeight="1">
      <c r="A165" s="9" t="s">
        <v>26</v>
      </c>
      <c r="B165" s="12">
        <v>2021</v>
      </c>
      <c r="C165" s="15" t="s">
        <v>90</v>
      </c>
      <c r="D165" s="178">
        <v>2074</v>
      </c>
      <c r="E165" s="178">
        <f>D165/0.84549413889045</f>
        <v>2453.0034031007358</v>
      </c>
      <c r="F165" s="198"/>
      <c r="G165" s="186"/>
      <c r="H165" s="186"/>
      <c r="I165" s="182"/>
      <c r="J165" s="186"/>
      <c r="K165" s="186"/>
      <c r="L165" s="186"/>
      <c r="M165" s="186"/>
      <c r="N165" s="182"/>
      <c r="P165" s="10"/>
      <c r="S165" s="10"/>
      <c r="V165" s="14" t="s">
        <v>91</v>
      </c>
    </row>
    <row r="166" spans="1:22" s="6" customFormat="1" ht="18" hidden="1" customHeight="1">
      <c r="A166" s="9" t="s">
        <v>26</v>
      </c>
      <c r="B166" s="12">
        <v>2022</v>
      </c>
      <c r="C166" s="15" t="s">
        <v>90</v>
      </c>
      <c r="D166" s="178">
        <v>2096</v>
      </c>
      <c r="E166" s="178">
        <f>D166/0.949623753156941</f>
        <v>2207.1899455253006</v>
      </c>
      <c r="F166" s="195"/>
      <c r="P166" s="204"/>
      <c r="Q166" s="204"/>
      <c r="V166" s="14" t="s">
        <v>91</v>
      </c>
    </row>
    <row r="167" spans="1:22" s="6" customFormat="1" ht="18" hidden="1" customHeight="1">
      <c r="A167" s="9" t="s">
        <v>26</v>
      </c>
      <c r="B167" s="12">
        <v>2023</v>
      </c>
      <c r="C167" s="15" t="s">
        <v>90</v>
      </c>
      <c r="D167" s="178">
        <v>2229</v>
      </c>
      <c r="E167" s="178">
        <f>D167/0.924839558470698</f>
        <v>2410.147770588278</v>
      </c>
      <c r="F167" s="195"/>
      <c r="P167" s="204"/>
      <c r="Q167" s="204"/>
      <c r="V167" s="14" t="s">
        <v>91</v>
      </c>
    </row>
    <row r="168" spans="1:22" s="6" customFormat="1" ht="18" hidden="1" customHeight="1">
      <c r="A168" s="15" t="s">
        <v>22</v>
      </c>
      <c r="B168" s="24">
        <v>1984</v>
      </c>
      <c r="C168" s="207" t="s">
        <v>92</v>
      </c>
      <c r="D168" s="178">
        <v>1112</v>
      </c>
      <c r="E168" s="178">
        <f>D168/2.8</f>
        <v>397.14285714285717</v>
      </c>
      <c r="F168" s="3"/>
      <c r="G168" s="3"/>
      <c r="H168" s="3"/>
      <c r="I168" s="3"/>
      <c r="J168" s="3"/>
      <c r="K168" s="3"/>
      <c r="L168" s="3"/>
      <c r="M168" s="3"/>
      <c r="N168" s="3"/>
      <c r="O168" s="3"/>
      <c r="P168" s="3"/>
      <c r="Q168" s="3"/>
      <c r="R168" s="3"/>
      <c r="S168" s="3"/>
      <c r="T168" s="3"/>
      <c r="U168" s="3"/>
      <c r="V168" s="27"/>
    </row>
    <row r="169" spans="1:22" s="6" customFormat="1" ht="18" hidden="1" customHeight="1">
      <c r="A169" s="15" t="s">
        <v>22</v>
      </c>
      <c r="B169" s="24">
        <v>1989</v>
      </c>
      <c r="C169" s="207" t="s">
        <v>92</v>
      </c>
      <c r="D169" s="178">
        <v>1245</v>
      </c>
      <c r="E169" s="178">
        <f>D169/1.756225</f>
        <v>708.90688835428261</v>
      </c>
      <c r="F169" s="3"/>
      <c r="G169" s="3"/>
      <c r="H169" s="3"/>
      <c r="I169" s="3"/>
      <c r="J169" s="3"/>
      <c r="K169" s="3"/>
      <c r="L169" s="3"/>
      <c r="M169" s="3"/>
      <c r="N169" s="3"/>
      <c r="O169" s="3"/>
      <c r="P169" s="3"/>
      <c r="Q169" s="3"/>
      <c r="R169" s="3"/>
      <c r="S169" s="3"/>
      <c r="T169" s="3"/>
      <c r="U169" s="3"/>
      <c r="V169" s="27"/>
    </row>
    <row r="170" spans="1:22" s="6" customFormat="1" ht="18" hidden="1" customHeight="1">
      <c r="A170" s="15" t="s">
        <v>22</v>
      </c>
      <c r="B170" s="24">
        <v>1992</v>
      </c>
      <c r="C170" s="207" t="s">
        <v>92</v>
      </c>
      <c r="D170" s="178">
        <v>1632</v>
      </c>
      <c r="E170" s="178">
        <f>D170/1.56165</f>
        <v>1045.0485063874748</v>
      </c>
      <c r="F170" s="3"/>
      <c r="G170" s="3"/>
      <c r="H170" s="3"/>
      <c r="I170" s="3"/>
      <c r="J170" s="3"/>
      <c r="K170" s="3"/>
      <c r="L170" s="3"/>
      <c r="M170" s="3"/>
      <c r="N170" s="3"/>
      <c r="O170" s="3"/>
      <c r="P170" s="3"/>
      <c r="Q170" s="3"/>
      <c r="R170" s="3"/>
      <c r="S170" s="3"/>
      <c r="T170" s="3"/>
      <c r="U170" s="3"/>
      <c r="V170" s="27"/>
    </row>
    <row r="171" spans="1:22" s="6" customFormat="1" ht="18" hidden="1" customHeight="1">
      <c r="A171" s="15" t="s">
        <v>22</v>
      </c>
      <c r="B171" s="24">
        <v>1996</v>
      </c>
      <c r="C171" s="207" t="s">
        <v>92</v>
      </c>
      <c r="D171" s="178">
        <v>1815</v>
      </c>
      <c r="E171" s="178">
        <f>D171/1.50477416666667</f>
        <v>1206.161057390115</v>
      </c>
      <c r="F171" s="3"/>
      <c r="G171" s="3"/>
      <c r="H171" s="3"/>
      <c r="I171" s="3"/>
      <c r="J171" s="3"/>
      <c r="K171" s="3"/>
      <c r="L171" s="3"/>
      <c r="M171" s="3"/>
      <c r="N171" s="3"/>
      <c r="O171" s="3"/>
      <c r="P171" s="3"/>
      <c r="Q171" s="3"/>
      <c r="R171" s="3"/>
      <c r="S171" s="3"/>
      <c r="T171" s="3"/>
      <c r="U171" s="3"/>
      <c r="V171" s="27"/>
    </row>
    <row r="172" spans="1:22" s="6" customFormat="1" ht="18" hidden="1" customHeight="1">
      <c r="A172" s="15" t="s">
        <v>22</v>
      </c>
      <c r="B172" s="24">
        <v>2000</v>
      </c>
      <c r="C172" s="207" t="s">
        <v>92</v>
      </c>
      <c r="D172" s="178">
        <v>2127</v>
      </c>
      <c r="E172" s="178">
        <f>D172/1.08270508132602</f>
        <v>1964.5238917646921</v>
      </c>
      <c r="F172" s="3"/>
      <c r="G172" s="3"/>
      <c r="H172" s="3"/>
      <c r="I172" s="3"/>
      <c r="J172" s="3"/>
      <c r="K172" s="3"/>
      <c r="L172" s="3"/>
      <c r="M172" s="3"/>
      <c r="N172" s="3"/>
      <c r="O172" s="3"/>
      <c r="P172" s="3"/>
      <c r="Q172" s="3"/>
      <c r="R172" s="3"/>
      <c r="S172" s="3"/>
      <c r="T172" s="3"/>
      <c r="U172" s="3"/>
      <c r="V172" s="27"/>
    </row>
    <row r="173" spans="1:22" s="6" customFormat="1" ht="18" hidden="1" customHeight="1">
      <c r="A173" s="15" t="s">
        <v>22</v>
      </c>
      <c r="B173" s="24">
        <v>2004</v>
      </c>
      <c r="C173" s="207" t="s">
        <v>92</v>
      </c>
      <c r="D173" s="178">
        <v>2639</v>
      </c>
      <c r="E173" s="178">
        <f>D173/0.803921647747618</f>
        <v>3282.658213513469</v>
      </c>
      <c r="F173" s="3"/>
      <c r="G173" s="3"/>
      <c r="H173" s="3"/>
      <c r="I173" s="3"/>
      <c r="J173" s="3"/>
      <c r="K173" s="3"/>
      <c r="L173" s="3"/>
      <c r="M173" s="3"/>
      <c r="N173" s="3"/>
      <c r="O173" s="3"/>
      <c r="P173" s="3"/>
      <c r="Q173" s="3"/>
      <c r="R173" s="3"/>
      <c r="S173" s="3"/>
      <c r="T173" s="3"/>
      <c r="U173" s="3"/>
      <c r="V173" s="27"/>
    </row>
    <row r="174" spans="1:22" s="6" customFormat="1" ht="18" hidden="1" customHeight="1">
      <c r="A174" s="15" t="s">
        <v>22</v>
      </c>
      <c r="B174" s="24">
        <v>2008</v>
      </c>
      <c r="C174" s="207" t="s">
        <v>92</v>
      </c>
      <c r="D174" s="178">
        <v>2356</v>
      </c>
      <c r="E174" s="178">
        <f>D174/0.679922680042729</f>
        <v>3465.0998843749994</v>
      </c>
      <c r="F174" s="5"/>
      <c r="V174" s="27"/>
    </row>
    <row r="175" spans="1:22" s="6" customFormat="1" ht="18" hidden="1" customHeight="1">
      <c r="A175" s="15" t="s">
        <v>22</v>
      </c>
      <c r="B175" s="24">
        <v>2010</v>
      </c>
      <c r="C175" s="207" t="s">
        <v>92</v>
      </c>
      <c r="D175" s="178">
        <v>2807</v>
      </c>
      <c r="E175" s="178">
        <f>D175/0.754308990105961</f>
        <v>3721.2866833334292</v>
      </c>
      <c r="F175" s="5"/>
      <c r="V175" s="27"/>
    </row>
    <row r="176" spans="1:22" s="6" customFormat="1" ht="18" hidden="1" customHeight="1">
      <c r="A176" s="9" t="s">
        <v>26</v>
      </c>
      <c r="B176" s="15">
        <v>2011</v>
      </c>
      <c r="C176" s="15" t="s">
        <v>93</v>
      </c>
      <c r="D176" s="178">
        <v>3855.1</v>
      </c>
      <c r="E176" s="178">
        <f>D176/0.718413898653317</f>
        <v>5366.1266955253395</v>
      </c>
      <c r="G176" s="182"/>
      <c r="H176" s="182"/>
      <c r="I176" s="182"/>
      <c r="J176" s="182"/>
      <c r="K176" s="7"/>
      <c r="L176" s="7"/>
      <c r="M176" s="7"/>
      <c r="N176" s="182"/>
      <c r="T176" s="7"/>
      <c r="U176" s="7"/>
      <c r="V176" s="14" t="s">
        <v>94</v>
      </c>
    </row>
    <row r="177" spans="1:22" s="6" customFormat="1" ht="18" hidden="1" customHeight="1">
      <c r="A177" s="9" t="s">
        <v>26</v>
      </c>
      <c r="B177" s="15">
        <v>2012</v>
      </c>
      <c r="C177" s="15" t="s">
        <v>93</v>
      </c>
      <c r="D177" s="178">
        <v>4259.87</v>
      </c>
      <c r="E177" s="178">
        <f>D177/0.778338120416812</f>
        <v>5473.0327196601575</v>
      </c>
      <c r="G177" s="182"/>
      <c r="H177" s="182"/>
      <c r="I177" s="182"/>
      <c r="J177" s="182"/>
      <c r="K177" s="7"/>
      <c r="L177" s="7"/>
      <c r="M177" s="7"/>
      <c r="N177" s="182"/>
      <c r="T177" s="7"/>
      <c r="U177" s="7"/>
      <c r="V177" s="14" t="s">
        <v>94</v>
      </c>
    </row>
    <row r="178" spans="1:22" s="6" customFormat="1" ht="18" hidden="1" customHeight="1">
      <c r="A178" s="9" t="s">
        <v>26</v>
      </c>
      <c r="B178" s="15">
        <v>2013</v>
      </c>
      <c r="C178" s="15" t="s">
        <v>93</v>
      </c>
      <c r="D178" s="178">
        <v>4685.8599999999997</v>
      </c>
      <c r="E178" s="178">
        <f>D178/0.752945122701996</f>
        <v>6223.3751952392822</v>
      </c>
      <c r="G178" s="182"/>
      <c r="H178" s="182"/>
      <c r="I178" s="182"/>
      <c r="J178" s="182"/>
      <c r="K178" s="7"/>
      <c r="L178" s="7"/>
      <c r="M178" s="7"/>
      <c r="N178" s="182"/>
      <c r="T178" s="7"/>
      <c r="U178" s="7"/>
      <c r="V178" s="14" t="s">
        <v>94</v>
      </c>
    </row>
    <row r="179" spans="1:22" s="6" customFormat="1" ht="18" hidden="1" customHeight="1">
      <c r="A179" s="9" t="s">
        <v>26</v>
      </c>
      <c r="B179" s="15">
        <v>2014</v>
      </c>
      <c r="C179" s="15" t="s">
        <v>93</v>
      </c>
      <c r="D179" s="178">
        <v>5107.59</v>
      </c>
      <c r="E179" s="178">
        <f>D179/0.752728196932603</f>
        <v>6785.4373209528094</v>
      </c>
      <c r="G179" s="182"/>
      <c r="H179" s="182"/>
      <c r="I179" s="182"/>
      <c r="J179" s="182"/>
      <c r="K179" s="7"/>
      <c r="L179" s="7"/>
      <c r="M179" s="7"/>
      <c r="N179" s="182"/>
      <c r="T179" s="7"/>
      <c r="U179" s="7"/>
      <c r="V179" s="14" t="s">
        <v>94</v>
      </c>
    </row>
    <row r="180" spans="1:22" s="6" customFormat="1" ht="18" hidden="1" customHeight="1">
      <c r="A180" s="9" t="s">
        <v>26</v>
      </c>
      <c r="B180" s="15">
        <v>2015</v>
      </c>
      <c r="C180" s="15" t="s">
        <v>93</v>
      </c>
      <c r="D180" s="178">
        <v>5414.04</v>
      </c>
      <c r="E180" s="178">
        <f>D180/0.901296423367096</f>
        <v>6006.9471703593717</v>
      </c>
      <c r="G180" s="182"/>
      <c r="H180" s="182"/>
      <c r="I180" s="182"/>
      <c r="J180" s="182"/>
      <c r="K180" s="7"/>
      <c r="L180" s="7"/>
      <c r="M180" s="7"/>
      <c r="N180" s="182"/>
      <c r="T180" s="7"/>
      <c r="U180" s="7"/>
      <c r="V180" s="14" t="s">
        <v>94</v>
      </c>
    </row>
    <row r="181" spans="1:22" s="6" customFormat="1" ht="18" hidden="1" customHeight="1">
      <c r="A181" s="9" t="s">
        <v>26</v>
      </c>
      <c r="B181" s="15">
        <v>2016</v>
      </c>
      <c r="C181" s="15" t="s">
        <v>93</v>
      </c>
      <c r="D181" s="178">
        <v>5700.92</v>
      </c>
      <c r="E181" s="178">
        <f>D181/0.903421436257263</f>
        <v>6310.3660940546652</v>
      </c>
      <c r="G181" s="182"/>
      <c r="H181" s="182"/>
      <c r="I181" s="182"/>
      <c r="J181" s="182"/>
      <c r="K181" s="7"/>
      <c r="L181" s="7"/>
      <c r="M181" s="7"/>
      <c r="N181" s="182"/>
      <c r="T181" s="7"/>
      <c r="U181" s="7"/>
      <c r="V181" s="14" t="s">
        <v>94</v>
      </c>
    </row>
    <row r="182" spans="1:22" s="6" customFormat="1" ht="18" hidden="1" customHeight="1">
      <c r="A182" s="9" t="s">
        <v>26</v>
      </c>
      <c r="B182" s="15">
        <v>2017</v>
      </c>
      <c r="C182" s="15" t="s">
        <v>93</v>
      </c>
      <c r="D182" s="178">
        <v>6425.01</v>
      </c>
      <c r="E182" s="178">
        <f>D182/0.885205508269372</f>
        <v>7258.2128556353728</v>
      </c>
      <c r="G182" s="182"/>
      <c r="H182" s="182"/>
      <c r="I182" s="182"/>
      <c r="J182" s="182"/>
      <c r="K182" s="7"/>
      <c r="L182" s="7"/>
      <c r="M182" s="7"/>
      <c r="N182" s="182"/>
      <c r="T182" s="7"/>
      <c r="U182" s="7"/>
      <c r="V182" s="14" t="s">
        <v>94</v>
      </c>
    </row>
    <row r="183" spans="1:22" s="6" customFormat="1" ht="18" hidden="1" customHeight="1">
      <c r="A183" s="9" t="s">
        <v>26</v>
      </c>
      <c r="B183" s="15">
        <v>2018</v>
      </c>
      <c r="C183" s="15" t="s">
        <v>93</v>
      </c>
      <c r="D183" s="178">
        <v>7170.32</v>
      </c>
      <c r="E183" s="178">
        <f>D183/0.846772667108111</f>
        <v>8467.8217407370976</v>
      </c>
      <c r="G183" s="182"/>
      <c r="H183" s="182"/>
      <c r="I183" s="182"/>
      <c r="J183" s="182"/>
      <c r="K183" s="7"/>
      <c r="L183" s="7"/>
      <c r="M183" s="7"/>
      <c r="N183" s="182"/>
      <c r="T183" s="7"/>
      <c r="U183" s="7"/>
      <c r="V183" s="14" t="s">
        <v>94</v>
      </c>
    </row>
    <row r="184" spans="1:22" s="6" customFormat="1" ht="18" hidden="1" customHeight="1">
      <c r="A184" s="9" t="s">
        <v>26</v>
      </c>
      <c r="B184" s="15">
        <v>2019</v>
      </c>
      <c r="C184" s="15" t="s">
        <v>93</v>
      </c>
      <c r="D184" s="178">
        <v>7923.2</v>
      </c>
      <c r="E184" s="178">
        <f>D184/0.893276257067409</f>
        <v>8869.8204360782584</v>
      </c>
      <c r="I184" s="7"/>
      <c r="J184" s="7"/>
      <c r="K184" s="185"/>
      <c r="L184" s="185"/>
      <c r="M184" s="185"/>
      <c r="V184" s="14" t="s">
        <v>94</v>
      </c>
    </row>
    <row r="185" spans="1:22" s="6" customFormat="1" ht="18" hidden="1" customHeight="1">
      <c r="A185" s="9" t="s">
        <v>26</v>
      </c>
      <c r="B185" s="15">
        <v>2020</v>
      </c>
      <c r="C185" s="15" t="s">
        <v>93</v>
      </c>
      <c r="D185" s="178">
        <v>8794.75</v>
      </c>
      <c r="E185" s="178">
        <f>D185/0.875506396987998</f>
        <v>10045.329229182735</v>
      </c>
      <c r="I185" s="7"/>
      <c r="J185" s="7"/>
      <c r="K185" s="185"/>
      <c r="L185" s="185"/>
      <c r="M185" s="185"/>
      <c r="V185" s="14" t="s">
        <v>94</v>
      </c>
    </row>
    <row r="186" spans="1:22" s="6" customFormat="1" ht="18" hidden="1" customHeight="1">
      <c r="A186" s="9" t="s">
        <v>26</v>
      </c>
      <c r="B186" s="26">
        <v>2021</v>
      </c>
      <c r="C186" s="15" t="s">
        <v>93</v>
      </c>
      <c r="D186" s="208">
        <v>11213.31</v>
      </c>
      <c r="E186" s="178">
        <f>D186/0.84549413889045</f>
        <v>13262.433746395136</v>
      </c>
      <c r="I186" s="7"/>
      <c r="J186" s="7"/>
      <c r="K186" s="185"/>
      <c r="L186" s="185"/>
      <c r="M186" s="185"/>
      <c r="V186" s="14" t="s">
        <v>94</v>
      </c>
    </row>
    <row r="187" spans="1:22" s="6" customFormat="1" ht="18" hidden="1" customHeight="1">
      <c r="A187" s="9" t="s">
        <v>26</v>
      </c>
      <c r="B187" s="26">
        <v>2022</v>
      </c>
      <c r="C187" s="15" t="s">
        <v>93</v>
      </c>
      <c r="D187" s="208">
        <v>11437.58</v>
      </c>
      <c r="E187" s="178">
        <f>D187/0.949623753156941</f>
        <v>12044.328042529231</v>
      </c>
      <c r="I187" s="7"/>
      <c r="J187" s="7"/>
      <c r="K187" s="185"/>
      <c r="L187" s="185"/>
      <c r="M187" s="185"/>
      <c r="V187" s="14" t="s">
        <v>94</v>
      </c>
    </row>
    <row r="188" spans="1:22" s="6" customFormat="1" ht="18" hidden="1" customHeight="1">
      <c r="A188" s="9" t="s">
        <v>26</v>
      </c>
      <c r="B188" s="26">
        <v>2023</v>
      </c>
      <c r="C188" s="15" t="s">
        <v>93</v>
      </c>
      <c r="D188" s="208">
        <v>12707.15</v>
      </c>
      <c r="E188" s="178">
        <f>D188/0.924839558470698</f>
        <v>13739.842639313967</v>
      </c>
      <c r="I188" s="7"/>
      <c r="J188" s="7"/>
      <c r="K188" s="185"/>
      <c r="L188" s="185"/>
      <c r="M188" s="185"/>
      <c r="V188" s="14" t="s">
        <v>94</v>
      </c>
    </row>
    <row r="189" spans="1:22" s="6" customFormat="1" ht="18" hidden="1" customHeight="1">
      <c r="A189" s="9" t="s">
        <v>24</v>
      </c>
      <c r="B189" s="15">
        <v>2012</v>
      </c>
      <c r="C189" s="15" t="s">
        <v>95</v>
      </c>
      <c r="D189" s="178">
        <v>3571</v>
      </c>
      <c r="E189" s="178">
        <f>D189/0.778338120416812</f>
        <v>4587.9803472656258</v>
      </c>
      <c r="V189" s="14" t="s">
        <v>96</v>
      </c>
    </row>
    <row r="190" spans="1:22" s="6" customFormat="1" ht="18" hidden="1" customHeight="1">
      <c r="A190" s="9" t="s">
        <v>24</v>
      </c>
      <c r="B190" s="15">
        <v>2013</v>
      </c>
      <c r="C190" s="15" t="s">
        <v>95</v>
      </c>
      <c r="D190" s="178">
        <v>3548</v>
      </c>
      <c r="E190" s="178">
        <f>D190/0.752945122701996</f>
        <v>4712.1628031373057</v>
      </c>
      <c r="V190" s="14" t="s">
        <v>97</v>
      </c>
    </row>
    <row r="191" spans="1:22" s="6" customFormat="1" ht="18" hidden="1" customHeight="1">
      <c r="A191" s="9" t="s">
        <v>24</v>
      </c>
      <c r="B191" s="15">
        <v>2014</v>
      </c>
      <c r="C191" s="15" t="s">
        <v>95</v>
      </c>
      <c r="D191" s="178">
        <v>3541</v>
      </c>
      <c r="E191" s="178">
        <f>D191/0.752728196932603</f>
        <v>4704.22127725481</v>
      </c>
      <c r="V191" s="14" t="s">
        <v>98</v>
      </c>
    </row>
    <row r="192" spans="1:22" s="6" customFormat="1" ht="18" hidden="1" customHeight="1">
      <c r="A192" s="9" t="s">
        <v>24</v>
      </c>
      <c r="B192" s="15">
        <v>2015</v>
      </c>
      <c r="C192" s="15" t="s">
        <v>95</v>
      </c>
      <c r="D192" s="178">
        <v>3476</v>
      </c>
      <c r="E192" s="178">
        <f>D192/0.901296423367096</f>
        <v>3856.6668078124981</v>
      </c>
      <c r="V192" s="14" t="s">
        <v>99</v>
      </c>
    </row>
    <row r="193" spans="1:23" s="6" customFormat="1" ht="18" hidden="1" customHeight="1">
      <c r="A193" s="9" t="s">
        <v>24</v>
      </c>
      <c r="B193" s="15">
        <v>2016</v>
      </c>
      <c r="C193" s="15" t="s">
        <v>95</v>
      </c>
      <c r="D193" s="178">
        <v>3440</v>
      </c>
      <c r="E193" s="178">
        <f>D193/0.903421436257263</f>
        <v>3807.7467081713207</v>
      </c>
      <c r="V193" s="14" t="s">
        <v>100</v>
      </c>
    </row>
    <row r="194" spans="1:23" s="6" customFormat="1" ht="18" hidden="1" customHeight="1">
      <c r="A194" s="9" t="s">
        <v>24</v>
      </c>
      <c r="B194" s="15">
        <v>2017</v>
      </c>
      <c r="C194" s="15" t="s">
        <v>95</v>
      </c>
      <c r="D194" s="178">
        <v>3319</v>
      </c>
      <c r="E194" s="178">
        <f>D194/0.885205508269372</f>
        <v>3749.4118247059228</v>
      </c>
      <c r="V194" s="14" t="s">
        <v>101</v>
      </c>
    </row>
    <row r="195" spans="1:23" s="6" customFormat="1" ht="18" hidden="1" customHeight="1">
      <c r="A195" s="9" t="s">
        <v>24</v>
      </c>
      <c r="B195" s="15">
        <v>2018</v>
      </c>
      <c r="C195" s="15" t="s">
        <v>95</v>
      </c>
      <c r="D195" s="178">
        <v>3196</v>
      </c>
      <c r="E195" s="178">
        <f>D195/0.846772667108111</f>
        <v>3774.3306133332635</v>
      </c>
      <c r="V195" s="14" t="s">
        <v>102</v>
      </c>
    </row>
    <row r="196" spans="1:23" s="6" customFormat="1" ht="18" hidden="1" customHeight="1">
      <c r="A196" s="9" t="s">
        <v>24</v>
      </c>
      <c r="B196" s="15">
        <v>2019</v>
      </c>
      <c r="C196" s="15" t="s">
        <v>95</v>
      </c>
      <c r="D196" s="178">
        <v>3037</v>
      </c>
      <c r="E196" s="178">
        <f>D196/0.893276257067409</f>
        <v>3399.8440862744433</v>
      </c>
      <c r="V196" s="28" t="s">
        <v>103</v>
      </c>
    </row>
    <row r="197" spans="1:23" s="6" customFormat="1" ht="18" hidden="1" customHeight="1">
      <c r="A197" s="9" t="s">
        <v>24</v>
      </c>
      <c r="B197" s="15">
        <v>2020</v>
      </c>
      <c r="C197" s="15" t="s">
        <v>95</v>
      </c>
      <c r="D197" s="178">
        <v>2569</v>
      </c>
      <c r="E197" s="178">
        <f>D197/0.875506396987998</f>
        <v>2934.3018038910086</v>
      </c>
      <c r="V197" s="14" t="s">
        <v>104</v>
      </c>
      <c r="W197" s="7"/>
    </row>
    <row r="198" spans="1:23" s="6" customFormat="1" ht="18" hidden="1" customHeight="1">
      <c r="A198" s="9" t="s">
        <v>24</v>
      </c>
      <c r="B198" s="15">
        <v>2021</v>
      </c>
      <c r="C198" s="15" t="s">
        <v>95</v>
      </c>
      <c r="D198" s="178">
        <v>2610</v>
      </c>
      <c r="E198" s="178">
        <f>D198/0.84549413889045</f>
        <v>3086.9522093022761</v>
      </c>
      <c r="V198" s="14" t="s">
        <v>105</v>
      </c>
    </row>
    <row r="199" spans="1:23" s="6" customFormat="1" ht="18" hidden="1" customHeight="1">
      <c r="A199" s="9" t="s">
        <v>24</v>
      </c>
      <c r="B199" s="15">
        <v>2022</v>
      </c>
      <c r="C199" s="15" t="s">
        <v>95</v>
      </c>
      <c r="D199" s="178">
        <v>2630</v>
      </c>
      <c r="E199" s="178">
        <f>D199/0.949623753156941</f>
        <v>2769.5179182879483</v>
      </c>
      <c r="V199" s="14" t="s">
        <v>104</v>
      </c>
    </row>
    <row r="200" spans="1:23" s="6" customFormat="1" ht="18" hidden="1" customHeight="1">
      <c r="A200" s="9" t="s">
        <v>24</v>
      </c>
      <c r="B200" s="15">
        <v>2023</v>
      </c>
      <c r="C200" s="15" t="s">
        <v>95</v>
      </c>
      <c r="D200" s="178">
        <v>2544</v>
      </c>
      <c r="E200" s="178">
        <f>D200/0.924839558470698</f>
        <v>2750.7473882353429</v>
      </c>
      <c r="V200" s="14" t="s">
        <v>106</v>
      </c>
    </row>
    <row r="201" spans="1:23" s="6" customFormat="1" ht="18" hidden="1" customHeight="1">
      <c r="A201" s="9" t="s">
        <v>26</v>
      </c>
      <c r="B201" s="12">
        <v>2018</v>
      </c>
      <c r="C201" s="15" t="s">
        <v>107</v>
      </c>
      <c r="D201" s="178">
        <v>2081</v>
      </c>
      <c r="E201" s="178">
        <f>D201/0.846772667108111</f>
        <v>2457.5663349019151</v>
      </c>
      <c r="F201" s="195"/>
      <c r="G201" s="10"/>
      <c r="H201" s="10"/>
      <c r="I201" s="7"/>
      <c r="J201" s="10"/>
      <c r="K201" s="10"/>
      <c r="L201" s="10"/>
      <c r="M201" s="10"/>
      <c r="N201" s="7"/>
      <c r="O201" s="7"/>
      <c r="P201" s="10"/>
      <c r="Q201" s="7"/>
      <c r="R201" s="7"/>
      <c r="S201" s="10"/>
      <c r="T201" s="195"/>
      <c r="U201" s="195"/>
      <c r="V201" s="14" t="s">
        <v>108</v>
      </c>
    </row>
    <row r="202" spans="1:23" s="6" customFormat="1" ht="18" hidden="1" customHeight="1">
      <c r="A202" s="9" t="s">
        <v>26</v>
      </c>
      <c r="B202" s="12">
        <v>2019</v>
      </c>
      <c r="C202" s="15" t="s">
        <v>107</v>
      </c>
      <c r="D202" s="270">
        <v>2593</v>
      </c>
      <c r="E202" s="270">
        <f>D202/0.893276257067409</f>
        <v>2902.7974039215119</v>
      </c>
      <c r="F202" s="195"/>
      <c r="G202" s="10"/>
      <c r="H202" s="10"/>
      <c r="I202" s="7"/>
      <c r="J202" s="10"/>
      <c r="K202" s="10"/>
      <c r="L202" s="10"/>
      <c r="M202" s="10"/>
      <c r="N202" s="7"/>
      <c r="O202" s="7"/>
      <c r="P202" s="10"/>
      <c r="Q202" s="7"/>
      <c r="R202" s="7"/>
      <c r="S202" s="10"/>
      <c r="T202" s="195"/>
      <c r="U202" s="195"/>
      <c r="V202" s="14" t="s">
        <v>108</v>
      </c>
    </row>
    <row r="203" spans="1:23" s="6" customFormat="1" ht="18" hidden="1" customHeight="1">
      <c r="A203" s="9" t="s">
        <v>26</v>
      </c>
      <c r="B203" s="12">
        <v>2020</v>
      </c>
      <c r="C203" s="15" t="s">
        <v>107</v>
      </c>
      <c r="D203" s="270">
        <v>3099</v>
      </c>
      <c r="E203" s="270">
        <f>D203/0.875506396987998</f>
        <v>3539.6657416341905</v>
      </c>
      <c r="F203" s="195"/>
      <c r="I203" s="7"/>
      <c r="N203" s="7"/>
      <c r="O203" s="7"/>
      <c r="P203" s="10"/>
      <c r="Q203" s="7"/>
      <c r="R203" s="7"/>
      <c r="S203" s="10"/>
      <c r="T203" s="10"/>
      <c r="U203" s="10"/>
      <c r="V203" s="14" t="s">
        <v>108</v>
      </c>
    </row>
    <row r="204" spans="1:23" s="6" customFormat="1" ht="18" hidden="1" customHeight="1">
      <c r="A204" s="9" t="s">
        <v>26</v>
      </c>
      <c r="B204" s="12">
        <v>2021</v>
      </c>
      <c r="C204" s="15" t="s">
        <v>107</v>
      </c>
      <c r="D204" s="270">
        <v>4031</v>
      </c>
      <c r="E204" s="270">
        <f>D204/0.84549413889045</f>
        <v>4767.6261899224037</v>
      </c>
      <c r="F204" s="195"/>
      <c r="I204" s="7"/>
      <c r="N204" s="7"/>
      <c r="O204" s="7"/>
      <c r="P204" s="10"/>
      <c r="Q204" s="7"/>
      <c r="R204" s="7"/>
      <c r="S204" s="10"/>
      <c r="T204" s="7"/>
      <c r="U204" s="7"/>
      <c r="V204" s="14" t="s">
        <v>108</v>
      </c>
    </row>
    <row r="205" spans="1:23" s="6" customFormat="1" ht="18" hidden="1" customHeight="1">
      <c r="A205" s="9" t="s">
        <v>26</v>
      </c>
      <c r="B205" s="12">
        <v>2022</v>
      </c>
      <c r="C205" s="15" t="s">
        <v>107</v>
      </c>
      <c r="D205" s="270">
        <v>4862</v>
      </c>
      <c r="E205" s="270">
        <f>D205/0.949623753156941</f>
        <v>5119.9224785992419</v>
      </c>
      <c r="F205" s="195"/>
      <c r="G205" s="189"/>
      <c r="H205" s="189"/>
      <c r="I205" s="7"/>
      <c r="J205" s="189"/>
      <c r="K205" s="189"/>
      <c r="L205" s="189"/>
      <c r="M205" s="189"/>
      <c r="N205" s="7"/>
      <c r="O205" s="7"/>
      <c r="P205" s="10"/>
      <c r="Q205" s="7"/>
      <c r="R205" s="7"/>
      <c r="S205" s="10"/>
      <c r="T205" s="7"/>
      <c r="U205" s="7"/>
      <c r="V205" s="14" t="s">
        <v>108</v>
      </c>
    </row>
    <row r="206" spans="1:23" s="6" customFormat="1" ht="18" hidden="1" customHeight="1">
      <c r="A206" s="9" t="s">
        <v>26</v>
      </c>
      <c r="B206" s="12">
        <v>2023</v>
      </c>
      <c r="C206" s="15" t="s">
        <v>107</v>
      </c>
      <c r="D206" s="270">
        <v>4808</v>
      </c>
      <c r="E206" s="270">
        <f>D206/0.924839558470698</f>
        <v>5198.7395607844055</v>
      </c>
      <c r="F206" s="195"/>
      <c r="G206" s="189"/>
      <c r="H206" s="189"/>
      <c r="I206" s="7"/>
      <c r="J206" s="189"/>
      <c r="K206" s="189"/>
      <c r="L206" s="189"/>
      <c r="M206" s="189"/>
      <c r="N206" s="7"/>
      <c r="O206" s="7"/>
      <c r="P206" s="10"/>
      <c r="Q206" s="7"/>
      <c r="R206" s="7"/>
      <c r="S206" s="10"/>
      <c r="T206" s="7"/>
      <c r="U206" s="7"/>
      <c r="V206" s="14" t="s">
        <v>108</v>
      </c>
    </row>
    <row r="207" spans="1:23" s="6" customFormat="1" ht="18" hidden="1" customHeight="1">
      <c r="A207" s="9" t="s">
        <v>26</v>
      </c>
      <c r="B207" s="12">
        <v>2019</v>
      </c>
      <c r="C207" s="15" t="s">
        <v>109</v>
      </c>
      <c r="D207" s="270">
        <v>5838.6</v>
      </c>
      <c r="E207" s="270">
        <f>D207/0.893276257067409</f>
        <v>6536.1638729410497</v>
      </c>
      <c r="F207" s="195"/>
      <c r="G207" s="182"/>
      <c r="H207" s="182"/>
      <c r="I207" s="182"/>
      <c r="J207" s="182"/>
      <c r="K207" s="182"/>
      <c r="L207" s="182"/>
      <c r="M207" s="182"/>
      <c r="N207" s="182"/>
      <c r="V207" s="14" t="s">
        <v>110</v>
      </c>
    </row>
    <row r="208" spans="1:23" s="10" customFormat="1" ht="18" hidden="1" customHeight="1">
      <c r="A208" s="9" t="s">
        <v>26</v>
      </c>
      <c r="B208" s="12">
        <v>2020</v>
      </c>
      <c r="C208" s="15" t="s">
        <v>109</v>
      </c>
      <c r="D208" s="270">
        <v>5969</v>
      </c>
      <c r="E208" s="270">
        <f>D208/0.875506396987998</f>
        <v>6817.7685743189686</v>
      </c>
      <c r="F208" s="7"/>
      <c r="G208" s="182"/>
      <c r="H208" s="182"/>
      <c r="I208" s="182"/>
      <c r="J208" s="182"/>
      <c r="K208" s="182"/>
      <c r="L208" s="182"/>
      <c r="M208" s="182"/>
      <c r="N208" s="182"/>
      <c r="O208" s="6"/>
      <c r="P208" s="6"/>
      <c r="Q208" s="6"/>
      <c r="R208" s="6"/>
      <c r="S208" s="6"/>
      <c r="T208" s="6"/>
      <c r="U208" s="6"/>
      <c r="V208" s="14" t="s">
        <v>111</v>
      </c>
    </row>
    <row r="209" spans="1:22" s="10" customFormat="1" ht="18" hidden="1" customHeight="1">
      <c r="A209" s="9" t="s">
        <v>26</v>
      </c>
      <c r="B209" s="12">
        <v>2021</v>
      </c>
      <c r="C209" s="15" t="s">
        <v>109</v>
      </c>
      <c r="D209" s="270">
        <v>6309.6</v>
      </c>
      <c r="E209" s="270">
        <f>D209/0.84549413889045</f>
        <v>7462.6182604649966</v>
      </c>
      <c r="F209" s="5"/>
      <c r="G209" s="6"/>
      <c r="H209" s="6"/>
      <c r="I209" s="6"/>
      <c r="J209" s="6"/>
      <c r="K209" s="6"/>
      <c r="L209" s="6"/>
      <c r="M209" s="6"/>
      <c r="N209" s="6"/>
      <c r="O209" s="6"/>
      <c r="P209" s="6"/>
      <c r="Q209" s="6"/>
      <c r="R209" s="6"/>
      <c r="S209" s="6"/>
      <c r="T209" s="6"/>
      <c r="U209" s="6"/>
      <c r="V209" s="14" t="s">
        <v>112</v>
      </c>
    </row>
    <row r="210" spans="1:22" s="10" customFormat="1" ht="18" hidden="1" customHeight="1">
      <c r="A210" s="9" t="s">
        <v>26</v>
      </c>
      <c r="B210" s="12">
        <v>2022</v>
      </c>
      <c r="C210" s="15" t="s">
        <v>109</v>
      </c>
      <c r="D210" s="270">
        <v>6530.9</v>
      </c>
      <c r="E210" s="270">
        <f>D210/0.949623753156941</f>
        <v>6877.3553507782362</v>
      </c>
      <c r="F210" s="5"/>
      <c r="G210" s="6"/>
      <c r="H210" s="6"/>
      <c r="I210" s="6"/>
      <c r="J210" s="6"/>
      <c r="K210" s="6"/>
      <c r="L210" s="6"/>
      <c r="M210" s="6"/>
      <c r="N210" s="6"/>
      <c r="O210" s="6"/>
      <c r="P210" s="6"/>
      <c r="Q210" s="6"/>
      <c r="R210" s="6"/>
      <c r="S210" s="6"/>
      <c r="T210" s="6"/>
      <c r="U210" s="6"/>
      <c r="V210" s="14" t="s">
        <v>113</v>
      </c>
    </row>
    <row r="211" spans="1:22" s="10" customFormat="1" ht="18" hidden="1" customHeight="1">
      <c r="A211" s="9" t="s">
        <v>26</v>
      </c>
      <c r="B211" s="12">
        <v>2023</v>
      </c>
      <c r="C211" s="15" t="s">
        <v>109</v>
      </c>
      <c r="D211" s="270">
        <v>6846.4</v>
      </c>
      <c r="E211" s="270">
        <f>D211/0.924839558470698</f>
        <v>7402.7975309805224</v>
      </c>
      <c r="F211" s="5"/>
      <c r="G211" s="6"/>
      <c r="H211" s="6"/>
      <c r="I211" s="6"/>
      <c r="J211" s="6"/>
      <c r="K211" s="6"/>
      <c r="L211" s="6"/>
      <c r="M211" s="6"/>
      <c r="N211" s="6"/>
      <c r="O211" s="6"/>
      <c r="P211" s="6"/>
      <c r="Q211" s="6"/>
      <c r="R211" s="6"/>
      <c r="S211" s="6"/>
      <c r="T211" s="6"/>
      <c r="U211" s="6"/>
      <c r="V211" s="14" t="s">
        <v>114</v>
      </c>
    </row>
    <row r="212" spans="1:22" s="10" customFormat="1" ht="18" hidden="1" customHeight="1">
      <c r="A212" s="9" t="s">
        <v>24</v>
      </c>
      <c r="B212" s="12">
        <v>2000</v>
      </c>
      <c r="C212" s="15" t="s">
        <v>115</v>
      </c>
      <c r="D212" s="178">
        <v>10230</v>
      </c>
      <c r="E212" s="178">
        <f>D212/1.08270508132602</f>
        <v>9448.5563764705221</v>
      </c>
      <c r="F212" s="6"/>
      <c r="G212" s="6"/>
      <c r="H212" s="6"/>
      <c r="I212" s="209"/>
      <c r="J212" s="9"/>
      <c r="K212" s="186"/>
      <c r="L212" s="9"/>
      <c r="M212" s="9"/>
      <c r="N212" s="189"/>
      <c r="O212" s="189"/>
      <c r="P212" s="189"/>
      <c r="Q212" s="189"/>
      <c r="R212" s="189"/>
      <c r="S212" s="189"/>
      <c r="T212" s="193"/>
      <c r="U212" s="193"/>
      <c r="V212" s="9" t="s">
        <v>116</v>
      </c>
    </row>
    <row r="213" spans="1:22" s="10" customFormat="1" ht="18" hidden="1" customHeight="1">
      <c r="A213" s="9" t="s">
        <v>24</v>
      </c>
      <c r="B213" s="15">
        <v>2001</v>
      </c>
      <c r="C213" s="15" t="s">
        <v>115</v>
      </c>
      <c r="D213" s="178">
        <v>9400</v>
      </c>
      <c r="E213" s="178">
        <f>D213/1.11653308564462</f>
        <v>8418.9175590555806</v>
      </c>
      <c r="F213" s="6"/>
      <c r="G213" s="6"/>
      <c r="H213" s="6"/>
      <c r="I213" s="209"/>
      <c r="J213" s="9"/>
      <c r="K213" s="186"/>
      <c r="L213" s="9"/>
      <c r="M213" s="9"/>
      <c r="N213" s="189"/>
      <c r="O213" s="189"/>
      <c r="P213" s="189"/>
      <c r="Q213" s="189"/>
      <c r="R213" s="189"/>
      <c r="S213" s="189"/>
      <c r="T213" s="193"/>
      <c r="U213" s="193"/>
      <c r="V213" s="9" t="s">
        <v>117</v>
      </c>
    </row>
    <row r="214" spans="1:22" s="10" customFormat="1" ht="18" hidden="1" customHeight="1">
      <c r="A214" s="9" t="s">
        <v>24</v>
      </c>
      <c r="B214" s="12">
        <v>2007</v>
      </c>
      <c r="C214" s="15" t="s">
        <v>115</v>
      </c>
      <c r="D214" s="178">
        <v>8630</v>
      </c>
      <c r="E214" s="178">
        <f>D214/0.729672399984083</f>
        <v>11827.225478431492</v>
      </c>
      <c r="F214" s="197"/>
      <c r="G214" s="6"/>
      <c r="H214" s="6"/>
      <c r="I214" s="209"/>
      <c r="J214" s="9"/>
      <c r="K214" s="186"/>
      <c r="L214" s="9"/>
      <c r="M214" s="9"/>
      <c r="N214" s="189"/>
      <c r="O214" s="189"/>
      <c r="P214" s="189"/>
      <c r="Q214" s="189"/>
      <c r="R214" s="189"/>
      <c r="S214" s="189"/>
      <c r="T214" s="193"/>
      <c r="U214" s="193"/>
      <c r="V214" s="14" t="s">
        <v>118</v>
      </c>
    </row>
    <row r="215" spans="1:22" s="10" customFormat="1" ht="18" hidden="1" customHeight="1">
      <c r="A215" s="9" t="s">
        <v>24</v>
      </c>
      <c r="B215" s="12">
        <v>2008</v>
      </c>
      <c r="C215" s="15" t="s">
        <v>115</v>
      </c>
      <c r="D215" s="178">
        <v>8540</v>
      </c>
      <c r="E215" s="178">
        <f>D215/0.679922680042729</f>
        <v>12560.251703124997</v>
      </c>
      <c r="F215" s="197"/>
      <c r="G215" s="6"/>
      <c r="H215" s="6"/>
      <c r="I215" s="209"/>
      <c r="J215" s="9"/>
      <c r="K215" s="186"/>
      <c r="L215" s="9"/>
      <c r="M215" s="9"/>
      <c r="N215" s="189"/>
      <c r="O215" s="189"/>
      <c r="P215" s="189"/>
      <c r="Q215" s="189"/>
      <c r="R215" s="189"/>
      <c r="S215" s="189"/>
      <c r="T215" s="193"/>
      <c r="U215" s="193"/>
      <c r="V215" s="14" t="s">
        <v>118</v>
      </c>
    </row>
    <row r="216" spans="1:22" s="10" customFormat="1" ht="18" hidden="1" customHeight="1">
      <c r="A216" s="9" t="s">
        <v>24</v>
      </c>
      <c r="B216" s="15">
        <v>2009</v>
      </c>
      <c r="C216" s="15" t="s">
        <v>115</v>
      </c>
      <c r="D216" s="178">
        <v>7960</v>
      </c>
      <c r="E216" s="178">
        <f>D216/0.716957702016136</f>
        <v>11102.468078124992</v>
      </c>
      <c r="F216" s="6"/>
      <c r="G216" s="182"/>
      <c r="H216" s="182"/>
      <c r="I216" s="209"/>
      <c r="J216" s="9"/>
      <c r="K216" s="186"/>
      <c r="L216" s="9"/>
      <c r="M216" s="9"/>
      <c r="N216" s="186"/>
      <c r="O216" s="189"/>
      <c r="P216" s="189"/>
      <c r="Q216" s="189"/>
      <c r="R216" s="189"/>
      <c r="S216" s="189"/>
      <c r="T216" s="193"/>
      <c r="U216" s="193"/>
      <c r="V216" s="9" t="s">
        <v>119</v>
      </c>
    </row>
    <row r="217" spans="1:22" s="10" customFormat="1" ht="18" hidden="1" customHeight="1">
      <c r="A217" s="9" t="s">
        <v>24</v>
      </c>
      <c r="B217" s="15">
        <v>2010</v>
      </c>
      <c r="C217" s="15" t="s">
        <v>115</v>
      </c>
      <c r="D217" s="178">
        <v>8010.9</v>
      </c>
      <c r="E217" s="178">
        <f>D217/0.754308990105961</f>
        <v>10620.183645000274</v>
      </c>
      <c r="F217" s="6"/>
      <c r="G217" s="182"/>
      <c r="H217" s="182"/>
      <c r="I217" s="210"/>
      <c r="J217" s="206"/>
      <c r="K217" s="186"/>
      <c r="L217" s="182"/>
      <c r="M217" s="182"/>
      <c r="N217" s="186"/>
      <c r="O217" s="189"/>
      <c r="P217" s="189"/>
      <c r="Q217" s="189"/>
      <c r="R217" s="189"/>
      <c r="S217" s="189"/>
      <c r="T217" s="189"/>
      <c r="U217" s="189"/>
      <c r="V217" s="9" t="s">
        <v>120</v>
      </c>
    </row>
    <row r="218" spans="1:22" s="10" customFormat="1" ht="18" hidden="1" customHeight="1">
      <c r="A218" s="9" t="s">
        <v>24</v>
      </c>
      <c r="B218" s="12">
        <v>2011</v>
      </c>
      <c r="C218" s="15" t="s">
        <v>115</v>
      </c>
      <c r="D218" s="178">
        <v>8001</v>
      </c>
      <c r="E218" s="178">
        <f>D218/0.718413898653317</f>
        <v>11137.033978599322</v>
      </c>
      <c r="F218" s="6"/>
      <c r="G218" s="182"/>
      <c r="H218" s="182"/>
      <c r="I218" s="210"/>
      <c r="J218" s="206"/>
      <c r="K218" s="182"/>
      <c r="L218" s="182"/>
      <c r="M218" s="182"/>
      <c r="N218" s="186"/>
      <c r="O218" s="189"/>
      <c r="P218" s="189"/>
      <c r="Q218" s="189"/>
      <c r="R218" s="189"/>
      <c r="S218" s="189"/>
      <c r="T218" s="189"/>
      <c r="U218" s="189"/>
      <c r="V218" s="14" t="s">
        <v>121</v>
      </c>
    </row>
    <row r="219" spans="1:22" s="10" customFormat="1" ht="18" hidden="1" customHeight="1">
      <c r="A219" s="9" t="s">
        <v>24</v>
      </c>
      <c r="B219" s="12">
        <v>2012</v>
      </c>
      <c r="C219" s="15" t="s">
        <v>115</v>
      </c>
      <c r="D219" s="178">
        <v>7735</v>
      </c>
      <c r="E219" s="178">
        <f>D219/0.778338120416812</f>
        <v>9937.8403769531269</v>
      </c>
      <c r="F219" s="6"/>
      <c r="G219" s="6"/>
      <c r="H219" s="6"/>
      <c r="I219" s="6"/>
      <c r="J219" s="6"/>
      <c r="K219" s="6"/>
      <c r="L219" s="6"/>
      <c r="M219" s="6"/>
      <c r="N219" s="6"/>
      <c r="O219" s="6"/>
      <c r="P219" s="6"/>
      <c r="Q219" s="6"/>
      <c r="R219" s="6"/>
      <c r="S219" s="6"/>
      <c r="T219" s="6"/>
      <c r="U219" s="6"/>
      <c r="V219" s="14" t="s">
        <v>121</v>
      </c>
    </row>
    <row r="220" spans="1:22" s="10" customFormat="1" ht="18" hidden="1" customHeight="1">
      <c r="A220" s="9" t="s">
        <v>24</v>
      </c>
      <c r="B220" s="12">
        <v>2013</v>
      </c>
      <c r="C220" s="15" t="s">
        <v>115</v>
      </c>
      <c r="D220" s="178">
        <v>7409</v>
      </c>
      <c r="E220" s="178">
        <f>D220/0.752945122701996</f>
        <v>9840.026552549125</v>
      </c>
      <c r="F220" s="6"/>
      <c r="G220" s="6"/>
      <c r="H220" s="6"/>
      <c r="I220" s="6"/>
      <c r="J220" s="6"/>
      <c r="K220" s="6"/>
      <c r="L220" s="6"/>
      <c r="M220" s="6"/>
      <c r="N220" s="6"/>
      <c r="O220" s="6"/>
      <c r="P220" s="6"/>
      <c r="Q220" s="6"/>
      <c r="R220" s="6"/>
      <c r="S220" s="6"/>
      <c r="T220" s="6"/>
      <c r="U220" s="6"/>
      <c r="V220" s="14" t="s">
        <v>122</v>
      </c>
    </row>
    <row r="221" spans="1:22" s="10" customFormat="1" ht="18" hidden="1" customHeight="1">
      <c r="A221" s="9" t="s">
        <v>24</v>
      </c>
      <c r="B221" s="12">
        <v>2014</v>
      </c>
      <c r="C221" s="15" t="s">
        <v>115</v>
      </c>
      <c r="D221" s="178">
        <v>7393</v>
      </c>
      <c r="E221" s="178">
        <f>D221/0.752728196932603</f>
        <v>9821.6062984311811</v>
      </c>
      <c r="F221" s="6"/>
      <c r="G221" s="6"/>
      <c r="H221" s="6"/>
      <c r="I221" s="6"/>
      <c r="J221" s="6"/>
      <c r="K221" s="6"/>
      <c r="L221" s="6"/>
      <c r="M221" s="6"/>
      <c r="N221" s="6"/>
      <c r="O221" s="6"/>
      <c r="P221" s="6"/>
      <c r="Q221" s="6"/>
      <c r="R221" s="6"/>
      <c r="S221" s="6"/>
      <c r="T221" s="6"/>
      <c r="U221" s="6"/>
      <c r="V221" s="14" t="s">
        <v>123</v>
      </c>
    </row>
    <row r="222" spans="1:22" s="10" customFormat="1" ht="18" hidden="1" customHeight="1">
      <c r="A222" s="9" t="s">
        <v>24</v>
      </c>
      <c r="B222" s="15">
        <v>2015</v>
      </c>
      <c r="C222" s="15" t="s">
        <v>115</v>
      </c>
      <c r="D222" s="178">
        <v>7290</v>
      </c>
      <c r="E222" s="178">
        <f>D222/0.901296423367096</f>
        <v>8088.3489726562457</v>
      </c>
      <c r="F222" s="6"/>
      <c r="G222" s="6"/>
      <c r="H222" s="6"/>
      <c r="I222" s="6"/>
      <c r="J222" s="6"/>
      <c r="K222" s="6"/>
      <c r="L222" s="6"/>
      <c r="M222" s="6"/>
      <c r="N222" s="6"/>
      <c r="O222" s="6"/>
      <c r="P222" s="6"/>
      <c r="Q222" s="6"/>
      <c r="R222" s="6"/>
      <c r="S222" s="6"/>
      <c r="T222" s="6"/>
      <c r="U222" s="6"/>
      <c r="V222" s="9" t="s">
        <v>117</v>
      </c>
    </row>
    <row r="223" spans="1:22" s="10" customFormat="1" ht="18.75" hidden="1" customHeight="1">
      <c r="A223" s="9" t="s">
        <v>24</v>
      </c>
      <c r="B223" s="15">
        <v>2016</v>
      </c>
      <c r="C223" s="15" t="s">
        <v>115</v>
      </c>
      <c r="D223" s="178">
        <v>7220</v>
      </c>
      <c r="E223" s="178">
        <f>D223/0.903421436257263</f>
        <v>7991.8404747084114</v>
      </c>
      <c r="F223" s="6"/>
      <c r="G223" s="6"/>
      <c r="H223" s="6"/>
      <c r="I223" s="6"/>
      <c r="J223" s="6"/>
      <c r="K223" s="6"/>
      <c r="L223" s="6"/>
      <c r="M223" s="6"/>
      <c r="N223" s="6"/>
      <c r="O223" s="6"/>
      <c r="P223" s="6"/>
      <c r="Q223" s="6"/>
      <c r="R223" s="6"/>
      <c r="S223" s="6"/>
      <c r="T223" s="6"/>
      <c r="U223" s="6"/>
      <c r="V223" s="9" t="s">
        <v>117</v>
      </c>
    </row>
    <row r="224" spans="1:22" s="10" customFormat="1" ht="18.75" hidden="1" customHeight="1">
      <c r="A224" s="9" t="s">
        <v>24</v>
      </c>
      <c r="B224" s="15">
        <v>2018</v>
      </c>
      <c r="C224" s="15" t="s">
        <v>115</v>
      </c>
      <c r="D224" s="178">
        <v>6860</v>
      </c>
      <c r="E224" s="178">
        <f>D224/0.846772667108111</f>
        <v>8101.3479372547517</v>
      </c>
      <c r="F224" s="6"/>
      <c r="G224" s="6"/>
      <c r="H224" s="6"/>
      <c r="I224" s="6"/>
      <c r="J224" s="6"/>
      <c r="K224" s="6"/>
      <c r="L224" s="6"/>
      <c r="M224" s="6"/>
      <c r="N224" s="6"/>
      <c r="O224" s="6"/>
      <c r="P224" s="6"/>
      <c r="Q224" s="6"/>
      <c r="R224" s="6"/>
      <c r="S224" s="6"/>
      <c r="T224" s="6"/>
      <c r="U224" s="6"/>
      <c r="V224" s="9" t="s">
        <v>117</v>
      </c>
    </row>
    <row r="225" spans="1:22" s="211" customFormat="1" ht="18.75" hidden="1" customHeight="1">
      <c r="A225" s="9" t="s">
        <v>24</v>
      </c>
      <c r="B225" s="12">
        <v>2019</v>
      </c>
      <c r="C225" s="15" t="s">
        <v>115</v>
      </c>
      <c r="D225" s="178">
        <v>7156</v>
      </c>
      <c r="E225" s="178">
        <f>D225/0.893276257067409</f>
        <v>8010.9595921567061</v>
      </c>
      <c r="F225" s="6"/>
      <c r="G225" s="6"/>
      <c r="H225" s="6"/>
      <c r="I225" s="6"/>
      <c r="J225" s="6"/>
      <c r="K225" s="6"/>
      <c r="L225" s="6"/>
      <c r="M225" s="6"/>
      <c r="N225" s="6"/>
      <c r="O225" s="6"/>
      <c r="P225" s="6"/>
      <c r="Q225" s="6"/>
      <c r="R225" s="6"/>
      <c r="S225" s="6"/>
      <c r="T225" s="6"/>
      <c r="U225" s="6"/>
      <c r="V225" s="14" t="s">
        <v>124</v>
      </c>
    </row>
    <row r="226" spans="1:22" s="10" customFormat="1" ht="18.75" hidden="1" customHeight="1">
      <c r="A226" s="9" t="s">
        <v>24</v>
      </c>
      <c r="B226" s="12">
        <v>2020</v>
      </c>
      <c r="C226" s="15" t="s">
        <v>115</v>
      </c>
      <c r="D226" s="178">
        <v>6989</v>
      </c>
      <c r="E226" s="178">
        <f>D226/0.875506396987998</f>
        <v>7982.8086054473561</v>
      </c>
      <c r="F226" s="6"/>
      <c r="G226" s="6"/>
      <c r="H226" s="6"/>
      <c r="I226" s="6"/>
      <c r="J226" s="6"/>
      <c r="K226" s="6"/>
      <c r="L226" s="6"/>
      <c r="M226" s="6"/>
      <c r="N226" s="6"/>
      <c r="O226" s="6"/>
      <c r="P226" s="6"/>
      <c r="Q226" s="6"/>
      <c r="R226" s="6"/>
      <c r="S226" s="6"/>
      <c r="T226" s="6"/>
      <c r="U226" s="6"/>
      <c r="V226" s="14" t="s">
        <v>125</v>
      </c>
    </row>
    <row r="227" spans="1:22" s="6" customFormat="1" ht="18" hidden="1" customHeight="1">
      <c r="A227" s="9" t="s">
        <v>24</v>
      </c>
      <c r="B227" s="12">
        <v>2021</v>
      </c>
      <c r="C227" s="15" t="s">
        <v>115</v>
      </c>
      <c r="D227" s="178">
        <v>6984</v>
      </c>
      <c r="E227" s="178">
        <f>D227/0.84549413889045</f>
        <v>8260.2583255812624</v>
      </c>
      <c r="V227" s="14" t="s">
        <v>126</v>
      </c>
    </row>
    <row r="228" spans="1:22" s="6" customFormat="1" ht="18" hidden="1" customHeight="1">
      <c r="A228" s="9" t="s">
        <v>24</v>
      </c>
      <c r="B228" s="12">
        <v>2022</v>
      </c>
      <c r="C228" s="15" t="s">
        <v>115</v>
      </c>
      <c r="D228" s="178">
        <v>6829</v>
      </c>
      <c r="E228" s="178">
        <f>D228/0.949623753156941</f>
        <v>7191.2691498054755</v>
      </c>
      <c r="V228" s="14" t="s">
        <v>127</v>
      </c>
    </row>
    <row r="229" spans="1:22" s="6" customFormat="1" ht="18" hidden="1" customHeight="1">
      <c r="A229" s="9" t="s">
        <v>24</v>
      </c>
      <c r="B229" s="12">
        <v>2023</v>
      </c>
      <c r="C229" s="15" t="s">
        <v>115</v>
      </c>
      <c r="D229" s="178">
        <v>6683</v>
      </c>
      <c r="E229" s="178">
        <f>D229/0.924839558470698</f>
        <v>7226.1182372550293</v>
      </c>
      <c r="V229" s="14" t="s">
        <v>128</v>
      </c>
    </row>
    <row r="230" spans="1:22" s="6" customFormat="1" ht="18" hidden="1" customHeight="1">
      <c r="A230" s="9" t="s">
        <v>26</v>
      </c>
      <c r="B230" s="12">
        <v>2019</v>
      </c>
      <c r="C230" s="15" t="s">
        <v>129</v>
      </c>
      <c r="D230" s="270"/>
      <c r="E230" s="178">
        <f>D230/0.893276257067409</f>
        <v>0</v>
      </c>
      <c r="F230" s="7"/>
      <c r="I230" s="7"/>
      <c r="J230" s="7"/>
      <c r="K230" s="184"/>
      <c r="L230" s="184"/>
      <c r="M230" s="184"/>
      <c r="U230" s="56">
        <v>57473.01</v>
      </c>
      <c r="V230" s="14" t="s">
        <v>130</v>
      </c>
    </row>
    <row r="231" spans="1:22" s="6" customFormat="1" ht="18" hidden="1" customHeight="1">
      <c r="A231" s="9" t="s">
        <v>26</v>
      </c>
      <c r="B231" s="12">
        <v>2020</v>
      </c>
      <c r="C231" s="15" t="s">
        <v>129</v>
      </c>
      <c r="D231" s="270"/>
      <c r="E231" s="178">
        <f>D231/0.875506396987998</f>
        <v>0</v>
      </c>
      <c r="F231" s="7"/>
      <c r="I231" s="7"/>
      <c r="J231" s="7"/>
      <c r="K231" s="184"/>
      <c r="L231" s="184"/>
      <c r="M231" s="184"/>
      <c r="U231" s="5">
        <v>61218.55</v>
      </c>
      <c r="V231" s="14" t="s">
        <v>131</v>
      </c>
    </row>
    <row r="232" spans="1:22" s="6" customFormat="1" ht="18" hidden="1" customHeight="1">
      <c r="A232" s="9" t="s">
        <v>26</v>
      </c>
      <c r="B232" s="12">
        <v>2021</v>
      </c>
      <c r="C232" s="15" t="s">
        <v>129</v>
      </c>
      <c r="D232" s="270"/>
      <c r="E232" s="178">
        <f>D232/0.84549413889045</f>
        <v>0</v>
      </c>
      <c r="F232" s="7"/>
      <c r="I232" s="7"/>
      <c r="J232" s="7"/>
      <c r="K232" s="184"/>
      <c r="L232" s="184"/>
      <c r="M232" s="184"/>
      <c r="U232" s="9">
        <v>69300</v>
      </c>
      <c r="V232" s="14" t="s">
        <v>132</v>
      </c>
    </row>
    <row r="233" spans="1:22" s="6" customFormat="1" ht="18" hidden="1" customHeight="1">
      <c r="A233" s="9" t="s">
        <v>26</v>
      </c>
      <c r="B233" s="12">
        <v>2022</v>
      </c>
      <c r="C233" s="15" t="s">
        <v>129</v>
      </c>
      <c r="D233" s="270"/>
      <c r="E233" s="178">
        <f>D233/0.949623753156941</f>
        <v>0</v>
      </c>
      <c r="F233" s="7"/>
      <c r="I233" s="7"/>
      <c r="J233" s="7"/>
      <c r="K233" s="184"/>
      <c r="L233" s="184"/>
      <c r="M233" s="184"/>
      <c r="U233" s="9">
        <v>71750</v>
      </c>
      <c r="V233" s="14" t="s">
        <v>133</v>
      </c>
    </row>
    <row r="234" spans="1:22" s="6" customFormat="1" ht="18" hidden="1" customHeight="1">
      <c r="A234" s="9" t="s">
        <v>26</v>
      </c>
      <c r="B234" s="12">
        <v>2023</v>
      </c>
      <c r="C234" s="15" t="s">
        <v>129</v>
      </c>
      <c r="D234" s="270"/>
      <c r="E234" s="178">
        <f>D234/0.924839558470698</f>
        <v>0</v>
      </c>
      <c r="F234" s="7"/>
      <c r="I234" s="7"/>
      <c r="J234" s="7"/>
      <c r="K234" s="195"/>
      <c r="L234" s="195"/>
      <c r="M234" s="195"/>
      <c r="U234" s="9">
        <v>69350</v>
      </c>
      <c r="V234" s="14" t="s">
        <v>134</v>
      </c>
    </row>
    <row r="235" spans="1:22" s="6" customFormat="1" ht="18" customHeight="1">
      <c r="A235" s="15"/>
      <c r="B235" s="24"/>
      <c r="C235" s="26"/>
      <c r="D235" s="178"/>
      <c r="E235" s="178"/>
      <c r="F235"/>
      <c r="G235" s="195"/>
      <c r="H235" s="195"/>
      <c r="I235"/>
      <c r="J235"/>
      <c r="K235" s="195"/>
      <c r="L235" s="195"/>
      <c r="M235" s="195"/>
      <c r="N235" s="195"/>
      <c r="V235" s="14"/>
    </row>
    <row r="236" spans="1:22" s="6" customFormat="1" ht="18" customHeight="1">
      <c r="A236" s="15"/>
      <c r="B236" s="24"/>
      <c r="C236" s="26"/>
      <c r="D236" s="178"/>
      <c r="E236" s="178"/>
      <c r="F236"/>
      <c r="G236" s="195"/>
      <c r="H236" s="195"/>
      <c r="I236"/>
      <c r="J236"/>
      <c r="K236" s="195"/>
      <c r="L236" s="195"/>
      <c r="M236" s="195"/>
      <c r="N236" s="195"/>
      <c r="V236" s="14"/>
    </row>
    <row r="237" spans="1:22" s="6" customFormat="1" ht="18" customHeight="1">
      <c r="A237" s="15"/>
      <c r="B237" s="24"/>
      <c r="C237" s="26"/>
      <c r="D237" s="178"/>
      <c r="E237" s="178"/>
      <c r="F237"/>
      <c r="G237" s="195"/>
      <c r="H237" s="195"/>
      <c r="I237"/>
      <c r="J237"/>
      <c r="K237" s="195"/>
      <c r="L237" s="195"/>
      <c r="M237" s="195"/>
      <c r="N237" s="195"/>
      <c r="P237" s="204"/>
      <c r="Q237" s="204"/>
      <c r="R237" s="204"/>
      <c r="S237" s="204"/>
      <c r="V237" s="14"/>
    </row>
    <row r="238" spans="1:22" s="6" customFormat="1" ht="18" customHeight="1">
      <c r="A238" s="15"/>
      <c r="B238" s="12"/>
      <c r="C238" s="26"/>
      <c r="D238" s="178"/>
      <c r="E238" s="178"/>
      <c r="F238" s="205"/>
      <c r="G238" s="195"/>
      <c r="H238" s="195"/>
      <c r="I238" s="205"/>
      <c r="J238" s="205"/>
      <c r="K238" s="195"/>
      <c r="L238" s="195"/>
      <c r="M238" s="195"/>
      <c r="N238" s="195"/>
      <c r="V238" s="14"/>
    </row>
    <row r="239" spans="1:22" s="6" customFormat="1" ht="18" customHeight="1">
      <c r="A239" s="3"/>
      <c r="B239" s="4"/>
      <c r="C239" s="3"/>
      <c r="D239" s="208"/>
      <c r="E239" s="188"/>
      <c r="F239" s="205"/>
      <c r="G239" s="195"/>
      <c r="H239" s="195"/>
      <c r="I239" s="205"/>
      <c r="J239" s="205"/>
      <c r="K239" s="195"/>
      <c r="L239" s="195"/>
      <c r="M239" s="195"/>
      <c r="N239" s="195"/>
      <c r="V239" s="14"/>
    </row>
    <row r="240" spans="1:22" s="6" customFormat="1" ht="18" customHeight="1">
      <c r="A240" s="3"/>
      <c r="B240" s="4"/>
      <c r="C240" s="3"/>
      <c r="D240" s="208"/>
      <c r="E240" s="188"/>
      <c r="F240" s="205"/>
      <c r="G240" s="195"/>
      <c r="H240" s="195"/>
      <c r="I240" s="205"/>
      <c r="J240" s="205"/>
      <c r="K240" s="195"/>
      <c r="L240" s="195"/>
      <c r="M240" s="195"/>
      <c r="N240" s="195"/>
      <c r="V240" s="14"/>
    </row>
    <row r="241" spans="1:22" s="6" customFormat="1" ht="18" customHeight="1">
      <c r="A241" s="3"/>
      <c r="B241" s="4"/>
      <c r="C241" s="3"/>
      <c r="D241" s="208"/>
      <c r="E241" s="188"/>
      <c r="F241" s="205"/>
      <c r="G241" s="195"/>
      <c r="H241" s="195"/>
      <c r="I241" s="205"/>
      <c r="J241" s="205"/>
      <c r="K241" s="195"/>
      <c r="L241" s="195"/>
      <c r="M241" s="195"/>
      <c r="N241" s="195"/>
      <c r="V241" s="14"/>
    </row>
    <row r="242" spans="1:22" s="6" customFormat="1" ht="18" customHeight="1">
      <c r="A242" s="3"/>
      <c r="B242" s="4"/>
      <c r="C242" s="3"/>
      <c r="D242" s="208"/>
      <c r="E242" s="188"/>
      <c r="F242" s="205"/>
      <c r="G242" s="195"/>
      <c r="H242" s="195"/>
      <c r="I242" s="205"/>
      <c r="J242" s="205"/>
      <c r="K242" s="195"/>
      <c r="L242" s="195"/>
      <c r="M242" s="195"/>
      <c r="N242" s="195"/>
      <c r="V242" s="14"/>
    </row>
    <row r="243" spans="1:22" s="6" customFormat="1" ht="18" customHeight="1">
      <c r="A243" s="3"/>
      <c r="B243" s="4"/>
      <c r="C243" s="3"/>
      <c r="D243" s="208"/>
      <c r="E243" s="188"/>
      <c r="F243" s="205"/>
      <c r="G243" s="195"/>
      <c r="H243" s="195"/>
      <c r="I243" s="205"/>
      <c r="J243" s="205"/>
      <c r="K243" s="195"/>
      <c r="L243" s="195"/>
      <c r="M243" s="195"/>
      <c r="N243" s="195"/>
      <c r="V243" s="14"/>
    </row>
    <row r="244" spans="1:22" s="6" customFormat="1" ht="18" customHeight="1">
      <c r="A244" s="3"/>
      <c r="B244" s="4"/>
      <c r="C244" s="3"/>
      <c r="D244" s="208"/>
      <c r="E244" s="188"/>
      <c r="F244" s="205"/>
      <c r="G244" s="195"/>
      <c r="H244" s="195"/>
      <c r="I244" s="205"/>
      <c r="J244" s="205"/>
      <c r="K244" s="195"/>
      <c r="L244" s="195"/>
      <c r="M244" s="195"/>
      <c r="N244" s="195"/>
      <c r="V244" s="14"/>
    </row>
    <row r="245" spans="1:22" s="6" customFormat="1" ht="18" customHeight="1">
      <c r="A245" s="3"/>
      <c r="B245" s="4"/>
      <c r="C245" s="3"/>
      <c r="D245" s="208"/>
      <c r="E245" s="188"/>
      <c r="F245" s="205"/>
      <c r="G245" s="213"/>
      <c r="H245" s="213"/>
      <c r="I245" s="205"/>
      <c r="J245" s="205"/>
      <c r="K245" s="195"/>
      <c r="L245" s="195"/>
      <c r="M245" s="195"/>
      <c r="N245" s="213"/>
      <c r="V245" s="14"/>
    </row>
    <row r="246" spans="1:22" s="6" customFormat="1" ht="18" customHeight="1">
      <c r="A246" s="3"/>
      <c r="B246" s="4"/>
      <c r="C246" s="3"/>
      <c r="D246" s="208"/>
      <c r="E246" s="188"/>
      <c r="F246" s="205"/>
      <c r="G246" s="213"/>
      <c r="H246" s="213"/>
      <c r="I246" s="205"/>
      <c r="J246" s="205"/>
      <c r="K246" s="195"/>
      <c r="L246" s="195"/>
      <c r="M246" s="195"/>
      <c r="N246" s="213"/>
      <c r="V246" s="14"/>
    </row>
    <row r="247" spans="1:22" s="6" customFormat="1" ht="18" customHeight="1">
      <c r="A247" s="3"/>
      <c r="B247" s="4"/>
      <c r="C247" s="3"/>
      <c r="D247" s="208"/>
      <c r="E247" s="188"/>
      <c r="F247" s="205"/>
      <c r="G247" s="201"/>
      <c r="H247" s="201"/>
      <c r="I247" s="205"/>
      <c r="J247" s="205"/>
      <c r="K247" s="201"/>
      <c r="L247" s="201"/>
      <c r="M247" s="201"/>
      <c r="N247" s="201"/>
      <c r="V247" s="14"/>
    </row>
    <row r="248" spans="1:22" s="6" customFormat="1" ht="18" customHeight="1">
      <c r="A248" s="3"/>
      <c r="B248" s="4"/>
      <c r="C248" s="3"/>
      <c r="D248" s="208"/>
      <c r="E248" s="188"/>
      <c r="G248" s="201"/>
      <c r="H248" s="201"/>
      <c r="K248" s="201"/>
      <c r="L248" s="201"/>
      <c r="M248" s="201"/>
      <c r="N248" s="201"/>
      <c r="V248" s="14"/>
    </row>
    <row r="249" spans="1:22" s="6" customFormat="1" ht="18" customHeight="1">
      <c r="A249" s="3"/>
      <c r="B249" s="4"/>
      <c r="C249" s="3"/>
      <c r="D249" s="214"/>
      <c r="E249" s="188"/>
      <c r="V249" s="14"/>
    </row>
    <row r="250" spans="1:22" s="6" customFormat="1" ht="18" customHeight="1">
      <c r="A250" s="3"/>
      <c r="B250" s="4"/>
      <c r="C250" s="3"/>
      <c r="D250" s="214"/>
      <c r="E250" s="188"/>
      <c r="V250" s="14"/>
    </row>
    <row r="251" spans="1:22" s="6" customFormat="1" ht="18" customHeight="1">
      <c r="A251" s="3"/>
      <c r="B251" s="4"/>
      <c r="C251" s="3"/>
      <c r="D251" s="214"/>
      <c r="E251" s="188"/>
      <c r="V251" s="14"/>
    </row>
    <row r="252" spans="1:22" s="6" customFormat="1" ht="18" customHeight="1">
      <c r="A252" s="3"/>
      <c r="B252" s="4"/>
      <c r="C252" s="3"/>
      <c r="D252" s="214"/>
      <c r="E252" s="188"/>
      <c r="V252" s="190"/>
    </row>
    <row r="253" spans="1:22" s="6" customFormat="1" ht="18" customHeight="1">
      <c r="A253" s="3"/>
      <c r="B253" s="4"/>
      <c r="C253" s="3"/>
      <c r="D253" s="214"/>
      <c r="E253" s="188"/>
      <c r="V253" s="190"/>
    </row>
    <row r="254" spans="1:22" s="6" customFormat="1" ht="18" customHeight="1">
      <c r="A254" s="3"/>
      <c r="B254" s="4"/>
      <c r="C254" s="3"/>
      <c r="D254" s="214"/>
      <c r="E254" s="188"/>
      <c r="V254" s="190"/>
    </row>
    <row r="255" spans="1:22" s="6" customFormat="1" ht="18" customHeight="1">
      <c r="A255" s="3"/>
      <c r="B255" s="4"/>
      <c r="C255" s="3"/>
      <c r="D255" s="214"/>
      <c r="E255" s="188"/>
      <c r="V255" s="190"/>
    </row>
    <row r="256" spans="1:22" s="6" customFormat="1" ht="18" customHeight="1">
      <c r="A256" s="3"/>
      <c r="B256" s="4"/>
      <c r="C256" s="3"/>
      <c r="D256" s="214"/>
      <c r="E256" s="188"/>
      <c r="V256" s="190"/>
    </row>
    <row r="257" spans="1:22" s="6" customFormat="1" ht="18" customHeight="1">
      <c r="A257" s="3"/>
      <c r="B257" s="4"/>
      <c r="C257" s="3"/>
      <c r="D257" s="214"/>
      <c r="E257" s="188"/>
      <c r="V257" s="190"/>
    </row>
    <row r="258" spans="1:22" s="6" customFormat="1" ht="18" customHeight="1">
      <c r="A258" s="3"/>
      <c r="B258" s="4"/>
      <c r="C258" s="3"/>
      <c r="D258" s="214"/>
      <c r="E258" s="188"/>
      <c r="V258" s="190"/>
    </row>
    <row r="259" spans="1:22" s="6" customFormat="1" ht="18" customHeight="1">
      <c r="A259" s="3"/>
      <c r="B259" s="4"/>
      <c r="C259" s="3"/>
      <c r="D259" s="214"/>
      <c r="E259" s="188"/>
      <c r="V259" s="190"/>
    </row>
    <row r="260" spans="1:22" s="6" customFormat="1" ht="18" customHeight="1">
      <c r="A260" s="3"/>
      <c r="B260" s="4"/>
      <c r="C260" s="3"/>
      <c r="D260" s="214"/>
      <c r="E260" s="188"/>
      <c r="V260" s="190"/>
    </row>
    <row r="261" spans="1:22" s="6" customFormat="1" ht="18" customHeight="1">
      <c r="A261" s="3"/>
      <c r="B261" s="4"/>
      <c r="C261" s="3"/>
      <c r="D261" s="215"/>
      <c r="E261" s="188"/>
      <c r="V261" s="190"/>
    </row>
    <row r="262" spans="1:22" s="6" customFormat="1" ht="18" customHeight="1">
      <c r="A262" s="3"/>
      <c r="B262" s="4"/>
      <c r="C262" s="3"/>
      <c r="D262" s="215"/>
      <c r="E262" s="188"/>
      <c r="V262" s="190"/>
    </row>
    <row r="263" spans="1:22" s="6" customFormat="1" ht="18" customHeight="1">
      <c r="A263" s="3"/>
      <c r="B263" s="4"/>
      <c r="C263" s="3"/>
      <c r="D263" s="215"/>
      <c r="E263" s="188"/>
      <c r="V263" s="190"/>
    </row>
    <row r="264" spans="1:22" s="6" customFormat="1" ht="18" customHeight="1">
      <c r="A264" s="3"/>
      <c r="B264" s="4"/>
      <c r="C264" s="3"/>
      <c r="D264" s="216"/>
      <c r="E264" s="188"/>
      <c r="V264" s="190"/>
    </row>
    <row r="265" spans="1:22" s="6" customFormat="1" ht="18" customHeight="1">
      <c r="A265" s="3"/>
      <c r="B265" s="4"/>
      <c r="C265" s="3"/>
      <c r="D265" s="188"/>
      <c r="E265" s="188"/>
      <c r="V265" s="190"/>
    </row>
    <row r="266" spans="1:22" s="6" customFormat="1" ht="18" customHeight="1">
      <c r="A266" s="3"/>
      <c r="B266" s="4"/>
      <c r="C266" s="3"/>
      <c r="D266" s="215"/>
      <c r="E266" s="188"/>
      <c r="V266" s="190"/>
    </row>
    <row r="267" spans="1:22" s="6" customFormat="1" ht="18" customHeight="1">
      <c r="A267" s="3"/>
      <c r="B267" s="4"/>
      <c r="C267" s="3"/>
      <c r="D267" s="215"/>
      <c r="E267" s="188"/>
      <c r="G267" s="182"/>
      <c r="H267" s="182"/>
      <c r="I267" s="182"/>
      <c r="J267" s="182"/>
      <c r="K267" s="182"/>
      <c r="L267" s="182"/>
      <c r="M267" s="182"/>
      <c r="N267" s="182"/>
      <c r="V267" s="190"/>
    </row>
    <row r="268" spans="1:22" s="6" customFormat="1" ht="18" customHeight="1">
      <c r="A268" s="3"/>
      <c r="B268" s="4"/>
      <c r="C268" s="3"/>
      <c r="D268" s="215"/>
      <c r="E268" s="188"/>
      <c r="G268" s="182"/>
      <c r="H268" s="182"/>
      <c r="I268" s="182"/>
      <c r="J268" s="182"/>
      <c r="K268" s="182"/>
      <c r="L268" s="182"/>
      <c r="M268" s="182"/>
      <c r="N268" s="182"/>
      <c r="V268" s="190"/>
    </row>
    <row r="269" spans="1:22" s="6" customFormat="1" ht="18" customHeight="1">
      <c r="A269" s="3"/>
      <c r="B269" s="4"/>
      <c r="C269" s="3"/>
      <c r="D269" s="215"/>
      <c r="E269" s="188"/>
      <c r="G269" s="182"/>
      <c r="H269" s="182"/>
      <c r="I269" s="182"/>
      <c r="J269" s="182"/>
      <c r="K269" s="182"/>
      <c r="L269" s="182"/>
      <c r="M269" s="182"/>
      <c r="N269" s="182"/>
      <c r="V269" s="190"/>
    </row>
    <row r="270" spans="1:22" s="6" customFormat="1" ht="18" customHeight="1">
      <c r="A270" s="3"/>
      <c r="B270" s="4"/>
      <c r="C270" s="3"/>
      <c r="D270" s="215"/>
      <c r="E270" s="188"/>
      <c r="G270" s="182"/>
      <c r="H270" s="182"/>
      <c r="I270" s="182"/>
      <c r="J270" s="182"/>
      <c r="K270" s="182"/>
      <c r="L270" s="182"/>
      <c r="M270" s="182"/>
      <c r="N270" s="182"/>
      <c r="V270" s="190"/>
    </row>
    <row r="271" spans="1:22" s="6" customFormat="1" ht="18" customHeight="1">
      <c r="A271" s="3"/>
      <c r="B271" s="4"/>
      <c r="C271" s="4"/>
      <c r="D271" s="188"/>
      <c r="E271" s="188"/>
      <c r="V271" s="190"/>
    </row>
    <row r="272" spans="1:22" s="6" customFormat="1" ht="18" customHeight="1">
      <c r="A272" s="3"/>
      <c r="B272" s="4"/>
      <c r="C272" s="4"/>
      <c r="D272" s="188"/>
      <c r="E272" s="188"/>
      <c r="G272" s="206"/>
      <c r="H272" s="206"/>
      <c r="I272" s="206"/>
      <c r="J272" s="206"/>
      <c r="K272" s="206"/>
      <c r="L272" s="206"/>
      <c r="M272" s="206"/>
      <c r="N272" s="206"/>
      <c r="V272" s="190"/>
    </row>
    <row r="273" spans="1:22" s="6" customFormat="1" ht="18" customHeight="1">
      <c r="A273" s="3"/>
      <c r="B273" s="4"/>
      <c r="C273" s="4"/>
      <c r="D273" s="188"/>
      <c r="E273" s="188"/>
      <c r="G273" s="206"/>
      <c r="H273" s="206"/>
      <c r="I273" s="206"/>
      <c r="J273" s="206"/>
      <c r="K273" s="206"/>
      <c r="L273" s="206"/>
      <c r="M273" s="206"/>
      <c r="N273" s="206"/>
      <c r="V273" s="190"/>
    </row>
    <row r="274" spans="1:22" s="6" customFormat="1" ht="18" customHeight="1">
      <c r="A274" s="3"/>
      <c r="B274" s="4"/>
      <c r="C274" s="4"/>
      <c r="D274" s="188"/>
      <c r="E274" s="188"/>
      <c r="G274" s="206"/>
      <c r="H274" s="206"/>
      <c r="I274" s="206"/>
      <c r="J274" s="206"/>
      <c r="K274" s="206"/>
      <c r="L274" s="206"/>
      <c r="M274" s="206"/>
      <c r="N274" s="206"/>
      <c r="V274" s="190"/>
    </row>
    <row r="275" spans="1:22" s="6" customFormat="1" ht="18" customHeight="1">
      <c r="A275" s="3"/>
      <c r="B275" s="4"/>
      <c r="C275" s="4"/>
      <c r="D275" s="188"/>
      <c r="E275" s="188"/>
      <c r="G275" s="206"/>
      <c r="H275" s="206"/>
      <c r="I275" s="206"/>
      <c r="J275" s="206"/>
      <c r="K275" s="206"/>
      <c r="L275" s="206"/>
      <c r="M275" s="206"/>
      <c r="N275" s="206"/>
      <c r="V275" s="190"/>
    </row>
    <row r="276" spans="1:22" s="6" customFormat="1" ht="18" customHeight="1">
      <c r="A276" s="3"/>
      <c r="B276" s="4"/>
      <c r="C276" s="4"/>
      <c r="D276" s="188"/>
      <c r="E276" s="188"/>
      <c r="G276" s="206"/>
      <c r="H276" s="206"/>
      <c r="I276" s="206"/>
      <c r="J276" s="206"/>
      <c r="K276" s="206"/>
      <c r="L276" s="206"/>
      <c r="M276" s="206"/>
      <c r="N276" s="206"/>
      <c r="V276" s="190"/>
    </row>
    <row r="277" spans="1:22" s="6" customFormat="1" ht="18" customHeight="1">
      <c r="A277" s="3"/>
      <c r="B277" s="4"/>
      <c r="C277" s="4"/>
      <c r="D277" s="188"/>
      <c r="E277" s="188"/>
      <c r="G277" s="206"/>
      <c r="H277" s="206"/>
      <c r="I277" s="206"/>
      <c r="J277" s="206"/>
      <c r="K277" s="206"/>
      <c r="L277" s="206"/>
      <c r="M277" s="206"/>
      <c r="N277" s="206"/>
      <c r="V277" s="190"/>
    </row>
    <row r="278" spans="1:22" s="6" customFormat="1" ht="18" customHeight="1">
      <c r="A278" s="3"/>
      <c r="B278" s="4"/>
      <c r="C278" s="4"/>
      <c r="D278" s="188"/>
      <c r="E278" s="188"/>
      <c r="G278" s="206"/>
      <c r="H278" s="206"/>
      <c r="I278" s="206"/>
      <c r="J278" s="206"/>
      <c r="K278" s="206"/>
      <c r="L278" s="206"/>
      <c r="M278" s="206"/>
      <c r="N278" s="206"/>
      <c r="V278" s="190"/>
    </row>
    <row r="279" spans="1:22" s="6" customFormat="1" ht="18" customHeight="1">
      <c r="A279" s="3"/>
      <c r="B279" s="4"/>
      <c r="C279" s="4"/>
      <c r="D279" s="188"/>
      <c r="E279" s="188"/>
      <c r="G279" s="206"/>
      <c r="H279" s="206"/>
      <c r="I279" s="206"/>
      <c r="J279" s="206"/>
      <c r="K279" s="206"/>
      <c r="L279" s="206"/>
      <c r="M279" s="206"/>
      <c r="N279" s="206"/>
    </row>
    <row r="280" spans="1:22" s="6" customFormat="1" ht="18" customHeight="1">
      <c r="A280" s="3"/>
      <c r="B280" s="4"/>
      <c r="C280" s="4"/>
      <c r="D280" s="188"/>
      <c r="E280" s="188"/>
      <c r="G280" s="206"/>
      <c r="H280" s="206"/>
      <c r="I280" s="206"/>
      <c r="J280" s="206"/>
      <c r="K280" s="206"/>
      <c r="L280" s="206"/>
      <c r="M280" s="206"/>
      <c r="N280" s="206"/>
    </row>
    <row r="281" spans="1:22" s="6" customFormat="1" ht="18" customHeight="1">
      <c r="A281" s="3"/>
      <c r="B281" s="4"/>
      <c r="C281" s="4"/>
      <c r="D281" s="188"/>
      <c r="E281" s="188"/>
      <c r="G281" s="206"/>
      <c r="H281" s="206"/>
      <c r="I281" s="206"/>
      <c r="J281" s="206"/>
      <c r="K281" s="206"/>
      <c r="L281" s="206"/>
      <c r="M281" s="206"/>
      <c r="N281" s="206"/>
    </row>
    <row r="282" spans="1:22" s="6" customFormat="1" ht="18" customHeight="1">
      <c r="A282" s="3"/>
      <c r="B282" s="4"/>
      <c r="C282" s="4"/>
      <c r="D282" s="188"/>
      <c r="E282" s="188"/>
      <c r="G282" s="190"/>
      <c r="H282" s="190"/>
      <c r="I282" s="190"/>
      <c r="J282" s="190"/>
      <c r="K282" s="190"/>
      <c r="L282" s="190"/>
      <c r="M282" s="190"/>
      <c r="N282" s="190"/>
    </row>
    <row r="283" spans="1:22" s="6" customFormat="1" ht="18" customHeight="1">
      <c r="A283" s="3"/>
      <c r="B283" s="4"/>
      <c r="C283" s="4"/>
      <c r="D283" s="188"/>
      <c r="E283" s="188"/>
      <c r="V283" s="190"/>
    </row>
    <row r="284" spans="1:22" s="6" customFormat="1" ht="18" customHeight="1">
      <c r="A284" s="3"/>
      <c r="B284" s="4"/>
      <c r="C284" s="4"/>
      <c r="D284" s="188"/>
      <c r="E284" s="188"/>
      <c r="V284" s="190"/>
    </row>
    <row r="285" spans="1:22" s="6" customFormat="1" ht="18" customHeight="1">
      <c r="A285" s="3"/>
      <c r="B285" s="4"/>
      <c r="C285" s="4"/>
      <c r="D285" s="217"/>
      <c r="E285" s="188"/>
      <c r="G285" s="182"/>
      <c r="H285" s="182"/>
      <c r="I285" s="182"/>
      <c r="J285" s="182"/>
      <c r="K285" s="182"/>
      <c r="L285" s="182"/>
      <c r="M285" s="182"/>
      <c r="N285" s="182"/>
      <c r="V285" s="218"/>
    </row>
    <row r="286" spans="1:22" s="6" customFormat="1" ht="18" customHeight="1">
      <c r="A286" s="3"/>
      <c r="B286" s="4"/>
      <c r="C286" s="4"/>
      <c r="D286" s="188"/>
      <c r="E286" s="188"/>
      <c r="G286" s="182"/>
      <c r="H286" s="182"/>
      <c r="I286" s="182"/>
      <c r="J286" s="182"/>
      <c r="K286" s="182"/>
      <c r="L286" s="182"/>
      <c r="M286" s="182"/>
      <c r="N286" s="182"/>
      <c r="V286" s="219"/>
    </row>
    <row r="287" spans="1:22" s="6" customFormat="1" ht="18" customHeight="1">
      <c r="A287" s="3"/>
      <c r="B287" s="4"/>
      <c r="C287" s="4"/>
      <c r="D287" s="188"/>
      <c r="E287" s="188"/>
      <c r="G287" s="182"/>
      <c r="H287" s="182"/>
      <c r="I287" s="182"/>
      <c r="J287" s="182"/>
      <c r="K287" s="182"/>
      <c r="L287" s="182"/>
      <c r="M287" s="182"/>
      <c r="N287" s="182"/>
      <c r="V287" s="219"/>
    </row>
    <row r="288" spans="1:22" s="6" customFormat="1" ht="18" customHeight="1">
      <c r="A288" s="3"/>
      <c r="B288" s="4"/>
      <c r="C288" s="4"/>
      <c r="D288" s="188"/>
      <c r="E288" s="188"/>
      <c r="G288" s="182"/>
      <c r="H288" s="182"/>
      <c r="I288" s="182"/>
      <c r="J288" s="182"/>
      <c r="K288" s="182"/>
      <c r="L288" s="182"/>
      <c r="M288" s="182"/>
      <c r="N288" s="182"/>
      <c r="V288" s="219"/>
    </row>
    <row r="289" spans="1:22" s="6" customFormat="1" ht="18" customHeight="1">
      <c r="A289" s="3"/>
      <c r="B289" s="4"/>
      <c r="C289" s="3"/>
      <c r="D289" s="208"/>
      <c r="E289" s="188"/>
      <c r="G289" s="182"/>
      <c r="H289" s="182"/>
      <c r="I289" s="182"/>
      <c r="J289" s="182"/>
      <c r="K289" s="182"/>
      <c r="L289" s="182"/>
      <c r="M289" s="182"/>
      <c r="N289" s="182"/>
      <c r="V289" s="220"/>
    </row>
    <row r="290" spans="1:22" s="6" customFormat="1" ht="18" customHeight="1">
      <c r="A290" s="3"/>
      <c r="B290" s="4"/>
      <c r="C290" s="3"/>
      <c r="D290" s="208"/>
      <c r="E290" s="188"/>
      <c r="G290" s="182"/>
      <c r="H290" s="182"/>
      <c r="I290" s="182"/>
      <c r="J290" s="182"/>
      <c r="K290" s="182"/>
      <c r="L290" s="182"/>
      <c r="M290" s="182"/>
      <c r="N290" s="182"/>
      <c r="V290" s="190"/>
    </row>
    <row r="291" spans="1:22" s="6" customFormat="1" ht="18" customHeight="1">
      <c r="A291" s="3"/>
      <c r="B291" s="4"/>
      <c r="C291" s="3"/>
      <c r="D291" s="208"/>
      <c r="E291" s="188"/>
      <c r="G291" s="182"/>
      <c r="H291" s="182"/>
      <c r="I291" s="182"/>
      <c r="J291" s="182"/>
      <c r="K291" s="182"/>
      <c r="L291" s="182"/>
      <c r="M291" s="182"/>
      <c r="N291" s="182"/>
      <c r="V291" s="190"/>
    </row>
    <row r="292" spans="1:22" s="6" customFormat="1" ht="18" customHeight="1">
      <c r="A292" s="3"/>
      <c r="B292" s="4"/>
      <c r="C292" s="3"/>
      <c r="D292" s="208"/>
      <c r="E292" s="188"/>
      <c r="G292" s="182"/>
      <c r="H292" s="182"/>
      <c r="I292" s="182"/>
      <c r="J292" s="182"/>
      <c r="K292" s="182"/>
      <c r="L292" s="182"/>
      <c r="M292" s="182"/>
      <c r="N292" s="182"/>
      <c r="V292" s="190"/>
    </row>
    <row r="293" spans="1:22" s="6" customFormat="1" ht="18" customHeight="1">
      <c r="A293" s="3"/>
      <c r="B293" s="4"/>
      <c r="C293" s="3"/>
      <c r="D293" s="208"/>
      <c r="E293" s="188"/>
      <c r="G293" s="182"/>
      <c r="H293" s="182"/>
      <c r="I293" s="182"/>
      <c r="J293" s="182"/>
      <c r="K293" s="182"/>
      <c r="L293" s="182"/>
      <c r="M293" s="182"/>
      <c r="N293" s="182"/>
      <c r="V293" s="190"/>
    </row>
    <row r="294" spans="1:22" s="6" customFormat="1" ht="18" customHeight="1">
      <c r="A294" s="3"/>
      <c r="B294" s="4"/>
      <c r="C294" s="3"/>
      <c r="D294" s="208"/>
      <c r="E294" s="188"/>
      <c r="G294" s="182"/>
      <c r="H294" s="182"/>
      <c r="I294" s="182"/>
      <c r="J294" s="182"/>
      <c r="K294" s="182"/>
      <c r="L294" s="182"/>
      <c r="M294" s="182"/>
      <c r="N294" s="182"/>
      <c r="V294" s="190"/>
    </row>
    <row r="295" spans="1:22" s="6" customFormat="1" ht="18" customHeight="1">
      <c r="A295" s="3"/>
      <c r="B295" s="4"/>
      <c r="C295" s="3"/>
      <c r="D295" s="208"/>
      <c r="E295" s="188"/>
      <c r="G295" s="182"/>
      <c r="H295" s="182"/>
      <c r="I295" s="182"/>
      <c r="J295" s="182"/>
      <c r="K295" s="182"/>
      <c r="L295" s="182"/>
      <c r="M295" s="182"/>
      <c r="N295" s="182"/>
      <c r="V295" s="190"/>
    </row>
    <row r="296" spans="1:22" s="6" customFormat="1" ht="18" customHeight="1">
      <c r="A296" s="3"/>
      <c r="B296" s="4"/>
      <c r="C296" s="3"/>
      <c r="D296" s="208"/>
      <c r="E296" s="188"/>
      <c r="G296" s="182"/>
      <c r="H296" s="182"/>
      <c r="I296" s="182"/>
      <c r="J296" s="182"/>
      <c r="K296" s="182"/>
      <c r="L296" s="182"/>
      <c r="M296" s="182"/>
      <c r="N296" s="182"/>
      <c r="V296" s="190"/>
    </row>
    <row r="297" spans="1:22" s="6" customFormat="1" ht="18" customHeight="1">
      <c r="A297" s="3"/>
      <c r="B297" s="4"/>
      <c r="C297" s="3"/>
      <c r="D297" s="208"/>
      <c r="E297" s="188"/>
      <c r="G297" s="221"/>
      <c r="H297" s="221"/>
      <c r="I297" s="221"/>
      <c r="J297" s="221"/>
      <c r="K297" s="221"/>
      <c r="L297" s="221"/>
      <c r="M297" s="221"/>
      <c r="N297" s="221"/>
      <c r="V297" s="190"/>
    </row>
    <row r="298" spans="1:22" s="6" customFormat="1" ht="18" customHeight="1">
      <c r="A298" s="3"/>
      <c r="B298" s="4"/>
      <c r="C298" s="3"/>
      <c r="D298" s="208"/>
      <c r="E298" s="188"/>
      <c r="G298" s="182"/>
      <c r="H298" s="182"/>
      <c r="I298" s="182"/>
      <c r="J298" s="182"/>
      <c r="K298" s="182"/>
      <c r="L298" s="182"/>
      <c r="M298" s="182"/>
      <c r="N298" s="182"/>
      <c r="V298" s="190"/>
    </row>
    <row r="299" spans="1:22" s="6" customFormat="1" ht="18" customHeight="1">
      <c r="A299" s="3"/>
      <c r="B299" s="4"/>
      <c r="C299" s="3"/>
      <c r="D299" s="208"/>
      <c r="E299" s="188"/>
      <c r="G299" s="182"/>
      <c r="H299" s="182"/>
      <c r="I299" s="182"/>
      <c r="J299" s="182"/>
      <c r="K299" s="182"/>
      <c r="L299" s="182"/>
      <c r="M299" s="182"/>
      <c r="N299" s="182"/>
      <c r="V299" s="190"/>
    </row>
    <row r="300" spans="1:22" s="6" customFormat="1" ht="18" customHeight="1">
      <c r="A300" s="3"/>
      <c r="B300" s="4"/>
      <c r="C300" s="3"/>
      <c r="D300" s="208"/>
      <c r="E300" s="188"/>
      <c r="G300" s="182"/>
      <c r="H300" s="182"/>
      <c r="I300" s="182"/>
      <c r="J300" s="182"/>
      <c r="K300" s="182"/>
      <c r="L300" s="182"/>
      <c r="M300" s="182"/>
      <c r="N300" s="182"/>
      <c r="V300" s="190"/>
    </row>
    <row r="301" spans="1:22" s="6" customFormat="1" ht="18" customHeight="1">
      <c r="A301" s="3"/>
      <c r="B301" s="4"/>
      <c r="C301" s="3"/>
      <c r="D301" s="188"/>
      <c r="E301" s="188"/>
      <c r="G301" s="182"/>
      <c r="H301" s="182"/>
      <c r="I301" s="182"/>
      <c r="J301" s="182"/>
      <c r="K301" s="182"/>
      <c r="L301" s="182"/>
      <c r="M301" s="182"/>
      <c r="N301" s="182"/>
      <c r="V301" s="190"/>
    </row>
    <row r="302" spans="1:22">
      <c r="A302" s="3"/>
      <c r="C302" s="3"/>
    </row>
    <row r="303" spans="1:22" ht="18" customHeight="1">
      <c r="C303" s="222"/>
      <c r="F303" s="13"/>
      <c r="G303" s="13"/>
      <c r="H303" s="13"/>
      <c r="I303" s="13"/>
      <c r="J303" s="13"/>
      <c r="K303" s="13"/>
      <c r="L303" s="13"/>
      <c r="M303" s="13"/>
      <c r="N303" s="13"/>
      <c r="O303" s="223"/>
    </row>
    <row r="304" spans="1:22" ht="18" customHeight="1">
      <c r="C304" s="222"/>
      <c r="F304" s="13"/>
      <c r="G304" s="13"/>
      <c r="H304" s="13"/>
      <c r="I304" s="13"/>
      <c r="J304" s="13"/>
      <c r="K304" s="13"/>
      <c r="L304" s="13"/>
      <c r="M304" s="13"/>
      <c r="N304" s="13"/>
      <c r="O304" s="13"/>
      <c r="P304" s="13"/>
      <c r="Q304" s="13"/>
      <c r="R304" s="13"/>
      <c r="S304" s="223"/>
    </row>
  </sheetData>
  <autoFilter ref="A1:V234" xr:uid="{A0BA5966-7933-4A7B-8EEF-24EFB586069A}">
    <filterColumn colId="2">
      <filters>
        <filter val="App Distribution"/>
      </filters>
    </filterColumn>
    <sortState xmlns:xlrd2="http://schemas.microsoft.com/office/spreadsheetml/2017/richdata2" ref="A2:V234">
      <sortCondition ref="C2:C234" customList="Wireline,Wireless,ISP,Multichannel Video Distribution (Cable/DBS/IPTV),Broadcast TV,Pay TV Programming Services,Online Video Services,Film Production/Distribition,Film Exhibition,Digital Games,Broadcast Radio,Music Services,Newspapers,Online News Media,Magazines,Books,Internet Advertising,Search Engines-Mobile,Search Engines-Desktop,Search Engines,Social Media Platforms,Mobile OS,Desktop OS,Mobile Browsers,Desktop Browsers"/>
    </sortState>
  </autoFilter>
  <phoneticPr fontId="11" type="noConversion"/>
  <conditionalFormatting sqref="A1:C1 E1:I1">
    <cfRule type="cellIs" dxfId="21" priority="2" operator="equal">
      <formula>0</formula>
    </cfRule>
  </conditionalFormatting>
  <conditionalFormatting sqref="D1">
    <cfRule type="cellIs" dxfId="20" priority="1" operator="equal">
      <formula>0</formula>
    </cfRule>
  </conditionalFormatting>
  <conditionalFormatting sqref="N1:XFD1">
    <cfRule type="cellIs" dxfId="19" priority="3" operator="equal">
      <formula>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I1773"/>
  <sheetViews>
    <sheetView zoomScale="53" zoomScaleNormal="53" workbookViewId="0">
      <pane ySplit="1" topLeftCell="A223" activePane="bottomLeft" state="frozen"/>
      <selection pane="bottomLeft" activeCell="A105" sqref="A105"/>
    </sheetView>
  </sheetViews>
  <sheetFormatPr defaultColWidth="13.140625" defaultRowHeight="20.100000000000001" customHeight="1"/>
  <cols>
    <col min="1" max="1" width="19.85546875" style="45" bestFit="1" customWidth="1"/>
    <col min="2" max="2" width="16.140625" style="140" bestFit="1" customWidth="1"/>
    <col min="3" max="3" width="50.28515625" style="104" bestFit="1" customWidth="1"/>
    <col min="4" max="4" width="72.85546875" style="77" bestFit="1" customWidth="1"/>
    <col min="5" max="5" width="128.42578125" style="45" bestFit="1" customWidth="1"/>
    <col min="6" max="6" width="125.140625" style="45" bestFit="1" customWidth="1"/>
    <col min="7" max="7" width="48.85546875" style="259" customWidth="1"/>
    <col min="8" max="8" width="46.42578125" style="168" customWidth="1"/>
    <col min="9" max="9" width="47.140625" style="170" customWidth="1"/>
    <col min="10" max="10" width="13.85546875" style="170" customWidth="1"/>
    <col min="11" max="11" width="46.7109375" style="77" customWidth="1"/>
    <col min="12" max="12" width="47.7109375" style="77" customWidth="1"/>
    <col min="13" max="13" width="58.140625" style="77" customWidth="1"/>
    <col min="14" max="14" width="29.42578125" style="77" customWidth="1"/>
    <col min="15" max="15" width="28.5703125" style="77" customWidth="1"/>
    <col min="16" max="16" width="22.140625" style="77" customWidth="1"/>
    <col min="17" max="17" width="27.42578125" style="77" customWidth="1"/>
    <col min="18" max="18" width="47.42578125" style="77" customWidth="1"/>
    <col min="19" max="19" width="53.42578125" style="77" customWidth="1"/>
    <col min="20" max="20" width="47.7109375" style="77" customWidth="1"/>
    <col min="21" max="21" width="55.7109375" style="77" customWidth="1"/>
    <col min="22" max="22" width="33.5703125" style="77" customWidth="1"/>
    <col min="23" max="23" width="39" style="77" customWidth="1"/>
    <col min="24" max="24" width="44.5703125" style="77" customWidth="1"/>
    <col min="25" max="25" width="28.42578125" style="77" customWidth="1"/>
    <col min="26" max="26" width="27.42578125" style="77" customWidth="1"/>
    <col min="27" max="27" width="69.5703125" style="77" customWidth="1"/>
    <col min="28" max="28" width="49.42578125" style="46" customWidth="1"/>
    <col min="29" max="29" width="45.85546875" style="77" customWidth="1"/>
    <col min="30" max="30" width="47.42578125" style="111" customWidth="1"/>
    <col min="31" max="31" width="23.5703125" style="77" customWidth="1"/>
    <col min="32" max="32" width="22.7109375" style="77" bestFit="1" customWidth="1"/>
    <col min="33" max="33" width="255.5703125" style="99" bestFit="1" customWidth="1"/>
    <col min="34" max="34" width="9.85546875" style="77" bestFit="1" customWidth="1"/>
    <col min="35" max="35" width="48.28515625" style="77" bestFit="1" customWidth="1"/>
    <col min="36" max="16384" width="13.140625" style="77"/>
  </cols>
  <sheetData>
    <row r="1" spans="1:35" s="138" customFormat="1" ht="15">
      <c r="A1" s="135" t="s">
        <v>0</v>
      </c>
      <c r="B1" s="135" t="s">
        <v>1</v>
      </c>
      <c r="C1" s="135" t="s">
        <v>2</v>
      </c>
      <c r="D1" s="135" t="s">
        <v>135</v>
      </c>
      <c r="E1" s="135" t="s">
        <v>136</v>
      </c>
      <c r="F1" s="136" t="s">
        <v>137</v>
      </c>
      <c r="G1" s="224" t="s">
        <v>3</v>
      </c>
      <c r="H1" s="224" t="s">
        <v>4</v>
      </c>
      <c r="I1" s="224" t="s">
        <v>138</v>
      </c>
      <c r="J1" s="224"/>
      <c r="K1" s="36" t="s">
        <v>139</v>
      </c>
      <c r="L1" s="36" t="s">
        <v>140</v>
      </c>
      <c r="M1" s="36" t="s">
        <v>141</v>
      </c>
      <c r="N1" s="36" t="s">
        <v>142</v>
      </c>
      <c r="O1" s="37" t="s">
        <v>10</v>
      </c>
      <c r="P1" s="37" t="s">
        <v>11</v>
      </c>
      <c r="Q1" s="37" t="s">
        <v>12</v>
      </c>
      <c r="R1" s="37" t="s">
        <v>14</v>
      </c>
      <c r="S1" s="38" t="s">
        <v>15</v>
      </c>
      <c r="T1" s="38" t="s">
        <v>17</v>
      </c>
      <c r="U1" s="38" t="s">
        <v>16</v>
      </c>
      <c r="V1" s="98" t="s">
        <v>143</v>
      </c>
      <c r="W1" s="97" t="s">
        <v>144</v>
      </c>
      <c r="X1" s="37" t="s">
        <v>145</v>
      </c>
      <c r="Y1" s="37" t="s">
        <v>146</v>
      </c>
      <c r="Z1" s="37" t="s">
        <v>147</v>
      </c>
      <c r="AA1" s="37" t="s">
        <v>148</v>
      </c>
      <c r="AB1" s="97" t="s">
        <v>149</v>
      </c>
      <c r="AC1" s="37" t="s">
        <v>150</v>
      </c>
      <c r="AD1" s="137" t="s">
        <v>151</v>
      </c>
      <c r="AE1" s="138" t="s">
        <v>152</v>
      </c>
      <c r="AF1" s="135" t="s">
        <v>153</v>
      </c>
      <c r="AG1" s="135" t="s">
        <v>21</v>
      </c>
    </row>
    <row r="2" spans="1:35" ht="15.6">
      <c r="A2" s="16" t="s">
        <v>26</v>
      </c>
      <c r="B2" s="16">
        <v>2019</v>
      </c>
      <c r="C2" s="14" t="s">
        <v>23</v>
      </c>
      <c r="D2" s="27" t="s">
        <v>154</v>
      </c>
      <c r="E2" s="17" t="s">
        <v>155</v>
      </c>
      <c r="F2" s="17" t="s">
        <v>155</v>
      </c>
      <c r="G2" s="170">
        <v>3980</v>
      </c>
      <c r="H2" s="170">
        <f>G2/0.893276257067409</f>
        <v>4455.5085490195206</v>
      </c>
      <c r="I2" s="170">
        <v>42.400372441462451</v>
      </c>
      <c r="V2" s="29">
        <v>18115.5</v>
      </c>
      <c r="W2" s="29"/>
      <c r="AB2" s="39">
        <v>47.336033446563889</v>
      </c>
      <c r="AF2" s="40" t="s">
        <v>156</v>
      </c>
      <c r="AG2" s="86" t="s">
        <v>157</v>
      </c>
      <c r="AH2" s="78" t="s">
        <v>158</v>
      </c>
      <c r="AI2" s="9" t="s">
        <v>159</v>
      </c>
    </row>
    <row r="3" spans="1:35" ht="15.6">
      <c r="A3" s="16" t="s">
        <v>26</v>
      </c>
      <c r="B3" s="16">
        <v>2019</v>
      </c>
      <c r="C3" s="14" t="s">
        <v>23</v>
      </c>
      <c r="D3" s="27" t="s">
        <v>160</v>
      </c>
      <c r="E3" s="17" t="s">
        <v>161</v>
      </c>
      <c r="F3" s="17" t="s">
        <v>160</v>
      </c>
      <c r="G3" s="170">
        <v>1975.44</v>
      </c>
      <c r="H3" s="170">
        <f t="shared" ref="H3:H11" si="0">G3/0.893276257067409</f>
        <v>2211.4547256470159</v>
      </c>
      <c r="I3" s="170">
        <v>21.045073300442862</v>
      </c>
      <c r="V3" s="29">
        <v>6774.5</v>
      </c>
      <c r="W3" s="29"/>
      <c r="AB3" s="39">
        <v>17.701855239090673</v>
      </c>
      <c r="AF3" s="40" t="s">
        <v>156</v>
      </c>
      <c r="AG3" s="86" t="s">
        <v>162</v>
      </c>
      <c r="AH3" s="78" t="s">
        <v>163</v>
      </c>
      <c r="AI3" s="9" t="s">
        <v>164</v>
      </c>
    </row>
    <row r="4" spans="1:35" ht="15.6">
      <c r="A4" s="16" t="s">
        <v>26</v>
      </c>
      <c r="B4" s="16">
        <v>2019</v>
      </c>
      <c r="C4" s="14" t="s">
        <v>23</v>
      </c>
      <c r="D4" s="27" t="s">
        <v>165</v>
      </c>
      <c r="E4" s="17" t="s">
        <v>166</v>
      </c>
      <c r="F4" s="17" t="s">
        <v>167</v>
      </c>
      <c r="G4" s="170">
        <v>1009.52</v>
      </c>
      <c r="H4" s="170">
        <f t="shared" si="0"/>
        <v>1130.1319071372329</v>
      </c>
      <c r="I4" s="170">
        <v>10.754779896257583</v>
      </c>
      <c r="V4" s="29">
        <v>3462</v>
      </c>
      <c r="W4" s="16"/>
      <c r="AB4" s="39">
        <v>9.0462503266266001</v>
      </c>
      <c r="AF4" s="40" t="s">
        <v>156</v>
      </c>
      <c r="AG4" s="86" t="s">
        <v>168</v>
      </c>
      <c r="AH4" s="78" t="s">
        <v>169</v>
      </c>
      <c r="AI4" s="9" t="s">
        <v>170</v>
      </c>
    </row>
    <row r="5" spans="1:35" ht="30.95">
      <c r="A5" s="16" t="s">
        <v>26</v>
      </c>
      <c r="B5" s="16">
        <v>2019</v>
      </c>
      <c r="C5" s="14" t="s">
        <v>23</v>
      </c>
      <c r="D5" s="27" t="s">
        <v>171</v>
      </c>
      <c r="E5" s="17" t="s">
        <v>172</v>
      </c>
      <c r="F5" s="17" t="s">
        <v>173</v>
      </c>
      <c r="G5" s="170">
        <v>936.5</v>
      </c>
      <c r="H5" s="170">
        <f t="shared" si="0"/>
        <v>1048.3878784313522</v>
      </c>
      <c r="I5" s="170">
        <v>9.976871555635574</v>
      </c>
      <c r="V5" s="29">
        <v>3211.6</v>
      </c>
      <c r="W5" s="29"/>
      <c r="AB5" s="39">
        <v>8.3919519205644111</v>
      </c>
      <c r="AF5" s="40" t="s">
        <v>156</v>
      </c>
      <c r="AG5" s="96" t="s">
        <v>174</v>
      </c>
      <c r="AI5" s="9" t="s">
        <v>175</v>
      </c>
    </row>
    <row r="6" spans="1:35" ht="15.6">
      <c r="A6" s="16" t="s">
        <v>26</v>
      </c>
      <c r="B6" s="16">
        <v>2019</v>
      </c>
      <c r="C6" s="14" t="s">
        <v>23</v>
      </c>
      <c r="D6" s="27" t="s">
        <v>176</v>
      </c>
      <c r="E6" s="17" t="s">
        <v>177</v>
      </c>
      <c r="F6" s="17" t="s">
        <v>178</v>
      </c>
      <c r="G6" s="170">
        <v>611.11</v>
      </c>
      <c r="H6" s="170">
        <f t="shared" si="0"/>
        <v>684.12206768626118</v>
      </c>
      <c r="I6" s="170">
        <v>6.5103747745482723</v>
      </c>
      <c r="V6" s="29">
        <v>2095.6999999999998</v>
      </c>
      <c r="W6" s="29"/>
      <c r="AB6" s="39">
        <v>5.4760909328455707</v>
      </c>
      <c r="AF6" s="40" t="s">
        <v>156</v>
      </c>
      <c r="AG6" s="86" t="s">
        <v>179</v>
      </c>
      <c r="AH6" s="78" t="s">
        <v>180</v>
      </c>
      <c r="AI6" s="9" t="s">
        <v>181</v>
      </c>
    </row>
    <row r="7" spans="1:35" ht="62.1">
      <c r="A7" s="16" t="s">
        <v>26</v>
      </c>
      <c r="B7" s="16">
        <v>2019</v>
      </c>
      <c r="C7" s="14" t="s">
        <v>23</v>
      </c>
      <c r="D7" s="27" t="s">
        <v>182</v>
      </c>
      <c r="E7" s="17" t="s">
        <v>183</v>
      </c>
      <c r="F7" s="17" t="s">
        <v>183</v>
      </c>
      <c r="G7" s="170">
        <v>129.47</v>
      </c>
      <c r="H7" s="170">
        <f t="shared" si="0"/>
        <v>144.93836478431089</v>
      </c>
      <c r="I7" s="170">
        <v>1.3792905075367197</v>
      </c>
      <c r="V7" s="29">
        <v>518</v>
      </c>
      <c r="W7" s="29"/>
      <c r="AB7" s="39">
        <v>1.3535406323490986</v>
      </c>
      <c r="AF7" s="40" t="s">
        <v>184</v>
      </c>
      <c r="AG7" s="96" t="s">
        <v>185</v>
      </c>
      <c r="AH7" s="78" t="s">
        <v>186</v>
      </c>
      <c r="AI7" s="9" t="s">
        <v>187</v>
      </c>
    </row>
    <row r="8" spans="1:35" ht="15.6">
      <c r="A8" s="16" t="s">
        <v>26</v>
      </c>
      <c r="B8" s="16">
        <v>2019</v>
      </c>
      <c r="C8" s="14" t="s">
        <v>23</v>
      </c>
      <c r="D8" s="27" t="s">
        <v>188</v>
      </c>
      <c r="E8" s="17" t="s">
        <v>189</v>
      </c>
      <c r="F8" s="17" t="s">
        <v>189</v>
      </c>
      <c r="G8" s="170">
        <v>125.97</v>
      </c>
      <c r="H8" s="170">
        <f t="shared" si="0"/>
        <v>141.02020399999725</v>
      </c>
      <c r="I8" s="170">
        <v>1.3420037478520164</v>
      </c>
      <c r="V8" s="29">
        <v>432</v>
      </c>
      <c r="W8" s="29">
        <v>24.3</v>
      </c>
      <c r="AB8" s="39">
        <v>1.128821531225503</v>
      </c>
      <c r="AF8" s="40" t="s">
        <v>156</v>
      </c>
      <c r="AG8" s="86" t="s">
        <v>190</v>
      </c>
      <c r="AH8" s="78" t="s">
        <v>191</v>
      </c>
      <c r="AI8" s="9" t="s">
        <v>192</v>
      </c>
    </row>
    <row r="9" spans="1:35" ht="62.1">
      <c r="A9" s="16" t="s">
        <v>26</v>
      </c>
      <c r="B9" s="16">
        <v>2019</v>
      </c>
      <c r="C9" s="14" t="s">
        <v>23</v>
      </c>
      <c r="D9" s="27" t="s">
        <v>193</v>
      </c>
      <c r="E9" s="17" t="s">
        <v>194</v>
      </c>
      <c r="F9" s="17" t="s">
        <v>195</v>
      </c>
      <c r="G9" s="170">
        <v>107.9</v>
      </c>
      <c r="H9" s="170">
        <f t="shared" si="0"/>
        <v>120.79129960784078</v>
      </c>
      <c r="I9" s="170">
        <v>1.149497534279849</v>
      </c>
      <c r="V9" s="29">
        <v>370</v>
      </c>
      <c r="W9" s="29"/>
      <c r="AB9" s="39">
        <v>0.96681473739221335</v>
      </c>
      <c r="AF9" s="40" t="s">
        <v>184</v>
      </c>
      <c r="AG9" s="96" t="s">
        <v>196</v>
      </c>
      <c r="AH9" s="78" t="s">
        <v>197</v>
      </c>
    </row>
    <row r="10" spans="1:35" ht="62.1">
      <c r="A10" s="16" t="s">
        <v>26</v>
      </c>
      <c r="B10" s="16">
        <v>2019</v>
      </c>
      <c r="C10" s="14" t="s">
        <v>23</v>
      </c>
      <c r="D10" s="27" t="s">
        <v>198</v>
      </c>
      <c r="E10" s="17" t="s">
        <v>199</v>
      </c>
      <c r="F10" s="17" t="s">
        <v>199</v>
      </c>
      <c r="G10" s="170">
        <v>91.06</v>
      </c>
      <c r="H10" s="170">
        <f t="shared" si="0"/>
        <v>101.93934886274312</v>
      </c>
      <c r="I10" s="170">
        <v>0.97009495339687724</v>
      </c>
      <c r="V10" s="29">
        <v>312.27999999999997</v>
      </c>
      <c r="W10" s="29"/>
      <c r="AB10" s="39">
        <v>0.81599163835902788</v>
      </c>
      <c r="AF10" s="40" t="s">
        <v>200</v>
      </c>
      <c r="AG10" s="96" t="s">
        <v>201</v>
      </c>
    </row>
    <row r="11" spans="1:35" ht="15.6">
      <c r="A11" s="16" t="s">
        <v>26</v>
      </c>
      <c r="B11" s="16">
        <v>2019</v>
      </c>
      <c r="C11" s="14" t="s">
        <v>23</v>
      </c>
      <c r="D11" s="27" t="s">
        <v>202</v>
      </c>
      <c r="E11" s="17"/>
      <c r="F11" s="17"/>
      <c r="G11" s="170">
        <v>419.74</v>
      </c>
      <c r="H11" s="170">
        <f t="shared" si="0"/>
        <v>469.88823074508889</v>
      </c>
      <c r="I11" s="170">
        <v>4.47</v>
      </c>
      <c r="V11" s="29"/>
      <c r="W11" s="29"/>
      <c r="AB11" s="39"/>
      <c r="AF11" s="40"/>
      <c r="AG11" s="262" t="s">
        <v>203</v>
      </c>
    </row>
    <row r="12" spans="1:35" ht="15.6">
      <c r="A12" s="16" t="s">
        <v>26</v>
      </c>
      <c r="B12" s="16">
        <v>2020</v>
      </c>
      <c r="C12" s="14" t="s">
        <v>23</v>
      </c>
      <c r="D12" s="27" t="s">
        <v>154</v>
      </c>
      <c r="E12" s="17" t="s">
        <v>155</v>
      </c>
      <c r="F12" s="17" t="s">
        <v>155</v>
      </c>
      <c r="G12" s="170">
        <v>3980</v>
      </c>
      <c r="H12" s="170">
        <f>G12/0.875506396987998</f>
        <v>4545.9405136186115</v>
      </c>
      <c r="I12" s="170">
        <v>41.355246765094918</v>
      </c>
      <c r="V12" s="29">
        <v>17638</v>
      </c>
      <c r="W12" s="29"/>
      <c r="AB12" s="39">
        <v>45.932291666666671</v>
      </c>
      <c r="AF12" s="40" t="s">
        <v>156</v>
      </c>
      <c r="AG12" s="86" t="s">
        <v>204</v>
      </c>
    </row>
    <row r="13" spans="1:35" ht="15.6">
      <c r="A13" s="16" t="s">
        <v>26</v>
      </c>
      <c r="B13" s="16">
        <v>2020</v>
      </c>
      <c r="C13" s="14" t="s">
        <v>23</v>
      </c>
      <c r="D13" s="27" t="s">
        <v>160</v>
      </c>
      <c r="E13" s="17" t="s">
        <v>161</v>
      </c>
      <c r="F13" s="17" t="s">
        <v>160</v>
      </c>
      <c r="G13" s="170">
        <v>3047.66</v>
      </c>
      <c r="H13" s="170">
        <f t="shared" ref="H13:H20" si="1">G13/0.875506396987998</f>
        <v>3481.0253934007283</v>
      </c>
      <c r="I13" s="170">
        <v>31.667520441233464</v>
      </c>
      <c r="V13" s="29">
        <v>10408.66</v>
      </c>
      <c r="W13" s="29"/>
      <c r="AB13" s="39">
        <v>27.105885416666663</v>
      </c>
      <c r="AF13" s="40" t="s">
        <v>156</v>
      </c>
      <c r="AG13" s="86" t="s">
        <v>205</v>
      </c>
    </row>
    <row r="14" spans="1:35" ht="62.1">
      <c r="A14" s="16" t="s">
        <v>26</v>
      </c>
      <c r="B14" s="16">
        <v>2020</v>
      </c>
      <c r="C14" s="14" t="s">
        <v>23</v>
      </c>
      <c r="D14" s="27" t="s">
        <v>171</v>
      </c>
      <c r="E14" s="17" t="s">
        <v>172</v>
      </c>
      <c r="F14" s="17" t="s">
        <v>173</v>
      </c>
      <c r="G14" s="170">
        <v>937.11</v>
      </c>
      <c r="H14" s="170">
        <f t="shared" si="1"/>
        <v>1070.3633956575723</v>
      </c>
      <c r="I14" s="170">
        <v>9.7372902753864583</v>
      </c>
      <c r="V14" s="29">
        <v>3200.5</v>
      </c>
      <c r="W14" s="29"/>
      <c r="AB14" s="39">
        <v>8.3346354166666661</v>
      </c>
      <c r="AF14" s="40" t="s">
        <v>156</v>
      </c>
      <c r="AG14" s="96" t="s">
        <v>206</v>
      </c>
    </row>
    <row r="15" spans="1:35" ht="15.6">
      <c r="A15" s="16" t="s">
        <v>26</v>
      </c>
      <c r="B15" s="16">
        <v>2020</v>
      </c>
      <c r="C15" s="14" t="s">
        <v>23</v>
      </c>
      <c r="D15" s="27" t="s">
        <v>176</v>
      </c>
      <c r="E15" s="17" t="s">
        <v>177</v>
      </c>
      <c r="F15" s="17" t="s">
        <v>178</v>
      </c>
      <c r="G15" s="170">
        <v>634.17999999999995</v>
      </c>
      <c r="H15" s="170">
        <f t="shared" si="1"/>
        <v>724.3579283735304</v>
      </c>
      <c r="I15" s="170">
        <v>6.589615676755753</v>
      </c>
      <c r="V15" s="29">
        <v>2165.9</v>
      </c>
      <c r="W15" s="29"/>
      <c r="AB15" s="39">
        <v>5.6403645833333336</v>
      </c>
      <c r="AF15" s="40" t="s">
        <v>156</v>
      </c>
      <c r="AG15" s="86" t="s">
        <v>207</v>
      </c>
    </row>
    <row r="16" spans="1:35" ht="62.1">
      <c r="A16" s="16" t="s">
        <v>26</v>
      </c>
      <c r="B16" s="16">
        <v>2020</v>
      </c>
      <c r="C16" s="14" t="s">
        <v>23</v>
      </c>
      <c r="D16" s="27" t="s">
        <v>182</v>
      </c>
      <c r="E16" s="17" t="s">
        <v>183</v>
      </c>
      <c r="F16" s="17" t="s">
        <v>183</v>
      </c>
      <c r="G16" s="170">
        <v>148.38999999999999</v>
      </c>
      <c r="H16" s="170">
        <f t="shared" si="1"/>
        <v>169.49048060700144</v>
      </c>
      <c r="I16" s="170">
        <v>1.541885695344833</v>
      </c>
      <c r="V16" s="29">
        <v>506.8</v>
      </c>
      <c r="W16" s="29"/>
      <c r="AB16" s="39">
        <v>1.3197916666666667</v>
      </c>
      <c r="AF16" s="40" t="s">
        <v>184</v>
      </c>
      <c r="AG16" s="96" t="s">
        <v>208</v>
      </c>
    </row>
    <row r="17" spans="1:33" ht="15.6">
      <c r="A17" s="16" t="s">
        <v>26</v>
      </c>
      <c r="B17" s="16">
        <v>2020</v>
      </c>
      <c r="C17" s="14" t="s">
        <v>23</v>
      </c>
      <c r="D17" s="27" t="s">
        <v>188</v>
      </c>
      <c r="E17" s="17" t="s">
        <v>189</v>
      </c>
      <c r="F17" s="17" t="s">
        <v>189</v>
      </c>
      <c r="G17" s="170">
        <v>128.54</v>
      </c>
      <c r="H17" s="170">
        <f t="shared" si="1"/>
        <v>146.81788784435585</v>
      </c>
      <c r="I17" s="170">
        <v>1.3356289997953017</v>
      </c>
      <c r="V17" s="29">
        <v>439</v>
      </c>
      <c r="W17" s="29">
        <v>24.4</v>
      </c>
      <c r="AB17" s="39">
        <v>1.1432291666666667</v>
      </c>
      <c r="AF17" s="40" t="s">
        <v>156</v>
      </c>
      <c r="AG17" s="86" t="s">
        <v>209</v>
      </c>
    </row>
    <row r="18" spans="1:33" ht="62.1">
      <c r="A18" s="16" t="s">
        <v>26</v>
      </c>
      <c r="B18" s="16">
        <v>2020</v>
      </c>
      <c r="C18" s="14" t="s">
        <v>23</v>
      </c>
      <c r="D18" s="27" t="s">
        <v>193</v>
      </c>
      <c r="E18" s="17" t="s">
        <v>194</v>
      </c>
      <c r="F18" s="17" t="s">
        <v>195</v>
      </c>
      <c r="G18" s="170">
        <v>106</v>
      </c>
      <c r="H18" s="170">
        <f t="shared" si="1"/>
        <v>121.0727875486364</v>
      </c>
      <c r="I18" s="170">
        <v>1.1014211450000155</v>
      </c>
      <c r="V18" s="29">
        <v>362</v>
      </c>
      <c r="W18" s="29"/>
      <c r="AB18" s="39">
        <v>0.94270833333333337</v>
      </c>
      <c r="AF18" s="40" t="s">
        <v>184</v>
      </c>
      <c r="AG18" s="96" t="s">
        <v>210</v>
      </c>
    </row>
    <row r="19" spans="1:33" ht="62.1">
      <c r="A19" s="16" t="s">
        <v>26</v>
      </c>
      <c r="B19" s="16">
        <v>2020</v>
      </c>
      <c r="C19" s="14" t="s">
        <v>23</v>
      </c>
      <c r="D19" s="27" t="s">
        <v>198</v>
      </c>
      <c r="E19" s="17" t="s">
        <v>199</v>
      </c>
      <c r="F19" s="17" t="s">
        <v>199</v>
      </c>
      <c r="G19" s="170">
        <v>93.49</v>
      </c>
      <c r="H19" s="170">
        <f t="shared" si="1"/>
        <v>106.7839142256794</v>
      </c>
      <c r="I19" s="170">
        <v>0.97143266835897601</v>
      </c>
      <c r="V19" s="29">
        <v>319.27999999999997</v>
      </c>
      <c r="W19" s="29"/>
      <c r="AB19" s="39">
        <v>0.83145833333333319</v>
      </c>
      <c r="AF19" s="40" t="s">
        <v>184</v>
      </c>
      <c r="AG19" s="96" t="s">
        <v>211</v>
      </c>
    </row>
    <row r="20" spans="1:33" ht="15.6">
      <c r="A20" s="16" t="s">
        <v>26</v>
      </c>
      <c r="B20" s="16">
        <v>2020</v>
      </c>
      <c r="C20" s="14" t="s">
        <v>23</v>
      </c>
      <c r="D20" s="27" t="s">
        <v>202</v>
      </c>
      <c r="E20" s="17"/>
      <c r="F20" s="17"/>
      <c r="G20" s="170">
        <v>548.55999999999995</v>
      </c>
      <c r="H20" s="170">
        <f t="shared" si="1"/>
        <v>626.56309752528273</v>
      </c>
      <c r="I20" s="170">
        <v>5.7</v>
      </c>
      <c r="V20" s="29"/>
      <c r="W20" s="29"/>
      <c r="AB20" s="39"/>
      <c r="AF20" s="261"/>
      <c r="AG20" s="262" t="s">
        <v>203</v>
      </c>
    </row>
    <row r="21" spans="1:33" ht="15.6">
      <c r="A21" s="16" t="s">
        <v>26</v>
      </c>
      <c r="B21" s="16">
        <v>2021</v>
      </c>
      <c r="C21" s="14" t="s">
        <v>23</v>
      </c>
      <c r="D21" s="27" t="s">
        <v>154</v>
      </c>
      <c r="E21" s="17" t="s">
        <v>155</v>
      </c>
      <c r="F21" s="17" t="s">
        <v>155</v>
      </c>
      <c r="G21" s="170">
        <v>3868</v>
      </c>
      <c r="H21" s="170">
        <f>G21/0.84549413889045</f>
        <v>4574.8395193797714</v>
      </c>
      <c r="I21" s="170">
        <v>40.672761972860293</v>
      </c>
      <c r="V21" s="30">
        <v>17546</v>
      </c>
      <c r="W21" s="29"/>
      <c r="AB21" s="39">
        <v>45.585866458820476</v>
      </c>
      <c r="AF21" s="40" t="s">
        <v>156</v>
      </c>
      <c r="AG21" s="86" t="s">
        <v>212</v>
      </c>
    </row>
    <row r="22" spans="1:33" ht="77.45">
      <c r="A22" s="16" t="s">
        <v>26</v>
      </c>
      <c r="B22" s="16">
        <v>2021</v>
      </c>
      <c r="C22" s="14" t="s">
        <v>23</v>
      </c>
      <c r="D22" s="27" t="s">
        <v>160</v>
      </c>
      <c r="E22" s="17" t="s">
        <v>161</v>
      </c>
      <c r="F22" s="17" t="s">
        <v>160</v>
      </c>
      <c r="G22" s="170">
        <v>2997.93</v>
      </c>
      <c r="H22" s="170">
        <f t="shared" ref="H22:H30" si="2">G22/0.84549413889045</f>
        <v>3545.7726577906406</v>
      </c>
      <c r="I22" s="170">
        <v>31.523809023086102</v>
      </c>
      <c r="V22" s="29">
        <v>10366.290000000001</v>
      </c>
      <c r="W22" s="29"/>
      <c r="AB22" s="39">
        <v>26.93242400623539</v>
      </c>
      <c r="AF22" s="40" t="s">
        <v>156</v>
      </c>
      <c r="AG22" s="96" t="s">
        <v>213</v>
      </c>
    </row>
    <row r="23" spans="1:33" ht="15.6">
      <c r="A23" s="16" t="s">
        <v>26</v>
      </c>
      <c r="B23" s="16">
        <v>2021</v>
      </c>
      <c r="C23" s="14" t="s">
        <v>23</v>
      </c>
      <c r="D23" s="27" t="s">
        <v>171</v>
      </c>
      <c r="E23" s="17" t="s">
        <v>172</v>
      </c>
      <c r="F23" s="17" t="s">
        <v>173</v>
      </c>
      <c r="G23" s="170">
        <v>892.63</v>
      </c>
      <c r="H23" s="170">
        <f t="shared" si="2"/>
        <v>1055.7494829844791</v>
      </c>
      <c r="I23" s="170">
        <v>9.3861756773097937</v>
      </c>
      <c r="V23" s="29">
        <v>3087.55</v>
      </c>
      <c r="W23" s="29"/>
      <c r="AB23" s="39">
        <v>8.0216939464796049</v>
      </c>
      <c r="AF23" s="40" t="s">
        <v>156</v>
      </c>
      <c r="AG23" s="86" t="s">
        <v>214</v>
      </c>
    </row>
    <row r="24" spans="1:33" ht="15.6">
      <c r="A24" s="16" t="s">
        <v>26</v>
      </c>
      <c r="B24" s="16">
        <v>2021</v>
      </c>
      <c r="C24" s="14" t="s">
        <v>23</v>
      </c>
      <c r="D24" s="27" t="s">
        <v>176</v>
      </c>
      <c r="E24" s="17" t="s">
        <v>177</v>
      </c>
      <c r="F24" s="17" t="s">
        <v>178</v>
      </c>
      <c r="G24" s="170">
        <v>628.87</v>
      </c>
      <c r="H24" s="170">
        <f t="shared" si="2"/>
        <v>743.78989879843766</v>
      </c>
      <c r="I24" s="170">
        <v>6.6126886819732817</v>
      </c>
      <c r="V24" s="29">
        <v>2174.5</v>
      </c>
      <c r="W24" s="29"/>
      <c r="AB24" s="39">
        <v>5.6495193556767989</v>
      </c>
      <c r="AF24" s="40" t="s">
        <v>156</v>
      </c>
      <c r="AG24" s="86" t="s">
        <v>215</v>
      </c>
    </row>
    <row r="25" spans="1:33" ht="62.1">
      <c r="A25" s="16" t="s">
        <v>26</v>
      </c>
      <c r="B25" s="16">
        <v>2021</v>
      </c>
      <c r="C25" s="14" t="s">
        <v>23</v>
      </c>
      <c r="D25" s="27" t="s">
        <v>182</v>
      </c>
      <c r="E25" s="17" t="s">
        <v>183</v>
      </c>
      <c r="F25" s="17" t="s">
        <v>183</v>
      </c>
      <c r="G25" s="170">
        <v>146.16</v>
      </c>
      <c r="H25" s="170">
        <f t="shared" si="2"/>
        <v>172.86932372092744</v>
      </c>
      <c r="I25" s="170">
        <v>1.5369004369062202</v>
      </c>
      <c r="V25" s="29">
        <v>505.4</v>
      </c>
      <c r="W25" s="29"/>
      <c r="AB25" s="39">
        <v>1.3130683294362171</v>
      </c>
      <c r="AF25" s="40" t="s">
        <v>184</v>
      </c>
      <c r="AG25" s="96" t="s">
        <v>216</v>
      </c>
    </row>
    <row r="26" spans="1:33" ht="15.6">
      <c r="A26" s="16" t="s">
        <v>26</v>
      </c>
      <c r="B26" s="16">
        <v>2021</v>
      </c>
      <c r="C26" s="14" t="s">
        <v>23</v>
      </c>
      <c r="D26" s="27" t="s">
        <v>188</v>
      </c>
      <c r="E26" s="17" t="s">
        <v>217</v>
      </c>
      <c r="F26" s="17" t="s">
        <v>189</v>
      </c>
      <c r="G26" s="170">
        <v>131.30000000000001</v>
      </c>
      <c r="H26" s="170">
        <f t="shared" si="2"/>
        <v>155.29380271317581</v>
      </c>
      <c r="I26" s="170">
        <v>1.380644686410692</v>
      </c>
      <c r="V26" s="29">
        <v>454</v>
      </c>
      <c r="W26" s="31">
        <v>24.1</v>
      </c>
      <c r="AB26" s="39">
        <v>1.1795271499090674</v>
      </c>
      <c r="AF26" s="40" t="s">
        <v>156</v>
      </c>
      <c r="AG26" s="86" t="s">
        <v>218</v>
      </c>
    </row>
    <row r="27" spans="1:33" ht="62.1">
      <c r="A27" s="16" t="s">
        <v>26</v>
      </c>
      <c r="B27" s="16">
        <v>2021</v>
      </c>
      <c r="C27" s="14" t="s">
        <v>23</v>
      </c>
      <c r="D27" s="27" t="s">
        <v>193</v>
      </c>
      <c r="E27" s="17" t="s">
        <v>219</v>
      </c>
      <c r="F27" s="17" t="s">
        <v>195</v>
      </c>
      <c r="G27" s="170">
        <v>104.4</v>
      </c>
      <c r="H27" s="170">
        <f t="shared" si="2"/>
        <v>123.47808837209105</v>
      </c>
      <c r="I27" s="170">
        <v>1.0977860263615862</v>
      </c>
      <c r="V27" s="29">
        <v>361</v>
      </c>
      <c r="W27" s="29"/>
      <c r="AB27" s="39">
        <v>0.93790594959729801</v>
      </c>
      <c r="AF27" s="40" t="s">
        <v>184</v>
      </c>
      <c r="AG27" s="96" t="s">
        <v>220</v>
      </c>
    </row>
    <row r="28" spans="1:33" ht="77.45">
      <c r="A28" s="16" t="s">
        <v>26</v>
      </c>
      <c r="B28" s="16">
        <v>2021</v>
      </c>
      <c r="C28" s="14" t="s">
        <v>23</v>
      </c>
      <c r="D28" s="27" t="s">
        <v>221</v>
      </c>
      <c r="E28" s="17" t="s">
        <v>222</v>
      </c>
      <c r="F28" s="17" t="s">
        <v>223</v>
      </c>
      <c r="G28" s="170">
        <v>74.53</v>
      </c>
      <c r="H28" s="170">
        <f t="shared" si="2"/>
        <v>88.149635310076107</v>
      </c>
      <c r="I28" s="170">
        <v>0.78369724659702111</v>
      </c>
      <c r="V28" s="29">
        <v>252.7</v>
      </c>
      <c r="W28" s="29"/>
      <c r="AB28" s="39">
        <v>0.65653416471810855</v>
      </c>
      <c r="AF28" s="40" t="s">
        <v>224</v>
      </c>
      <c r="AG28" s="96" t="s">
        <v>225</v>
      </c>
    </row>
    <row r="29" spans="1:33" ht="62.1">
      <c r="A29" s="16" t="s">
        <v>26</v>
      </c>
      <c r="B29" s="16">
        <v>2021</v>
      </c>
      <c r="C29" s="14" t="s">
        <v>23</v>
      </c>
      <c r="D29" s="27" t="s">
        <v>198</v>
      </c>
      <c r="E29" s="17" t="s">
        <v>199</v>
      </c>
      <c r="F29" s="17" t="s">
        <v>199</v>
      </c>
      <c r="G29" s="170">
        <v>95.63</v>
      </c>
      <c r="H29" s="170">
        <f t="shared" si="2"/>
        <v>113.10545585271136</v>
      </c>
      <c r="I29" s="170">
        <v>1.0055677940704835</v>
      </c>
      <c r="V29" s="29">
        <v>330.68</v>
      </c>
      <c r="W29" s="29"/>
      <c r="AB29" s="39">
        <v>0.85913224214081585</v>
      </c>
      <c r="AF29" s="40" t="s">
        <v>184</v>
      </c>
      <c r="AG29" s="96" t="s">
        <v>226</v>
      </c>
    </row>
    <row r="30" spans="1:33" ht="15.6">
      <c r="A30" s="16" t="s">
        <v>26</v>
      </c>
      <c r="B30" s="16">
        <v>2021</v>
      </c>
      <c r="C30" s="14" t="s">
        <v>23</v>
      </c>
      <c r="D30" s="27" t="s">
        <v>202</v>
      </c>
      <c r="E30" s="17"/>
      <c r="F30" s="17"/>
      <c r="G30" s="170" t="s">
        <v>227</v>
      </c>
      <c r="H30" s="170" t="e">
        <f t="shared" si="2"/>
        <v>#VALUE!</v>
      </c>
      <c r="I30" s="170">
        <v>6</v>
      </c>
      <c r="V30" s="29"/>
      <c r="W30" s="29"/>
      <c r="AB30" s="39"/>
      <c r="AF30" s="261"/>
      <c r="AG30" s="263" t="s">
        <v>203</v>
      </c>
    </row>
    <row r="31" spans="1:33" ht="15.6">
      <c r="A31" s="16" t="s">
        <v>26</v>
      </c>
      <c r="B31" s="16">
        <v>2022</v>
      </c>
      <c r="C31" s="14" t="s">
        <v>23</v>
      </c>
      <c r="D31" s="27" t="s">
        <v>154</v>
      </c>
      <c r="E31" s="17" t="s">
        <v>155</v>
      </c>
      <c r="F31" s="17" t="s">
        <v>155</v>
      </c>
      <c r="G31" s="170">
        <v>3467</v>
      </c>
      <c r="H31" s="170">
        <f>G31/0.949623753156941</f>
        <v>3650.9196284046834</v>
      </c>
      <c r="I31" s="170">
        <v>38.046973251891373</v>
      </c>
      <c r="V31" s="30">
        <v>17419</v>
      </c>
      <c r="W31" s="29"/>
      <c r="AB31" s="39">
        <v>45.150336962156558</v>
      </c>
      <c r="AF31" s="41" t="s">
        <v>156</v>
      </c>
      <c r="AG31" s="86" t="s">
        <v>228</v>
      </c>
    </row>
    <row r="32" spans="1:33" ht="108.6">
      <c r="A32" s="16" t="s">
        <v>26</v>
      </c>
      <c r="B32" s="16">
        <v>2022</v>
      </c>
      <c r="C32" s="14" t="s">
        <v>23</v>
      </c>
      <c r="D32" s="27" t="s">
        <v>160</v>
      </c>
      <c r="E32" s="17" t="s">
        <v>161</v>
      </c>
      <c r="F32" s="17" t="s">
        <v>160</v>
      </c>
      <c r="G32" s="170">
        <v>2985.07</v>
      </c>
      <c r="H32" s="170">
        <f t="shared" ref="H32:H40" si="3">G32/0.949623753156941</f>
        <v>3143.4238982295842</v>
      </c>
      <c r="I32" s="170">
        <v>32.758257411313352</v>
      </c>
      <c r="V32" s="29">
        <v>10266.44</v>
      </c>
      <c r="W32" s="29"/>
      <c r="AB32" s="39">
        <v>26.61078278900985</v>
      </c>
      <c r="AF32" s="41" t="s">
        <v>156</v>
      </c>
      <c r="AG32" s="96" t="s">
        <v>229</v>
      </c>
    </row>
    <row r="33" spans="1:33" ht="62.1">
      <c r="A33" s="16" t="s">
        <v>26</v>
      </c>
      <c r="B33" s="16">
        <v>2022</v>
      </c>
      <c r="C33" s="14" t="s">
        <v>23</v>
      </c>
      <c r="D33" s="27" t="s">
        <v>171</v>
      </c>
      <c r="E33" s="17" t="s">
        <v>172</v>
      </c>
      <c r="F33" s="17" t="s">
        <v>173</v>
      </c>
      <c r="G33" s="170">
        <v>874.19</v>
      </c>
      <c r="H33" s="170">
        <f t="shared" si="3"/>
        <v>920.56458896887523</v>
      </c>
      <c r="I33" s="170">
        <v>9.5933901202973537</v>
      </c>
      <c r="V33" s="29">
        <v>3006.57</v>
      </c>
      <c r="W33" s="29"/>
      <c r="AB33" s="39">
        <v>7.7930793157076215</v>
      </c>
      <c r="AF33" s="41" t="s">
        <v>156</v>
      </c>
      <c r="AG33" s="96" t="s">
        <v>230</v>
      </c>
    </row>
    <row r="34" spans="1:33" ht="15.6">
      <c r="A34" s="16" t="s">
        <v>26</v>
      </c>
      <c r="B34" s="16">
        <v>2022</v>
      </c>
      <c r="C34" s="14" t="s">
        <v>23</v>
      </c>
      <c r="D34" s="27" t="s">
        <v>176</v>
      </c>
      <c r="E34" s="17" t="s">
        <v>177</v>
      </c>
      <c r="F34" s="17" t="s">
        <v>178</v>
      </c>
      <c r="G34" s="170">
        <v>635.94000000000005</v>
      </c>
      <c r="H34" s="170">
        <f t="shared" si="3"/>
        <v>669.67575093385483</v>
      </c>
      <c r="I34" s="170">
        <v>6.9788267002618403</v>
      </c>
      <c r="V34" s="29">
        <v>2187.25</v>
      </c>
      <c r="W34" s="29"/>
      <c r="AB34" s="39">
        <v>5.6693882840850183</v>
      </c>
      <c r="AF34" s="41" t="s">
        <v>156</v>
      </c>
      <c r="AG34" s="86" t="s">
        <v>231</v>
      </c>
    </row>
    <row r="35" spans="1:33" ht="62.1">
      <c r="A35" s="16" t="s">
        <v>26</v>
      </c>
      <c r="B35" s="16">
        <v>2022</v>
      </c>
      <c r="C35" s="14" t="s">
        <v>23</v>
      </c>
      <c r="D35" s="27" t="s">
        <v>182</v>
      </c>
      <c r="E35" s="17" t="s">
        <v>183</v>
      </c>
      <c r="F35" s="17" t="s">
        <v>183</v>
      </c>
      <c r="G35" s="170">
        <v>146.75</v>
      </c>
      <c r="H35" s="170">
        <f t="shared" si="3"/>
        <v>154.53488764591501</v>
      </c>
      <c r="I35" s="170">
        <v>1.6104393783429649</v>
      </c>
      <c r="V35" s="29">
        <v>504.7</v>
      </c>
      <c r="W35" s="29"/>
      <c r="AB35" s="39">
        <v>1.3081907724209434</v>
      </c>
      <c r="AF35" s="41" t="s">
        <v>184</v>
      </c>
      <c r="AG35" s="96" t="s">
        <v>232</v>
      </c>
    </row>
    <row r="36" spans="1:33" ht="15.6">
      <c r="A36" s="16" t="s">
        <v>26</v>
      </c>
      <c r="B36" s="16">
        <v>2022</v>
      </c>
      <c r="C36" s="14" t="s">
        <v>23</v>
      </c>
      <c r="D36" s="27" t="s">
        <v>188</v>
      </c>
      <c r="E36" s="17" t="s">
        <v>233</v>
      </c>
      <c r="F36" s="17" t="s">
        <v>189</v>
      </c>
      <c r="G36" s="170">
        <v>132.01</v>
      </c>
      <c r="H36" s="170">
        <f t="shared" si="3"/>
        <v>139.01295071984489</v>
      </c>
      <c r="I36" s="170">
        <v>1.448682128347903</v>
      </c>
      <c r="V36" s="29">
        <v>475</v>
      </c>
      <c r="W36" s="29">
        <v>24.23</v>
      </c>
      <c r="AB36" s="39">
        <v>1.2312078797304302</v>
      </c>
      <c r="AF36" s="41" t="s">
        <v>156</v>
      </c>
      <c r="AG36" s="86" t="s">
        <v>234</v>
      </c>
    </row>
    <row r="37" spans="1:33" ht="62.1">
      <c r="A37" s="16" t="s">
        <v>26</v>
      </c>
      <c r="B37" s="16">
        <v>2022</v>
      </c>
      <c r="C37" s="14" t="s">
        <v>23</v>
      </c>
      <c r="D37" s="27" t="s">
        <v>193</v>
      </c>
      <c r="E37" s="17" t="s">
        <v>194</v>
      </c>
      <c r="F37" s="17" t="s">
        <v>195</v>
      </c>
      <c r="G37" s="170">
        <v>104.81</v>
      </c>
      <c r="H37" s="170">
        <f t="shared" si="3"/>
        <v>110.37002776264634</v>
      </c>
      <c r="I37" s="170">
        <v>1.1501884241507745</v>
      </c>
      <c r="V37" s="29">
        <v>360.5</v>
      </c>
      <c r="W37" s="29"/>
      <c r="AB37" s="39">
        <v>0.93442198030067403</v>
      </c>
      <c r="AF37" s="41" t="s">
        <v>184</v>
      </c>
      <c r="AG37" s="96" t="s">
        <v>235</v>
      </c>
    </row>
    <row r="38" spans="1:33" ht="62.1">
      <c r="A38" s="16" t="s">
        <v>26</v>
      </c>
      <c r="B38" s="16">
        <v>2022</v>
      </c>
      <c r="C38" s="14" t="s">
        <v>23</v>
      </c>
      <c r="D38" s="27" t="s">
        <v>221</v>
      </c>
      <c r="E38" s="17" t="s">
        <v>236</v>
      </c>
      <c r="F38" s="17" t="s">
        <v>223</v>
      </c>
      <c r="G38" s="170">
        <v>104.81</v>
      </c>
      <c r="H38" s="170">
        <f t="shared" si="3"/>
        <v>110.37002776264634</v>
      </c>
      <c r="I38" s="170">
        <v>1.1501884241507745</v>
      </c>
      <c r="V38" s="29">
        <v>360.5</v>
      </c>
      <c r="W38" s="29"/>
      <c r="AB38" s="39">
        <v>0.93442198030067403</v>
      </c>
      <c r="AF38" s="41" t="s">
        <v>224</v>
      </c>
      <c r="AG38" s="96" t="s">
        <v>237</v>
      </c>
    </row>
    <row r="39" spans="1:33" ht="77.45">
      <c r="A39" s="16" t="s">
        <v>26</v>
      </c>
      <c r="B39" s="16">
        <v>2022</v>
      </c>
      <c r="C39" s="14" t="s">
        <v>23</v>
      </c>
      <c r="D39" s="27" t="s">
        <v>198</v>
      </c>
      <c r="E39" s="17" t="s">
        <v>199</v>
      </c>
      <c r="F39" s="17" t="s">
        <v>199</v>
      </c>
      <c r="G39" s="170">
        <v>96.9</v>
      </c>
      <c r="H39" s="170">
        <f t="shared" si="3"/>
        <v>102.04041303501985</v>
      </c>
      <c r="I39" s="170">
        <v>1.0633838212022713</v>
      </c>
      <c r="V39" s="29">
        <v>333.1</v>
      </c>
      <c r="W39" s="29"/>
      <c r="AB39" s="39">
        <v>0.86340072576464499</v>
      </c>
      <c r="AF39" s="41" t="s">
        <v>184</v>
      </c>
      <c r="AG39" s="96" t="s">
        <v>238</v>
      </c>
    </row>
    <row r="40" spans="1:33" ht="15.6">
      <c r="A40" s="16" t="s">
        <v>26</v>
      </c>
      <c r="B40" s="16">
        <v>2022</v>
      </c>
      <c r="C40" s="14" t="s">
        <v>23</v>
      </c>
      <c r="D40" s="27" t="s">
        <v>202</v>
      </c>
      <c r="E40" s="17"/>
      <c r="F40" s="17"/>
      <c r="G40" s="170">
        <v>564.94000000000005</v>
      </c>
      <c r="H40" s="170">
        <f t="shared" si="3"/>
        <v>594.90929762646147</v>
      </c>
      <c r="I40" s="170">
        <v>6.2</v>
      </c>
      <c r="V40" s="29"/>
      <c r="W40" s="29"/>
      <c r="AB40" s="39"/>
      <c r="AF40" s="41"/>
      <c r="AG40" s="96" t="s">
        <v>203</v>
      </c>
    </row>
    <row r="41" spans="1:33" ht="15.6">
      <c r="A41" s="16" t="s">
        <v>26</v>
      </c>
      <c r="B41" s="16">
        <v>2023</v>
      </c>
      <c r="C41" s="27" t="s">
        <v>23</v>
      </c>
      <c r="D41" s="27" t="s">
        <v>154</v>
      </c>
      <c r="E41" s="17" t="s">
        <v>155</v>
      </c>
      <c r="F41" s="17" t="s">
        <v>155</v>
      </c>
      <c r="G41" s="170">
        <v>3109</v>
      </c>
      <c r="H41" s="170">
        <f>G41/0.924839558470698</f>
        <v>3361.6641627451572</v>
      </c>
      <c r="I41" s="170">
        <f>(G41/'Total Revenue (Millions)'!$D$54)*100</f>
        <v>27.027661407472635</v>
      </c>
      <c r="V41" s="30">
        <v>17325.5</v>
      </c>
      <c r="W41" s="29"/>
      <c r="AB41" s="39"/>
      <c r="AF41" s="41"/>
      <c r="AG41" s="32" t="s">
        <v>239</v>
      </c>
    </row>
    <row r="42" spans="1:33" ht="15.6">
      <c r="A42" s="16" t="s">
        <v>26</v>
      </c>
      <c r="B42" s="16">
        <v>2023</v>
      </c>
      <c r="C42" s="27" t="s">
        <v>23</v>
      </c>
      <c r="D42" s="27" t="s">
        <v>160</v>
      </c>
      <c r="E42" s="17" t="s">
        <v>161</v>
      </c>
      <c r="F42" s="17" t="s">
        <v>160</v>
      </c>
      <c r="G42" s="170">
        <v>3077.81</v>
      </c>
      <c r="H42" s="170">
        <f t="shared" ref="H42:H50" si="4">G42/0.924839558470698</f>
        <v>3327.9393942549605</v>
      </c>
      <c r="I42" s="170">
        <f>(G42/'Total Revenue (Millions)'!$D$54)*100</f>
        <v>26.7565154572317</v>
      </c>
      <c r="V42" s="29">
        <v>10282</v>
      </c>
      <c r="W42" s="29"/>
      <c r="AB42" s="39"/>
      <c r="AF42" s="41"/>
      <c r="AG42" s="95" t="s">
        <v>240</v>
      </c>
    </row>
    <row r="43" spans="1:33" ht="15.6">
      <c r="A43" s="16" t="s">
        <v>26</v>
      </c>
      <c r="B43" s="16">
        <v>2023</v>
      </c>
      <c r="C43" s="27" t="s">
        <v>23</v>
      </c>
      <c r="D43" s="27" t="s">
        <v>171</v>
      </c>
      <c r="E43" s="17" t="s">
        <v>172</v>
      </c>
      <c r="F43" s="17" t="s">
        <v>173</v>
      </c>
      <c r="G43" s="168">
        <v>843.72</v>
      </c>
      <c r="H43" s="170">
        <f t="shared" si="4"/>
        <v>912.28796635295737</v>
      </c>
      <c r="I43" s="170">
        <f>(G43/'Total Revenue (Millions)'!$D$54)*100</f>
        <v>7.3347631015480266</v>
      </c>
      <c r="V43" s="29">
        <v>28912.1</v>
      </c>
      <c r="W43" s="29"/>
      <c r="AB43" s="39"/>
      <c r="AF43" s="41"/>
      <c r="AG43" s="95" t="s">
        <v>241</v>
      </c>
    </row>
    <row r="44" spans="1:33" ht="15.6">
      <c r="A44" s="16" t="s">
        <v>26</v>
      </c>
      <c r="B44" s="16">
        <v>2023</v>
      </c>
      <c r="C44" s="27" t="s">
        <v>23</v>
      </c>
      <c r="D44" s="27" t="s">
        <v>176</v>
      </c>
      <c r="E44" s="17" t="s">
        <v>177</v>
      </c>
      <c r="F44" s="17" t="s">
        <v>178</v>
      </c>
      <c r="G44" s="170">
        <v>665.83</v>
      </c>
      <c r="H44" s="170">
        <f t="shared" si="4"/>
        <v>719.94109021569898</v>
      </c>
      <c r="I44" s="170">
        <f>(G44/'Total Revenue (Millions)'!$D$54)*100</f>
        <v>5.7883009954768436</v>
      </c>
      <c r="V44" s="29">
        <v>17304</v>
      </c>
      <c r="W44" s="29"/>
      <c r="AB44" s="39"/>
      <c r="AF44" s="41"/>
      <c r="AG44" s="32" t="s">
        <v>242</v>
      </c>
    </row>
    <row r="45" spans="1:33" ht="15.6">
      <c r="A45" s="16" t="s">
        <v>26</v>
      </c>
      <c r="B45" s="16">
        <v>2023</v>
      </c>
      <c r="C45" s="27" t="s">
        <v>23</v>
      </c>
      <c r="D45" s="27" t="s">
        <v>182</v>
      </c>
      <c r="E45" s="17" t="s">
        <v>183</v>
      </c>
      <c r="F45" s="17" t="s">
        <v>183</v>
      </c>
      <c r="G45" s="170">
        <v>106.53</v>
      </c>
      <c r="H45" s="170">
        <f t="shared" si="4"/>
        <v>115.18754688235498</v>
      </c>
      <c r="I45" s="170">
        <f>(G45/'Total Revenue (Millions)'!$D$54)*100</f>
        <v>0.92610381786364104</v>
      </c>
      <c r="V45" s="29">
        <v>5047</v>
      </c>
      <c r="W45" s="29"/>
      <c r="AB45" s="39"/>
      <c r="AF45" s="41"/>
      <c r="AG45" s="95" t="s">
        <v>243</v>
      </c>
    </row>
    <row r="46" spans="1:33" ht="15.6">
      <c r="A46" s="16" t="s">
        <v>26</v>
      </c>
      <c r="B46" s="16">
        <v>2023</v>
      </c>
      <c r="C46" s="27" t="s">
        <v>23</v>
      </c>
      <c r="D46" s="27" t="s">
        <v>188</v>
      </c>
      <c r="E46" s="17" t="s">
        <v>233</v>
      </c>
      <c r="F46" s="17" t="s">
        <v>189</v>
      </c>
      <c r="G46" s="170">
        <v>146.76</v>
      </c>
      <c r="H46" s="170">
        <f t="shared" si="4"/>
        <v>158.68698376470869</v>
      </c>
      <c r="I46" s="170">
        <f>(G46/'Total Revenue (Millions)'!$D$54)*100</f>
        <v>1.2758377575299724</v>
      </c>
      <c r="V46" s="29">
        <v>503.5</v>
      </c>
      <c r="W46" s="29">
        <v>24.29</v>
      </c>
      <c r="AB46" s="39"/>
      <c r="AF46" s="41"/>
      <c r="AG46" s="32" t="s">
        <v>244</v>
      </c>
    </row>
    <row r="47" spans="1:33" ht="62.1">
      <c r="A47" s="16" t="s">
        <v>26</v>
      </c>
      <c r="B47" s="16">
        <v>2023</v>
      </c>
      <c r="C47" s="27" t="s">
        <v>23</v>
      </c>
      <c r="D47" s="27" t="s">
        <v>193</v>
      </c>
      <c r="E47" s="17" t="s">
        <v>194</v>
      </c>
      <c r="F47" s="17" t="s">
        <v>195</v>
      </c>
      <c r="G47" s="170">
        <v>104.94</v>
      </c>
      <c r="H47" s="170">
        <f t="shared" si="4"/>
        <v>113.46832976470789</v>
      </c>
      <c r="I47" s="170">
        <f>(G47/'Total Revenue (Millions)'!$D$54)*100</f>
        <v>0.91228137282090027</v>
      </c>
      <c r="V47" s="29" t="s">
        <v>245</v>
      </c>
      <c r="W47" s="29"/>
      <c r="AB47" s="39"/>
      <c r="AF47" s="41"/>
      <c r="AG47" s="95" t="s">
        <v>246</v>
      </c>
    </row>
    <row r="48" spans="1:33" ht="62.1">
      <c r="A48" s="16" t="s">
        <v>26</v>
      </c>
      <c r="B48" s="16">
        <v>2023</v>
      </c>
      <c r="C48" s="27" t="s">
        <v>23</v>
      </c>
      <c r="D48" s="27" t="s">
        <v>221</v>
      </c>
      <c r="E48" s="17" t="s">
        <v>236</v>
      </c>
      <c r="F48" s="17" t="s">
        <v>223</v>
      </c>
      <c r="G48" s="170">
        <v>104.94</v>
      </c>
      <c r="H48" s="170">
        <f t="shared" si="4"/>
        <v>113.46832976470789</v>
      </c>
      <c r="I48" s="170">
        <f>(G48/'Total Revenue (Millions)'!$D$54)*100</f>
        <v>0.91228137282090027</v>
      </c>
      <c r="V48" s="29">
        <v>360.05</v>
      </c>
      <c r="AB48" s="39"/>
      <c r="AF48" s="41"/>
      <c r="AG48" s="95" t="s">
        <v>247</v>
      </c>
    </row>
    <row r="49" spans="1:33" ht="62.1">
      <c r="A49" s="16" t="s">
        <v>26</v>
      </c>
      <c r="B49" s="16">
        <v>2023</v>
      </c>
      <c r="C49" s="27" t="s">
        <v>23</v>
      </c>
      <c r="D49" s="27" t="s">
        <v>198</v>
      </c>
      <c r="E49" s="17" t="s">
        <v>199</v>
      </c>
      <c r="F49" s="17" t="s">
        <v>199</v>
      </c>
      <c r="G49" s="170">
        <v>84.06</v>
      </c>
      <c r="H49" s="170">
        <f t="shared" si="4"/>
        <v>90.891440823531013</v>
      </c>
      <c r="I49" s="170">
        <f>(G49/'Total Revenue (Millions)'!$D$54)*100</f>
        <v>0.73076398131622711</v>
      </c>
      <c r="V49" s="29">
        <v>288.39999999999998</v>
      </c>
      <c r="W49" s="29"/>
      <c r="AB49" s="39"/>
      <c r="AF49" s="41"/>
      <c r="AG49" s="95" t="s">
        <v>248</v>
      </c>
    </row>
    <row r="50" spans="1:33" ht="15.6">
      <c r="A50" s="16" t="s">
        <v>26</v>
      </c>
      <c r="B50" s="16">
        <v>2023</v>
      </c>
      <c r="C50" s="27" t="s">
        <v>23</v>
      </c>
      <c r="D50" s="27" t="s">
        <v>202</v>
      </c>
      <c r="E50" s="17"/>
      <c r="F50" s="17"/>
      <c r="G50" s="170">
        <v>463.78</v>
      </c>
      <c r="H50" s="170">
        <f t="shared" si="4"/>
        <v>501.47076403922449</v>
      </c>
      <c r="I50" s="170">
        <v>5.33</v>
      </c>
      <c r="V50" s="29"/>
      <c r="W50" s="29"/>
      <c r="AB50" s="39"/>
      <c r="AF50" s="41"/>
      <c r="AG50" s="32" t="s">
        <v>203</v>
      </c>
    </row>
    <row r="51" spans="1:33" ht="15.6">
      <c r="A51" s="16" t="s">
        <v>26</v>
      </c>
      <c r="B51" s="16">
        <v>1992</v>
      </c>
      <c r="C51" s="14" t="s">
        <v>31</v>
      </c>
      <c r="D51" s="6" t="s">
        <v>154</v>
      </c>
      <c r="E51" s="57" t="s">
        <v>154</v>
      </c>
      <c r="F51" s="17"/>
      <c r="G51" s="168"/>
      <c r="H51" s="225">
        <f>149*I51%</f>
        <v>57.216000000000001</v>
      </c>
      <c r="I51" s="170">
        <v>38.4</v>
      </c>
      <c r="AB51" s="77"/>
      <c r="AG51" s="86" t="s">
        <v>249</v>
      </c>
    </row>
    <row r="52" spans="1:33" ht="15.6">
      <c r="A52" s="16" t="s">
        <v>26</v>
      </c>
      <c r="B52" s="16">
        <v>1992</v>
      </c>
      <c r="C52" s="14" t="s">
        <v>31</v>
      </c>
      <c r="D52" s="27" t="s">
        <v>160</v>
      </c>
      <c r="E52" s="17" t="s">
        <v>161</v>
      </c>
      <c r="F52" s="17"/>
      <c r="G52" s="168"/>
      <c r="H52" s="225">
        <f>149*I52%</f>
        <v>91.783999999999992</v>
      </c>
      <c r="I52" s="170">
        <v>61.6</v>
      </c>
      <c r="AB52" s="77"/>
      <c r="AG52" s="32" t="s">
        <v>250</v>
      </c>
    </row>
    <row r="53" spans="1:33" ht="15.6">
      <c r="A53" s="16" t="s">
        <v>26</v>
      </c>
      <c r="B53" s="16">
        <v>1992</v>
      </c>
      <c r="C53" s="14" t="s">
        <v>31</v>
      </c>
      <c r="D53" s="9" t="s">
        <v>251</v>
      </c>
      <c r="E53" s="17" t="s">
        <v>252</v>
      </c>
      <c r="F53" s="17"/>
      <c r="G53" s="271"/>
      <c r="H53" s="271"/>
      <c r="I53" s="271"/>
      <c r="J53" s="271"/>
      <c r="AB53" s="77"/>
      <c r="AG53" s="86" t="s">
        <v>253</v>
      </c>
    </row>
    <row r="54" spans="1:33" ht="15.6">
      <c r="A54" s="16" t="s">
        <v>26</v>
      </c>
      <c r="B54" s="16">
        <v>1992</v>
      </c>
      <c r="C54" s="14" t="s">
        <v>31</v>
      </c>
      <c r="D54" s="9" t="s">
        <v>254</v>
      </c>
      <c r="E54" s="17" t="s">
        <v>254</v>
      </c>
      <c r="F54" s="17"/>
      <c r="G54" s="271"/>
      <c r="H54" s="271"/>
      <c r="I54" s="271"/>
      <c r="J54" s="271"/>
      <c r="AB54" s="77"/>
      <c r="AF54" s="142"/>
      <c r="AG54" s="143"/>
    </row>
    <row r="55" spans="1:33" ht="15.6">
      <c r="A55" s="16" t="s">
        <v>26</v>
      </c>
      <c r="B55" s="16">
        <v>1996</v>
      </c>
      <c r="C55" s="14" t="s">
        <v>31</v>
      </c>
      <c r="D55" s="9" t="s">
        <v>255</v>
      </c>
      <c r="E55" s="17" t="s">
        <v>255</v>
      </c>
      <c r="F55" s="17"/>
      <c r="G55" s="271"/>
      <c r="H55" s="272">
        <f>7740*I55%</f>
        <v>3351.42</v>
      </c>
      <c r="I55" s="273">
        <v>43.3</v>
      </c>
      <c r="J55" s="273"/>
      <c r="AB55" s="77"/>
      <c r="AF55" s="142"/>
      <c r="AG55" s="143"/>
    </row>
    <row r="56" spans="1:33" ht="15.6">
      <c r="A56" s="16" t="s">
        <v>26</v>
      </c>
      <c r="B56" s="16">
        <v>1996</v>
      </c>
      <c r="C56" s="14" t="s">
        <v>31</v>
      </c>
      <c r="D56" s="27" t="s">
        <v>160</v>
      </c>
      <c r="E56" s="17" t="s">
        <v>256</v>
      </c>
      <c r="F56" s="17"/>
      <c r="G56" s="271"/>
      <c r="H56" s="272">
        <f>7740*I56%</f>
        <v>3583.62</v>
      </c>
      <c r="I56" s="273">
        <v>46.3</v>
      </c>
      <c r="J56" s="273"/>
      <c r="AB56" s="77"/>
      <c r="AF56" s="142"/>
      <c r="AG56" s="143"/>
    </row>
    <row r="57" spans="1:33" ht="15.6">
      <c r="A57" s="16" t="s">
        <v>26</v>
      </c>
      <c r="B57" s="16">
        <v>1996</v>
      </c>
      <c r="C57" s="14" t="s">
        <v>31</v>
      </c>
      <c r="D57" s="9" t="s">
        <v>251</v>
      </c>
      <c r="E57" s="17" t="s">
        <v>257</v>
      </c>
      <c r="F57" s="17"/>
      <c r="G57" s="271"/>
      <c r="H57" s="272">
        <f>7740*I57%</f>
        <v>804.96</v>
      </c>
      <c r="I57" s="273">
        <v>10.4</v>
      </c>
      <c r="J57" s="273"/>
      <c r="AB57" s="77"/>
      <c r="AF57" s="142"/>
      <c r="AG57" s="143"/>
    </row>
    <row r="58" spans="1:33" ht="15.6">
      <c r="A58" s="16" t="s">
        <v>26</v>
      </c>
      <c r="B58" s="16">
        <v>1996</v>
      </c>
      <c r="C58" s="14" t="s">
        <v>31</v>
      </c>
      <c r="D58" s="9" t="s">
        <v>254</v>
      </c>
      <c r="E58" s="17" t="s">
        <v>254</v>
      </c>
      <c r="F58" s="17"/>
      <c r="G58" s="271"/>
      <c r="H58" s="271"/>
      <c r="I58" s="271"/>
      <c r="J58" s="271"/>
      <c r="AB58" s="77"/>
      <c r="AF58" s="142"/>
      <c r="AG58" s="143"/>
    </row>
    <row r="59" spans="1:33" ht="15.6">
      <c r="A59" s="16" t="s">
        <v>26</v>
      </c>
      <c r="B59" s="16">
        <v>2000</v>
      </c>
      <c r="C59" s="14" t="s">
        <v>31</v>
      </c>
      <c r="D59" s="9" t="s">
        <v>255</v>
      </c>
      <c r="E59" s="17" t="s">
        <v>255</v>
      </c>
      <c r="F59" s="17"/>
      <c r="G59" s="271"/>
      <c r="H59" s="274">
        <f>14904*I59%</f>
        <v>5916.8879999999999</v>
      </c>
      <c r="I59" s="273">
        <v>39.700000000000003</v>
      </c>
      <c r="J59" s="273"/>
      <c r="AB59" s="77"/>
      <c r="AF59" s="142"/>
      <c r="AG59" s="143"/>
    </row>
    <row r="60" spans="1:33" ht="15.6">
      <c r="A60" s="16" t="s">
        <v>26</v>
      </c>
      <c r="B60" s="16">
        <v>2000</v>
      </c>
      <c r="C60" s="14" t="s">
        <v>31</v>
      </c>
      <c r="D60" s="27" t="s">
        <v>160</v>
      </c>
      <c r="E60" s="17" t="s">
        <v>256</v>
      </c>
      <c r="F60" s="17"/>
      <c r="G60" s="271"/>
      <c r="H60" s="274">
        <f>14904*I60%</f>
        <v>5961.6</v>
      </c>
      <c r="I60" s="273">
        <v>40</v>
      </c>
      <c r="J60" s="273"/>
      <c r="AB60" s="77"/>
      <c r="AF60" s="142"/>
      <c r="AG60" s="143"/>
    </row>
    <row r="61" spans="1:33" ht="15.6">
      <c r="A61" s="16" t="s">
        <v>26</v>
      </c>
      <c r="B61" s="16">
        <v>2000</v>
      </c>
      <c r="C61" s="14" t="s">
        <v>31</v>
      </c>
      <c r="D61" s="9" t="s">
        <v>251</v>
      </c>
      <c r="E61" s="17" t="s">
        <v>257</v>
      </c>
      <c r="F61" s="17"/>
      <c r="G61" s="271"/>
      <c r="H61" s="274">
        <f>14904*I61%</f>
        <v>2041.8479999999997</v>
      </c>
      <c r="I61" s="273">
        <v>13.7</v>
      </c>
      <c r="J61" s="273"/>
      <c r="AB61" s="77"/>
      <c r="AF61" s="142"/>
      <c r="AG61" s="143"/>
    </row>
    <row r="62" spans="1:33" ht="15.6">
      <c r="A62" s="16" t="s">
        <v>26</v>
      </c>
      <c r="B62" s="16">
        <v>2000</v>
      </c>
      <c r="C62" s="14" t="s">
        <v>31</v>
      </c>
      <c r="D62" s="9" t="s">
        <v>254</v>
      </c>
      <c r="E62" s="17" t="s">
        <v>254</v>
      </c>
      <c r="F62" s="17"/>
      <c r="G62" s="271"/>
      <c r="H62" s="274">
        <f>14904*I62%</f>
        <v>983.6640000000001</v>
      </c>
      <c r="I62" s="273">
        <v>6.6</v>
      </c>
      <c r="J62" s="273"/>
      <c r="AB62" s="77"/>
      <c r="AF62" s="142"/>
      <c r="AG62" s="143"/>
    </row>
    <row r="63" spans="1:33" ht="15.6">
      <c r="A63" s="16" t="s">
        <v>26</v>
      </c>
      <c r="B63" s="16">
        <v>2004</v>
      </c>
      <c r="C63" s="14" t="s">
        <v>31</v>
      </c>
      <c r="D63" s="9" t="s">
        <v>255</v>
      </c>
      <c r="E63" s="17" t="s">
        <v>255</v>
      </c>
      <c r="F63" s="17"/>
      <c r="G63" s="271"/>
      <c r="H63" s="272">
        <f>26174*I63%</f>
        <v>10076.99</v>
      </c>
      <c r="I63" s="273">
        <v>38.5</v>
      </c>
      <c r="J63" s="273"/>
      <c r="AB63" s="77"/>
      <c r="AF63" s="142"/>
      <c r="AG63" s="143"/>
    </row>
    <row r="64" spans="1:33" ht="15.6">
      <c r="A64" s="16" t="s">
        <v>26</v>
      </c>
      <c r="B64" s="16">
        <v>2004</v>
      </c>
      <c r="C64" s="14" t="s">
        <v>31</v>
      </c>
      <c r="D64" s="27" t="s">
        <v>160</v>
      </c>
      <c r="E64" s="17" t="s">
        <v>256</v>
      </c>
      <c r="F64" s="17"/>
      <c r="G64" s="271"/>
      <c r="H64" s="272">
        <f>26174*I64%</f>
        <v>9893.771999999999</v>
      </c>
      <c r="I64" s="273">
        <v>37.799999999999997</v>
      </c>
      <c r="J64" s="273"/>
      <c r="AB64" s="77"/>
      <c r="AF64" s="142"/>
      <c r="AG64" s="143"/>
    </row>
    <row r="65" spans="1:33" ht="15.6">
      <c r="A65" s="16" t="s">
        <v>26</v>
      </c>
      <c r="B65" s="16">
        <v>2004</v>
      </c>
      <c r="C65" s="14" t="s">
        <v>31</v>
      </c>
      <c r="D65" s="9" t="s">
        <v>251</v>
      </c>
      <c r="E65" s="17" t="s">
        <v>257</v>
      </c>
      <c r="F65" s="17"/>
      <c r="G65" s="271"/>
      <c r="H65" s="272">
        <f>26174*I65%</f>
        <v>3481.1420000000003</v>
      </c>
      <c r="I65" s="273">
        <v>13.3</v>
      </c>
      <c r="J65" s="273"/>
      <c r="AB65" s="77"/>
      <c r="AF65" s="142"/>
      <c r="AG65" s="143"/>
    </row>
    <row r="66" spans="1:33" ht="15.6">
      <c r="A66" s="16" t="s">
        <v>26</v>
      </c>
      <c r="B66" s="16">
        <v>2004</v>
      </c>
      <c r="C66" s="14" t="s">
        <v>31</v>
      </c>
      <c r="D66" s="9" t="s">
        <v>254</v>
      </c>
      <c r="E66" s="17" t="s">
        <v>254</v>
      </c>
      <c r="F66" s="17"/>
      <c r="G66" s="271"/>
      <c r="H66" s="272">
        <f>26174*I66%</f>
        <v>2722.0960000000005</v>
      </c>
      <c r="I66" s="273">
        <v>10.4</v>
      </c>
      <c r="J66" s="273"/>
      <c r="AB66" s="77"/>
      <c r="AF66" s="142"/>
      <c r="AG66" s="143"/>
    </row>
    <row r="67" spans="1:33" ht="15.6">
      <c r="A67" s="16" t="s">
        <v>26</v>
      </c>
      <c r="B67" s="16">
        <v>2008</v>
      </c>
      <c r="C67" s="14" t="s">
        <v>31</v>
      </c>
      <c r="D67" s="9" t="s">
        <v>255</v>
      </c>
      <c r="E67" s="17" t="s">
        <v>255</v>
      </c>
      <c r="F67" s="17"/>
      <c r="G67" s="271"/>
      <c r="H67" s="272">
        <f>37632*I67%</f>
        <v>13773.312</v>
      </c>
      <c r="I67" s="273">
        <v>36.6</v>
      </c>
      <c r="J67" s="273"/>
      <c r="AB67" s="77"/>
      <c r="AF67" s="142"/>
      <c r="AG67" s="143"/>
    </row>
    <row r="68" spans="1:33" ht="15.6">
      <c r="A68" s="16" t="s">
        <v>26</v>
      </c>
      <c r="B68" s="16">
        <v>2008</v>
      </c>
      <c r="C68" s="14" t="s">
        <v>31</v>
      </c>
      <c r="D68" s="27" t="s">
        <v>160</v>
      </c>
      <c r="E68" s="17" t="s">
        <v>256</v>
      </c>
      <c r="F68" s="17"/>
      <c r="G68" s="271"/>
      <c r="H68" s="272">
        <f>37632*I68%</f>
        <v>12832.512000000001</v>
      </c>
      <c r="I68" s="273">
        <v>34.1</v>
      </c>
      <c r="J68" s="273"/>
      <c r="AB68" s="77"/>
      <c r="AF68" s="142"/>
      <c r="AG68" s="143"/>
    </row>
    <row r="69" spans="1:33" ht="15.6">
      <c r="A69" s="16" t="s">
        <v>26</v>
      </c>
      <c r="B69" s="16">
        <v>2008</v>
      </c>
      <c r="C69" s="14" t="s">
        <v>31</v>
      </c>
      <c r="D69" s="9" t="s">
        <v>251</v>
      </c>
      <c r="E69" s="17" t="s">
        <v>257</v>
      </c>
      <c r="F69" s="17"/>
      <c r="G69" s="271"/>
      <c r="H69" s="272">
        <f>37632*I69%</f>
        <v>6058.7520000000004</v>
      </c>
      <c r="I69" s="273">
        <v>16.100000000000001</v>
      </c>
      <c r="J69" s="273"/>
      <c r="AB69" s="77"/>
      <c r="AF69" s="142"/>
      <c r="AG69" s="143"/>
    </row>
    <row r="70" spans="1:33" ht="15.6">
      <c r="A70" s="16" t="s">
        <v>26</v>
      </c>
      <c r="B70" s="16">
        <v>2008</v>
      </c>
      <c r="C70" s="14" t="s">
        <v>31</v>
      </c>
      <c r="D70" s="9" t="s">
        <v>254</v>
      </c>
      <c r="E70" s="17" t="s">
        <v>254</v>
      </c>
      <c r="F70" s="17"/>
      <c r="G70" s="271"/>
      <c r="H70" s="272">
        <f>37632*I70%</f>
        <v>4967.424</v>
      </c>
      <c r="I70" s="273">
        <v>13.2</v>
      </c>
      <c r="J70" s="273"/>
      <c r="AB70" s="77"/>
      <c r="AF70" s="142"/>
      <c r="AG70" s="143"/>
    </row>
    <row r="71" spans="1:33" ht="15.6">
      <c r="A71" s="16" t="s">
        <v>26</v>
      </c>
      <c r="B71" s="16">
        <v>2012</v>
      </c>
      <c r="C71" s="14" t="s">
        <v>31</v>
      </c>
      <c r="D71" s="9" t="s">
        <v>255</v>
      </c>
      <c r="E71" s="17" t="s">
        <v>255</v>
      </c>
      <c r="F71" s="17"/>
      <c r="G71" s="271"/>
      <c r="H71" s="272">
        <f>27000*I71%</f>
        <v>8748</v>
      </c>
      <c r="I71" s="273">
        <v>32.4</v>
      </c>
      <c r="J71" s="273"/>
      <c r="AB71" s="77"/>
      <c r="AF71" s="142"/>
      <c r="AG71" s="143"/>
    </row>
    <row r="72" spans="1:33" ht="15.6">
      <c r="A72" s="16" t="s">
        <v>26</v>
      </c>
      <c r="B72" s="16">
        <v>2012</v>
      </c>
      <c r="C72" s="14" t="s">
        <v>31</v>
      </c>
      <c r="D72" s="27" t="s">
        <v>160</v>
      </c>
      <c r="E72" s="17" t="s">
        <v>256</v>
      </c>
      <c r="F72" s="17"/>
      <c r="G72" s="271"/>
      <c r="H72" s="272">
        <f>27000*I72%</f>
        <v>8073</v>
      </c>
      <c r="I72" s="273">
        <v>29.9</v>
      </c>
      <c r="J72" s="273"/>
      <c r="AB72" s="77"/>
      <c r="AF72" s="142"/>
      <c r="AG72" s="143"/>
    </row>
    <row r="73" spans="1:33" ht="15.6">
      <c r="A73" s="16" t="s">
        <v>26</v>
      </c>
      <c r="B73" s="16">
        <v>2012</v>
      </c>
      <c r="C73" s="14" t="s">
        <v>31</v>
      </c>
      <c r="D73" s="9" t="s">
        <v>251</v>
      </c>
      <c r="E73" s="17" t="s">
        <v>257</v>
      </c>
      <c r="F73" s="17"/>
      <c r="G73" s="271"/>
      <c r="H73" s="272">
        <f>27000*I73%</f>
        <v>5589</v>
      </c>
      <c r="I73" s="273">
        <v>20.7</v>
      </c>
      <c r="J73" s="273"/>
      <c r="AB73" s="77"/>
      <c r="AF73" s="142"/>
      <c r="AG73" s="143"/>
    </row>
    <row r="74" spans="1:33" ht="15.6">
      <c r="A74" s="16" t="s">
        <v>26</v>
      </c>
      <c r="B74" s="16">
        <v>2012</v>
      </c>
      <c r="C74" s="14" t="s">
        <v>31</v>
      </c>
      <c r="D74" s="9" t="s">
        <v>254</v>
      </c>
      <c r="E74" s="17" t="s">
        <v>254</v>
      </c>
      <c r="F74" s="17"/>
      <c r="G74" s="271"/>
      <c r="H74" s="272">
        <f>27000*I74%</f>
        <v>4590</v>
      </c>
      <c r="I74" s="273">
        <v>17</v>
      </c>
      <c r="J74" s="273"/>
      <c r="AB74" s="77"/>
      <c r="AF74" s="142"/>
      <c r="AG74" s="143"/>
    </row>
    <row r="75" spans="1:33" ht="15.6">
      <c r="A75" s="16" t="s">
        <v>26</v>
      </c>
      <c r="B75" s="16">
        <v>2019</v>
      </c>
      <c r="C75" s="14" t="s">
        <v>31</v>
      </c>
      <c r="D75" s="27" t="s">
        <v>154</v>
      </c>
      <c r="E75" s="35" t="s">
        <v>155</v>
      </c>
      <c r="F75" s="35" t="s">
        <v>258</v>
      </c>
      <c r="G75" s="227">
        <v>8157</v>
      </c>
      <c r="H75" s="170">
        <f t="shared" ref="H75:H80" si="5">G75/0.893276257067409</f>
        <v>9131.5535764704109</v>
      </c>
      <c r="I75" s="227">
        <v>30.665413533834585</v>
      </c>
      <c r="J75" s="227"/>
      <c r="V75" s="31">
        <v>45317.75</v>
      </c>
      <c r="W75" s="43">
        <v>179.99569705027281</v>
      </c>
      <c r="AB75" s="77"/>
      <c r="AF75" s="264" t="s">
        <v>156</v>
      </c>
      <c r="AG75" s="32" t="s">
        <v>259</v>
      </c>
    </row>
    <row r="76" spans="1:33" ht="15.6">
      <c r="A76" s="16" t="s">
        <v>26</v>
      </c>
      <c r="B76" s="16">
        <v>2019</v>
      </c>
      <c r="C76" s="14" t="s">
        <v>31</v>
      </c>
      <c r="D76" s="27" t="s">
        <v>260</v>
      </c>
      <c r="E76" s="35" t="s">
        <v>177</v>
      </c>
      <c r="F76" s="35" t="s">
        <v>178</v>
      </c>
      <c r="G76" s="227">
        <v>6647</v>
      </c>
      <c r="H76" s="170">
        <f t="shared" si="5"/>
        <v>7441.1470666665218</v>
      </c>
      <c r="I76" s="227">
        <v>24.988721804511275</v>
      </c>
      <c r="J76" s="227"/>
      <c r="V76" s="43">
        <v>43827</v>
      </c>
      <c r="W76" s="43">
        <v>151.66449905309511</v>
      </c>
      <c r="AB76" s="77"/>
      <c r="AF76" s="264" t="s">
        <v>156</v>
      </c>
      <c r="AG76" s="32" t="s">
        <v>261</v>
      </c>
    </row>
    <row r="77" spans="1:33" ht="15.6">
      <c r="A77" s="16" t="s">
        <v>26</v>
      </c>
      <c r="B77" s="16">
        <v>2019</v>
      </c>
      <c r="C77" s="14" t="s">
        <v>31</v>
      </c>
      <c r="D77" s="27" t="s">
        <v>160</v>
      </c>
      <c r="E77" s="35" t="s">
        <v>161</v>
      </c>
      <c r="F77" s="35" t="s">
        <v>160</v>
      </c>
      <c r="G77" s="227">
        <v>5300</v>
      </c>
      <c r="H77" s="170">
        <f t="shared" si="5"/>
        <v>5933.2149019606686</v>
      </c>
      <c r="I77" s="227">
        <v>19.924812030075188</v>
      </c>
      <c r="J77" s="227"/>
      <c r="V77" s="31">
        <v>29692.75</v>
      </c>
      <c r="W77" s="43">
        <v>178.49475040203416</v>
      </c>
      <c r="AB77" s="77"/>
      <c r="AF77" s="264" t="s">
        <v>156</v>
      </c>
      <c r="AG77" s="32" t="s">
        <v>262</v>
      </c>
    </row>
    <row r="78" spans="1:33" ht="15.6">
      <c r="A78" s="16" t="s">
        <v>26</v>
      </c>
      <c r="B78" s="16">
        <v>2019</v>
      </c>
      <c r="C78" s="14" t="s">
        <v>31</v>
      </c>
      <c r="D78" s="27" t="s">
        <v>263</v>
      </c>
      <c r="E78" s="35" t="s">
        <v>263</v>
      </c>
      <c r="F78" s="35" t="s">
        <v>264</v>
      </c>
      <c r="G78" s="227">
        <v>2641</v>
      </c>
      <c r="H78" s="170">
        <f t="shared" si="5"/>
        <v>2956.5321803920992</v>
      </c>
      <c r="I78" s="227">
        <v>9.9285714285714288</v>
      </c>
      <c r="J78" s="227"/>
      <c r="V78" s="43">
        <v>6903</v>
      </c>
      <c r="W78" s="43">
        <v>382.58728089236564</v>
      </c>
      <c r="AB78" s="77"/>
      <c r="AF78" s="264" t="s">
        <v>156</v>
      </c>
      <c r="AG78" s="32" t="s">
        <v>265</v>
      </c>
    </row>
    <row r="79" spans="1:33" ht="15.6">
      <c r="A79" s="16" t="s">
        <v>26</v>
      </c>
      <c r="B79" s="16">
        <v>2019</v>
      </c>
      <c r="C79" s="14" t="s">
        <v>31</v>
      </c>
      <c r="D79" s="27" t="s">
        <v>171</v>
      </c>
      <c r="E79" s="35" t="s">
        <v>266</v>
      </c>
      <c r="F79" s="35" t="s">
        <v>173</v>
      </c>
      <c r="G79" s="227">
        <v>2300</v>
      </c>
      <c r="H79" s="170">
        <f t="shared" si="5"/>
        <v>2574.7913725489693</v>
      </c>
      <c r="I79" s="227">
        <v>8.6466165413533833</v>
      </c>
      <c r="J79" s="227"/>
      <c r="V79" s="43">
        <v>9900</v>
      </c>
      <c r="W79" s="43">
        <v>232.32323232323233</v>
      </c>
      <c r="AB79" s="77"/>
      <c r="AF79" s="264" t="s">
        <v>156</v>
      </c>
      <c r="AG79" s="32" t="s">
        <v>267</v>
      </c>
    </row>
    <row r="80" spans="1:33" ht="15.6">
      <c r="A80" s="16" t="s">
        <v>26</v>
      </c>
      <c r="B80" s="16">
        <v>2019</v>
      </c>
      <c r="C80" s="14" t="s">
        <v>31</v>
      </c>
      <c r="D80" s="27" t="s">
        <v>202</v>
      </c>
      <c r="E80" s="35"/>
      <c r="F80" s="35"/>
      <c r="G80" s="227">
        <v>1542.8</v>
      </c>
      <c r="H80" s="170">
        <f t="shared" si="5"/>
        <v>1727.1252737254565</v>
      </c>
      <c r="I80" s="227">
        <v>5.8</v>
      </c>
      <c r="J80" s="227"/>
      <c r="V80" s="43"/>
      <c r="W80" s="43"/>
      <c r="AB80" s="77"/>
      <c r="AF80" s="264"/>
      <c r="AG80" s="32" t="s">
        <v>203</v>
      </c>
    </row>
    <row r="81" spans="1:33" ht="15.6">
      <c r="A81" s="16" t="s">
        <v>26</v>
      </c>
      <c r="B81" s="16">
        <v>2020</v>
      </c>
      <c r="C81" s="14" t="s">
        <v>31</v>
      </c>
      <c r="D81" s="27" t="s">
        <v>154</v>
      </c>
      <c r="E81" s="35" t="s">
        <v>155</v>
      </c>
      <c r="F81" s="35" t="s">
        <v>258</v>
      </c>
      <c r="G81" s="227">
        <v>8075</v>
      </c>
      <c r="H81" s="170">
        <f t="shared" ref="H81:H86" si="6">G81/0.875506396987998</f>
        <v>9223.2335797664036</v>
      </c>
      <c r="I81" s="227">
        <v>31.481481481481481</v>
      </c>
      <c r="J81" s="227"/>
      <c r="V81" s="31">
        <v>47681.25</v>
      </c>
      <c r="W81" s="43">
        <v>169.35378162275526</v>
      </c>
      <c r="AB81" s="77"/>
      <c r="AF81" s="264" t="s">
        <v>156</v>
      </c>
      <c r="AG81" s="32" t="s">
        <v>259</v>
      </c>
    </row>
    <row r="82" spans="1:33" ht="15.6">
      <c r="A82" s="16" t="s">
        <v>26</v>
      </c>
      <c r="B82" s="16">
        <v>2020</v>
      </c>
      <c r="C82" s="14" t="s">
        <v>31</v>
      </c>
      <c r="D82" s="27" t="s">
        <v>260</v>
      </c>
      <c r="E82" s="35" t="s">
        <v>177</v>
      </c>
      <c r="F82" s="35" t="s">
        <v>178</v>
      </c>
      <c r="G82" s="227">
        <v>6730</v>
      </c>
      <c r="H82" s="170">
        <f t="shared" si="6"/>
        <v>7686.9798132294618</v>
      </c>
      <c r="I82" s="227">
        <v>26.237816764132553</v>
      </c>
      <c r="J82" s="227"/>
      <c r="V82" s="43">
        <v>44275</v>
      </c>
      <c r="W82" s="43">
        <v>152.00451722190851</v>
      </c>
      <c r="AB82" s="77"/>
      <c r="AF82" s="264" t="s">
        <v>156</v>
      </c>
      <c r="AG82" s="32" t="s">
        <v>268</v>
      </c>
    </row>
    <row r="83" spans="1:33" ht="15.6">
      <c r="A83" s="16" t="s">
        <v>26</v>
      </c>
      <c r="B83" s="16">
        <v>2020</v>
      </c>
      <c r="C83" s="14" t="s">
        <v>31</v>
      </c>
      <c r="D83" s="27" t="s">
        <v>160</v>
      </c>
      <c r="E83" s="35" t="s">
        <v>161</v>
      </c>
      <c r="F83" s="35" t="s">
        <v>160</v>
      </c>
      <c r="G83" s="227">
        <v>5084</v>
      </c>
      <c r="H83" s="170">
        <f t="shared" si="6"/>
        <v>5806.9250178987495</v>
      </c>
      <c r="I83" s="227">
        <v>19.820662768031188</v>
      </c>
      <c r="J83" s="227"/>
      <c r="V83" s="31">
        <v>29776</v>
      </c>
      <c r="W83" s="43">
        <v>170.74153680816764</v>
      </c>
      <c r="AB83" s="77"/>
      <c r="AF83" s="264" t="s">
        <v>156</v>
      </c>
      <c r="AG83" s="32" t="s">
        <v>269</v>
      </c>
    </row>
    <row r="84" spans="1:33" ht="15.6">
      <c r="A84" s="16" t="s">
        <v>26</v>
      </c>
      <c r="B84" s="16">
        <v>2020</v>
      </c>
      <c r="C84" s="14" t="s">
        <v>31</v>
      </c>
      <c r="D84" s="27" t="s">
        <v>263</v>
      </c>
      <c r="E84" s="35" t="s">
        <v>263</v>
      </c>
      <c r="F84" s="35" t="s">
        <v>264</v>
      </c>
      <c r="G84" s="227">
        <v>2289.3040000000001</v>
      </c>
      <c r="H84" s="170">
        <f t="shared" si="6"/>
        <v>2614.8341210022973</v>
      </c>
      <c r="I84" s="227">
        <v>8.92516179337232</v>
      </c>
      <c r="J84" s="227"/>
      <c r="V84" s="31">
        <v>7079</v>
      </c>
      <c r="W84" s="43">
        <v>323.39369967509532</v>
      </c>
      <c r="AB84" s="77"/>
      <c r="AF84" s="264" t="s">
        <v>156</v>
      </c>
      <c r="AG84" s="32" t="s">
        <v>270</v>
      </c>
    </row>
    <row r="85" spans="1:33" ht="15.6">
      <c r="A85" s="16" t="s">
        <v>26</v>
      </c>
      <c r="B85" s="16">
        <v>2020</v>
      </c>
      <c r="C85" s="14" t="s">
        <v>31</v>
      </c>
      <c r="D85" s="27" t="s">
        <v>171</v>
      </c>
      <c r="E85" s="35" t="s">
        <v>266</v>
      </c>
      <c r="F85" s="35" t="s">
        <v>173</v>
      </c>
      <c r="G85" s="227">
        <v>1828.21</v>
      </c>
      <c r="H85" s="170">
        <f t="shared" si="6"/>
        <v>2088.1743483423825</v>
      </c>
      <c r="I85" s="227">
        <v>7.1275243664717349</v>
      </c>
      <c r="J85" s="227"/>
      <c r="V85" s="31">
        <v>10255</v>
      </c>
      <c r="W85" s="43">
        <v>178.274987810824</v>
      </c>
      <c r="AB85" s="77"/>
      <c r="AF85" s="264" t="s">
        <v>156</v>
      </c>
      <c r="AG85" s="32" t="s">
        <v>271</v>
      </c>
    </row>
    <row r="86" spans="1:33" ht="15.6">
      <c r="A86" s="16" t="s">
        <v>26</v>
      </c>
      <c r="B86" s="16">
        <v>2020</v>
      </c>
      <c r="C86" s="14" t="s">
        <v>31</v>
      </c>
      <c r="D86" s="27" t="s">
        <v>202</v>
      </c>
      <c r="E86" s="35"/>
      <c r="F86" s="35"/>
      <c r="G86" s="227">
        <v>1614.6</v>
      </c>
      <c r="H86" s="170">
        <f t="shared" si="6"/>
        <v>1844.189837509701</v>
      </c>
      <c r="I86" s="227">
        <v>6.4</v>
      </c>
      <c r="J86" s="227"/>
      <c r="V86" s="31"/>
      <c r="W86" s="43"/>
      <c r="AB86" s="77"/>
      <c r="AF86" s="264"/>
      <c r="AG86" s="32" t="s">
        <v>203</v>
      </c>
    </row>
    <row r="87" spans="1:33" ht="15.6">
      <c r="A87" s="16" t="s">
        <v>26</v>
      </c>
      <c r="B87" s="16">
        <v>2021</v>
      </c>
      <c r="C87" s="14" t="s">
        <v>31</v>
      </c>
      <c r="D87" s="27" t="s">
        <v>154</v>
      </c>
      <c r="E87" s="35" t="s">
        <v>155</v>
      </c>
      <c r="F87" s="35" t="s">
        <v>258</v>
      </c>
      <c r="G87" s="227">
        <v>8376</v>
      </c>
      <c r="H87" s="170">
        <f t="shared" ref="H87:H92" si="7">G87/0.84549413889045</f>
        <v>9906.632837209143</v>
      </c>
      <c r="I87" s="227">
        <v>31.607547169811323</v>
      </c>
      <c r="J87" s="227"/>
      <c r="V87" s="43">
        <v>51189.5</v>
      </c>
      <c r="W87" s="43">
        <v>163.62730638119146</v>
      </c>
      <c r="AB87" s="77"/>
      <c r="AF87" s="264" t="s">
        <v>156</v>
      </c>
      <c r="AG87" s="32" t="s">
        <v>272</v>
      </c>
    </row>
    <row r="88" spans="1:33" ht="15.6">
      <c r="A88" s="16" t="s">
        <v>26</v>
      </c>
      <c r="B88" s="16">
        <v>2021</v>
      </c>
      <c r="C88" s="14" t="s">
        <v>31</v>
      </c>
      <c r="D88" s="27" t="s">
        <v>260</v>
      </c>
      <c r="E88" s="35" t="s">
        <v>177</v>
      </c>
      <c r="F88" s="35" t="s">
        <v>178</v>
      </c>
      <c r="G88" s="227">
        <v>6942</v>
      </c>
      <c r="H88" s="170">
        <f t="shared" si="7"/>
        <v>8210.5832325580068</v>
      </c>
      <c r="I88" s="227">
        <v>26.196226415094337</v>
      </c>
      <c r="J88" s="227"/>
      <c r="V88" s="43">
        <v>45694</v>
      </c>
      <c r="W88" s="43">
        <v>151.92366612684378</v>
      </c>
      <c r="AB88" s="77"/>
      <c r="AF88" s="264" t="s">
        <v>156</v>
      </c>
      <c r="AG88" s="32" t="s">
        <v>273</v>
      </c>
    </row>
    <row r="89" spans="1:33" ht="15.6">
      <c r="A89" s="16" t="s">
        <v>26</v>
      </c>
      <c r="B89" s="16">
        <v>2021</v>
      </c>
      <c r="C89" s="14" t="s">
        <v>31</v>
      </c>
      <c r="D89" s="27" t="s">
        <v>160</v>
      </c>
      <c r="E89" s="35" t="s">
        <v>161</v>
      </c>
      <c r="F89" s="35" t="s">
        <v>160</v>
      </c>
      <c r="G89" s="227">
        <v>6481</v>
      </c>
      <c r="H89" s="170">
        <f t="shared" si="7"/>
        <v>7665.3399496122802</v>
      </c>
      <c r="I89" s="227">
        <v>24.456603773584906</v>
      </c>
      <c r="J89" s="227"/>
      <c r="V89" s="31">
        <v>30563.75</v>
      </c>
      <c r="W89" s="43">
        <v>212.04858696985809</v>
      </c>
      <c r="AB89" s="77"/>
      <c r="AF89" s="264" t="s">
        <v>156</v>
      </c>
      <c r="AG89" s="32" t="s">
        <v>274</v>
      </c>
    </row>
    <row r="90" spans="1:33" ht="15.6">
      <c r="A90" s="16" t="s">
        <v>26</v>
      </c>
      <c r="B90" s="16">
        <v>2021</v>
      </c>
      <c r="C90" s="14" t="s">
        <v>31</v>
      </c>
      <c r="D90" s="27" t="s">
        <v>263</v>
      </c>
      <c r="E90" s="35" t="s">
        <v>263</v>
      </c>
      <c r="F90" s="35" t="s">
        <v>264</v>
      </c>
      <c r="G90" s="227">
        <v>2254</v>
      </c>
      <c r="H90" s="170">
        <f t="shared" si="7"/>
        <v>2665.8966589146858</v>
      </c>
      <c r="I90" s="227">
        <v>8.50566037735849</v>
      </c>
      <c r="J90" s="227"/>
      <c r="V90" s="43">
        <v>7266</v>
      </c>
      <c r="W90" s="43">
        <v>310.21194605009634</v>
      </c>
      <c r="AB90" s="77"/>
      <c r="AF90" s="264" t="s">
        <v>156</v>
      </c>
      <c r="AG90" s="32" t="s">
        <v>275</v>
      </c>
    </row>
    <row r="91" spans="1:33" ht="15.6">
      <c r="A91" s="16" t="s">
        <v>26</v>
      </c>
      <c r="B91" s="16">
        <v>2021</v>
      </c>
      <c r="C91" s="14" t="s">
        <v>31</v>
      </c>
      <c r="D91" s="27" t="s">
        <v>171</v>
      </c>
      <c r="E91" s="35" t="s">
        <v>266</v>
      </c>
      <c r="F91" s="35" t="s">
        <v>173</v>
      </c>
      <c r="G91" s="227">
        <v>1886.9979999999998</v>
      </c>
      <c r="H91" s="170">
        <f t="shared" si="7"/>
        <v>2231.828599635623</v>
      </c>
      <c r="I91" s="227">
        <v>7.1207471698113203</v>
      </c>
      <c r="J91" s="227"/>
      <c r="V91" s="43">
        <v>11190</v>
      </c>
      <c r="W91" s="43">
        <v>168.63252904378908</v>
      </c>
      <c r="AB91" s="77"/>
      <c r="AF91" s="264" t="s">
        <v>156</v>
      </c>
      <c r="AG91" s="32" t="s">
        <v>276</v>
      </c>
    </row>
    <row r="92" spans="1:33" ht="15.6">
      <c r="A92" s="16" t="s">
        <v>26</v>
      </c>
      <c r="B92" s="16">
        <v>2021</v>
      </c>
      <c r="C92" s="14" t="s">
        <v>31</v>
      </c>
      <c r="D92" s="27" t="s">
        <v>202</v>
      </c>
      <c r="E92" s="35"/>
      <c r="F92" s="35"/>
      <c r="G92" s="227">
        <v>556.5</v>
      </c>
      <c r="H92" s="170">
        <f t="shared" si="7"/>
        <v>658.19498255812891</v>
      </c>
      <c r="I92" s="227">
        <v>2.1</v>
      </c>
      <c r="J92" s="227"/>
      <c r="V92" s="43"/>
      <c r="W92" s="43"/>
      <c r="AB92" s="77"/>
      <c r="AF92" s="264"/>
      <c r="AG92" s="32" t="s">
        <v>203</v>
      </c>
    </row>
    <row r="93" spans="1:33" ht="15.6">
      <c r="A93" s="16" t="s">
        <v>26</v>
      </c>
      <c r="B93" s="16">
        <v>2022</v>
      </c>
      <c r="C93" s="14" t="s">
        <v>31</v>
      </c>
      <c r="D93" s="27" t="s">
        <v>154</v>
      </c>
      <c r="E93" s="35" t="s">
        <v>155</v>
      </c>
      <c r="F93" s="35" t="s">
        <v>258</v>
      </c>
      <c r="G93" s="227">
        <v>8653</v>
      </c>
      <c r="H93" s="170">
        <f t="shared" ref="H93:H98" si="8">G93/0.949623753156941</f>
        <v>9112.02986575879</v>
      </c>
      <c r="I93" s="227">
        <v>31.431166000726478</v>
      </c>
      <c r="J93" s="227"/>
      <c r="V93" s="31">
        <v>53939.75</v>
      </c>
      <c r="W93" s="44">
        <v>160.4197275664051</v>
      </c>
      <c r="AB93" s="77"/>
      <c r="AF93" s="264" t="s">
        <v>156</v>
      </c>
      <c r="AG93" s="32" t="s">
        <v>277</v>
      </c>
    </row>
    <row r="94" spans="1:33" ht="15.6">
      <c r="A94" s="16" t="s">
        <v>26</v>
      </c>
      <c r="B94" s="16">
        <v>2022</v>
      </c>
      <c r="C94" s="14" t="s">
        <v>31</v>
      </c>
      <c r="D94" s="27" t="s">
        <v>260</v>
      </c>
      <c r="E94" s="35" t="s">
        <v>177</v>
      </c>
      <c r="F94" s="35" t="s">
        <v>178</v>
      </c>
      <c r="G94" s="227">
        <v>7394</v>
      </c>
      <c r="H94" s="170">
        <f t="shared" si="8"/>
        <v>7786.241630350225</v>
      </c>
      <c r="I94" s="227">
        <v>26.857973120232476</v>
      </c>
      <c r="J94" s="227"/>
      <c r="V94" s="43">
        <v>44307</v>
      </c>
      <c r="W94" s="44">
        <v>166.88107973909314</v>
      </c>
      <c r="AB94" s="77"/>
      <c r="AF94" s="264" t="s">
        <v>156</v>
      </c>
      <c r="AG94" s="32" t="s">
        <v>278</v>
      </c>
    </row>
    <row r="95" spans="1:33" ht="15.6">
      <c r="A95" s="16" t="s">
        <v>26</v>
      </c>
      <c r="B95" s="16">
        <v>2022</v>
      </c>
      <c r="C95" s="14" t="s">
        <v>31</v>
      </c>
      <c r="D95" s="27" t="s">
        <v>160</v>
      </c>
      <c r="E95" s="35" t="s">
        <v>161</v>
      </c>
      <c r="F95" s="35" t="s">
        <v>160</v>
      </c>
      <c r="G95" s="227">
        <v>6529.6</v>
      </c>
      <c r="H95" s="170">
        <f t="shared" si="8"/>
        <v>6875.9863875486653</v>
      </c>
      <c r="I95" s="227">
        <v>23.718125681075193</v>
      </c>
      <c r="J95" s="227"/>
      <c r="V95" s="31">
        <v>31142.75</v>
      </c>
      <c r="W95" s="44">
        <v>209.66677637652427</v>
      </c>
      <c r="AB95" s="77"/>
      <c r="AF95" s="264" t="s">
        <v>156</v>
      </c>
      <c r="AG95" s="32" t="s">
        <v>279</v>
      </c>
    </row>
    <row r="96" spans="1:33" ht="15.6">
      <c r="A96" s="16" t="s">
        <v>26</v>
      </c>
      <c r="B96" s="16">
        <v>2022</v>
      </c>
      <c r="C96" s="14" t="s">
        <v>31</v>
      </c>
      <c r="D96" s="27" t="s">
        <v>263</v>
      </c>
      <c r="E96" s="35" t="s">
        <v>263</v>
      </c>
      <c r="F96" s="35" t="s">
        <v>264</v>
      </c>
      <c r="G96" s="168">
        <v>2236</v>
      </c>
      <c r="H96" s="170">
        <f t="shared" si="8"/>
        <v>2354.6167548638223</v>
      </c>
      <c r="I96" s="227">
        <v>8.1220486741736284</v>
      </c>
      <c r="J96" s="227"/>
      <c r="V96" s="31">
        <v>7326.05</v>
      </c>
      <c r="W96" s="44">
        <v>305.21222213880606</v>
      </c>
      <c r="AB96" s="77"/>
      <c r="AF96" s="264" t="s">
        <v>156</v>
      </c>
      <c r="AG96" s="32" t="s">
        <v>280</v>
      </c>
    </row>
    <row r="97" spans="1:33" ht="15.6">
      <c r="A97" s="16" t="s">
        <v>26</v>
      </c>
      <c r="B97" s="16">
        <v>2022</v>
      </c>
      <c r="C97" s="14" t="s">
        <v>31</v>
      </c>
      <c r="D97" s="27" t="s">
        <v>171</v>
      </c>
      <c r="E97" s="35" t="s">
        <v>266</v>
      </c>
      <c r="F97" s="35" t="s">
        <v>173</v>
      </c>
      <c r="G97" s="227">
        <v>1915.7184000000002</v>
      </c>
      <c r="H97" s="170">
        <f t="shared" si="8"/>
        <v>2017.3446521649887</v>
      </c>
      <c r="I97" s="227">
        <v>6.9586574645840908</v>
      </c>
      <c r="J97" s="227"/>
      <c r="V97" s="43">
        <v>11435</v>
      </c>
      <c r="W97" s="44">
        <v>167.53112374289464</v>
      </c>
      <c r="AB97" s="77"/>
      <c r="AF97" s="264" t="s">
        <v>156</v>
      </c>
      <c r="AG97" s="32" t="s">
        <v>281</v>
      </c>
    </row>
    <row r="98" spans="1:33" ht="15.6">
      <c r="A98" s="16" t="s">
        <v>26</v>
      </c>
      <c r="B98" s="16">
        <v>2022</v>
      </c>
      <c r="C98" s="14" t="s">
        <v>31</v>
      </c>
      <c r="D98" s="27" t="s">
        <v>202</v>
      </c>
      <c r="E98" s="35"/>
      <c r="F98" s="35"/>
      <c r="G98" s="227">
        <v>798.37</v>
      </c>
      <c r="H98" s="170">
        <f t="shared" si="8"/>
        <v>840.72244122568418</v>
      </c>
      <c r="I98" s="227">
        <v>2.9</v>
      </c>
      <c r="J98" s="227"/>
      <c r="V98" s="43"/>
      <c r="W98" s="44"/>
      <c r="AB98" s="77"/>
      <c r="AF98" s="264"/>
      <c r="AG98" s="32" t="s">
        <v>203</v>
      </c>
    </row>
    <row r="99" spans="1:33" ht="15.6">
      <c r="A99" s="16" t="s">
        <v>26</v>
      </c>
      <c r="B99" s="16">
        <v>2023</v>
      </c>
      <c r="C99" s="14" t="s">
        <v>31</v>
      </c>
      <c r="D99" s="27" t="s">
        <v>154</v>
      </c>
      <c r="E99" s="35" t="s">
        <v>155</v>
      </c>
      <c r="F99" s="35" t="s">
        <v>258</v>
      </c>
      <c r="G99" s="227">
        <v>8762</v>
      </c>
      <c r="H99" s="170">
        <f t="shared" ref="H99:H104" si="9">G99/0.924839558470698</f>
        <v>9474.0757137256569</v>
      </c>
      <c r="I99" s="227">
        <v>31.70043415340087</v>
      </c>
      <c r="J99" s="227"/>
      <c r="V99" s="31">
        <v>61419</v>
      </c>
      <c r="W99" s="43">
        <v>142.65943763330566</v>
      </c>
      <c r="AB99" s="77"/>
      <c r="AF99" s="264" t="s">
        <v>156</v>
      </c>
      <c r="AG99" s="32" t="s">
        <v>282</v>
      </c>
    </row>
    <row r="100" spans="1:33" ht="15.6">
      <c r="A100" s="16" t="s">
        <v>26</v>
      </c>
      <c r="B100" s="16">
        <v>2023</v>
      </c>
      <c r="C100" s="14" t="s">
        <v>31</v>
      </c>
      <c r="D100" s="27" t="s">
        <v>260</v>
      </c>
      <c r="E100" s="35" t="s">
        <v>177</v>
      </c>
      <c r="F100" s="35" t="s">
        <v>178</v>
      </c>
      <c r="G100" s="227">
        <v>7767</v>
      </c>
      <c r="H100" s="170">
        <f t="shared" si="9"/>
        <v>8398.2134294119132</v>
      </c>
      <c r="I100" s="227">
        <v>28.100578871201158</v>
      </c>
      <c r="J100" s="227"/>
      <c r="V100" s="31">
        <v>45702</v>
      </c>
      <c r="W100" s="43">
        <v>169.9487987396613</v>
      </c>
      <c r="AB100" s="77"/>
      <c r="AF100" s="264" t="s">
        <v>156</v>
      </c>
      <c r="AG100" s="32" t="s">
        <v>278</v>
      </c>
    </row>
    <row r="101" spans="1:33" ht="15.6">
      <c r="A101" s="16" t="s">
        <v>26</v>
      </c>
      <c r="B101" s="16">
        <v>2023</v>
      </c>
      <c r="C101" s="14" t="s">
        <v>31</v>
      </c>
      <c r="D101" s="27" t="s">
        <v>160</v>
      </c>
      <c r="E101" s="35" t="s">
        <v>161</v>
      </c>
      <c r="F101" s="35" t="s">
        <v>160</v>
      </c>
      <c r="G101" s="227">
        <v>6602.4</v>
      </c>
      <c r="H101" s="170">
        <f t="shared" si="9"/>
        <v>7138.9679858824784</v>
      </c>
      <c r="I101" s="227">
        <v>23.887120115774238</v>
      </c>
      <c r="J101" s="227"/>
      <c r="V101" s="31">
        <v>31286</v>
      </c>
      <c r="W101" s="43">
        <v>211.03368919005305</v>
      </c>
      <c r="AB101" s="77"/>
      <c r="AF101" s="264" t="s">
        <v>156</v>
      </c>
      <c r="AG101" s="32" t="s">
        <v>283</v>
      </c>
    </row>
    <row r="102" spans="1:33" ht="15.6">
      <c r="A102" s="16" t="s">
        <v>26</v>
      </c>
      <c r="B102" s="16">
        <v>2023</v>
      </c>
      <c r="C102" s="14" t="s">
        <v>31</v>
      </c>
      <c r="D102" s="27" t="s">
        <v>263</v>
      </c>
      <c r="E102" s="35" t="s">
        <v>263</v>
      </c>
      <c r="F102" s="35" t="s">
        <v>264</v>
      </c>
      <c r="G102" s="227">
        <v>2282.6999999999998</v>
      </c>
      <c r="H102" s="170">
        <f t="shared" si="9"/>
        <v>2468.2118958823962</v>
      </c>
      <c r="I102" s="227">
        <v>8.2586830680173655</v>
      </c>
      <c r="J102" s="227"/>
      <c r="V102" s="31">
        <v>7436</v>
      </c>
      <c r="W102" s="43">
        <v>306.9795589026358</v>
      </c>
      <c r="AB102" s="77"/>
      <c r="AF102" s="264" t="s">
        <v>156</v>
      </c>
      <c r="AG102" s="32" t="s">
        <v>284</v>
      </c>
    </row>
    <row r="103" spans="1:33" ht="15.6">
      <c r="A103" s="16" t="s">
        <v>26</v>
      </c>
      <c r="B103" s="16">
        <v>2023</v>
      </c>
      <c r="C103" s="14" t="s">
        <v>31</v>
      </c>
      <c r="D103" s="27" t="s">
        <v>171</v>
      </c>
      <c r="E103" s="35" t="s">
        <v>266</v>
      </c>
      <c r="F103" s="35" t="s">
        <v>173</v>
      </c>
      <c r="G103" s="227">
        <v>2009.59</v>
      </c>
      <c r="H103" s="170">
        <f t="shared" si="9"/>
        <v>2172.9066210392539</v>
      </c>
      <c r="I103" s="227">
        <v>7.2705861070911721</v>
      </c>
      <c r="J103" s="227"/>
      <c r="V103" s="31">
        <v>11964</v>
      </c>
      <c r="W103" s="43">
        <v>167.96974256101637</v>
      </c>
      <c r="AB103" s="77"/>
      <c r="AF103" s="264" t="s">
        <v>156</v>
      </c>
      <c r="AG103" s="32" t="s">
        <v>285</v>
      </c>
    </row>
    <row r="104" spans="1:33" ht="15.6">
      <c r="A104" s="16" t="s">
        <v>26</v>
      </c>
      <c r="B104" s="16">
        <v>2023</v>
      </c>
      <c r="C104" s="14" t="s">
        <v>31</v>
      </c>
      <c r="D104" s="27" t="s">
        <v>202</v>
      </c>
      <c r="E104" s="35"/>
      <c r="F104" s="35"/>
      <c r="G104" s="227">
        <v>221.12</v>
      </c>
      <c r="H104" s="170">
        <f t="shared" si="9"/>
        <v>239.09011890196501</v>
      </c>
      <c r="I104" s="227">
        <v>0.8</v>
      </c>
      <c r="J104" s="227"/>
      <c r="V104" s="31"/>
      <c r="W104" s="43"/>
      <c r="AB104" s="77"/>
      <c r="AF104" s="264"/>
      <c r="AG104" s="32" t="s">
        <v>203</v>
      </c>
    </row>
    <row r="105" spans="1:33" ht="15.6">
      <c r="A105" s="16" t="s">
        <v>26</v>
      </c>
      <c r="B105" s="16">
        <v>2001</v>
      </c>
      <c r="C105" s="14" t="s">
        <v>286</v>
      </c>
      <c r="D105" s="9" t="s">
        <v>155</v>
      </c>
      <c r="E105" s="17" t="s">
        <v>155</v>
      </c>
      <c r="F105" s="17"/>
      <c r="G105" s="271"/>
      <c r="H105" s="274"/>
      <c r="I105" s="272">
        <v>97</v>
      </c>
      <c r="J105" s="272"/>
      <c r="V105" s="35"/>
      <c r="W105" s="14"/>
      <c r="AB105" s="35"/>
      <c r="AE105" s="14" t="s">
        <v>287</v>
      </c>
      <c r="AF105" s="31"/>
      <c r="AG105" s="32" t="s">
        <v>288</v>
      </c>
    </row>
    <row r="106" spans="1:33" ht="15.6">
      <c r="A106" s="16" t="s">
        <v>26</v>
      </c>
      <c r="B106" s="16">
        <v>2001</v>
      </c>
      <c r="C106" s="14" t="s">
        <v>286</v>
      </c>
      <c r="D106" s="9" t="s">
        <v>289</v>
      </c>
      <c r="E106" s="17" t="s">
        <v>289</v>
      </c>
      <c r="F106" s="17"/>
      <c r="G106" s="271"/>
      <c r="H106" s="272"/>
      <c r="I106" s="272"/>
      <c r="J106" s="272"/>
      <c r="V106" s="35"/>
      <c r="W106" s="14"/>
      <c r="AB106" s="35"/>
      <c r="AE106" s="14"/>
      <c r="AF106" s="31"/>
      <c r="AG106" s="32" t="s">
        <v>290</v>
      </c>
    </row>
    <row r="107" spans="1:33" ht="15.6">
      <c r="A107" s="16" t="s">
        <v>26</v>
      </c>
      <c r="B107" s="16">
        <v>2001</v>
      </c>
      <c r="C107" s="14" t="s">
        <v>286</v>
      </c>
      <c r="D107" s="9" t="s">
        <v>291</v>
      </c>
      <c r="E107" s="17" t="s">
        <v>291</v>
      </c>
      <c r="F107" s="17"/>
      <c r="G107" s="271"/>
      <c r="H107" s="272"/>
      <c r="I107" s="272"/>
      <c r="J107" s="272"/>
      <c r="V107" s="35"/>
      <c r="W107" s="14"/>
      <c r="AB107" s="35"/>
      <c r="AE107" s="14"/>
      <c r="AF107" s="31"/>
      <c r="AG107" s="32" t="s">
        <v>292</v>
      </c>
    </row>
    <row r="108" spans="1:33" ht="15.6">
      <c r="A108" s="16" t="s">
        <v>26</v>
      </c>
      <c r="B108" s="16">
        <v>2001</v>
      </c>
      <c r="C108" s="14" t="s">
        <v>286</v>
      </c>
      <c r="D108" s="9" t="s">
        <v>293</v>
      </c>
      <c r="E108" s="17" t="s">
        <v>293</v>
      </c>
      <c r="F108" s="17"/>
      <c r="G108" s="271"/>
      <c r="H108" s="272"/>
      <c r="I108" s="272"/>
      <c r="J108" s="272"/>
      <c r="V108" s="35"/>
      <c r="W108" s="14"/>
      <c r="AB108" s="35"/>
      <c r="AE108" s="14"/>
      <c r="AF108" s="144"/>
      <c r="AG108" s="141"/>
    </row>
    <row r="109" spans="1:33" ht="15.6">
      <c r="A109" s="16" t="s">
        <v>26</v>
      </c>
      <c r="B109" s="16">
        <v>2001</v>
      </c>
      <c r="C109" s="14" t="s">
        <v>286</v>
      </c>
      <c r="D109" s="9" t="s">
        <v>264</v>
      </c>
      <c r="E109" s="17" t="s">
        <v>264</v>
      </c>
      <c r="F109" s="17"/>
      <c r="G109" s="271"/>
      <c r="H109" s="272"/>
      <c r="I109" s="272"/>
      <c r="J109" s="272"/>
      <c r="V109" s="35"/>
      <c r="W109" s="14"/>
      <c r="AB109" s="35"/>
      <c r="AE109" s="14"/>
      <c r="AF109" s="144"/>
      <c r="AG109" s="141"/>
    </row>
    <row r="110" spans="1:33" ht="15.6">
      <c r="A110" s="16" t="s">
        <v>26</v>
      </c>
      <c r="B110" s="16">
        <v>2001</v>
      </c>
      <c r="C110" s="14" t="s">
        <v>286</v>
      </c>
      <c r="D110" s="9" t="s">
        <v>294</v>
      </c>
      <c r="E110" s="17" t="s">
        <v>295</v>
      </c>
      <c r="F110" s="17"/>
      <c r="G110" s="271"/>
      <c r="H110" s="272"/>
      <c r="I110" s="272"/>
      <c r="J110" s="272"/>
      <c r="V110" s="35"/>
      <c r="W110" s="14"/>
      <c r="AB110" s="35"/>
      <c r="AE110" s="14"/>
      <c r="AF110" s="144"/>
      <c r="AG110" s="141"/>
    </row>
    <row r="111" spans="1:33" ht="15.6">
      <c r="A111" s="16" t="s">
        <v>26</v>
      </c>
      <c r="B111" s="16">
        <v>2001</v>
      </c>
      <c r="C111" s="14" t="s">
        <v>286</v>
      </c>
      <c r="D111" s="27" t="s">
        <v>202</v>
      </c>
      <c r="E111" s="17" t="s">
        <v>202</v>
      </c>
      <c r="F111" s="17"/>
      <c r="G111" s="271"/>
      <c r="H111" s="272"/>
      <c r="I111" s="272">
        <v>3</v>
      </c>
      <c r="J111" s="272"/>
      <c r="V111" s="35"/>
      <c r="W111" s="14"/>
      <c r="AB111" s="35"/>
      <c r="AE111" s="14"/>
      <c r="AF111" s="144"/>
      <c r="AG111" s="141"/>
    </row>
    <row r="112" spans="1:33" ht="15.6">
      <c r="A112" s="16" t="s">
        <v>26</v>
      </c>
      <c r="B112" s="16">
        <v>2002</v>
      </c>
      <c r="C112" s="14" t="s">
        <v>286</v>
      </c>
      <c r="D112" s="9" t="s">
        <v>155</v>
      </c>
      <c r="E112" s="17" t="s">
        <v>155</v>
      </c>
      <c r="F112" s="17"/>
      <c r="G112" s="271"/>
      <c r="H112" s="272"/>
      <c r="I112" s="272">
        <v>92</v>
      </c>
      <c r="J112" s="272"/>
      <c r="V112" s="35"/>
      <c r="W112" s="14"/>
      <c r="AB112" s="35"/>
      <c r="AE112" s="14"/>
      <c r="AF112" s="144"/>
      <c r="AG112" s="141"/>
    </row>
    <row r="113" spans="1:33" ht="15.6">
      <c r="A113" s="16" t="s">
        <v>26</v>
      </c>
      <c r="B113" s="16">
        <v>2002</v>
      </c>
      <c r="C113" s="14" t="s">
        <v>286</v>
      </c>
      <c r="D113" s="9" t="s">
        <v>289</v>
      </c>
      <c r="E113" s="17" t="s">
        <v>289</v>
      </c>
      <c r="F113" s="17"/>
      <c r="G113" s="271"/>
      <c r="H113" s="272"/>
      <c r="I113" s="272"/>
      <c r="J113" s="272"/>
      <c r="V113" s="35"/>
      <c r="W113" s="14"/>
      <c r="AB113" s="35"/>
      <c r="AE113" s="14"/>
      <c r="AF113" s="144"/>
      <c r="AG113" s="141"/>
    </row>
    <row r="114" spans="1:33" ht="15.6">
      <c r="A114" s="16" t="s">
        <v>26</v>
      </c>
      <c r="B114" s="16">
        <v>2002</v>
      </c>
      <c r="C114" s="14" t="s">
        <v>286</v>
      </c>
      <c r="D114" s="9" t="s">
        <v>291</v>
      </c>
      <c r="E114" s="17" t="s">
        <v>291</v>
      </c>
      <c r="F114" s="17"/>
      <c r="G114" s="271"/>
      <c r="H114" s="272"/>
      <c r="I114" s="272"/>
      <c r="J114" s="272"/>
      <c r="V114" s="35"/>
      <c r="W114" s="14"/>
      <c r="AB114" s="35"/>
      <c r="AE114" s="14"/>
      <c r="AF114" s="144"/>
      <c r="AG114" s="141"/>
    </row>
    <row r="115" spans="1:33" ht="15.6">
      <c r="A115" s="16" t="s">
        <v>26</v>
      </c>
      <c r="B115" s="16">
        <v>2002</v>
      </c>
      <c r="C115" s="14" t="s">
        <v>286</v>
      </c>
      <c r="D115" s="9" t="s">
        <v>293</v>
      </c>
      <c r="E115" s="17" t="s">
        <v>293</v>
      </c>
      <c r="F115" s="17"/>
      <c r="G115" s="271"/>
      <c r="H115" s="272"/>
      <c r="I115" s="272"/>
      <c r="J115" s="272"/>
      <c r="V115" s="35"/>
      <c r="W115" s="14"/>
      <c r="AB115" s="35"/>
      <c r="AE115" s="14"/>
      <c r="AF115" s="144"/>
      <c r="AG115" s="141"/>
    </row>
    <row r="116" spans="1:33" ht="15.6">
      <c r="A116" s="16" t="s">
        <v>26</v>
      </c>
      <c r="B116" s="16">
        <v>2002</v>
      </c>
      <c r="C116" s="14" t="s">
        <v>286</v>
      </c>
      <c r="D116" s="9" t="s">
        <v>264</v>
      </c>
      <c r="E116" s="17" t="s">
        <v>264</v>
      </c>
      <c r="F116" s="17"/>
      <c r="G116" s="271"/>
      <c r="H116" s="272"/>
      <c r="I116" s="272"/>
      <c r="J116" s="272"/>
      <c r="V116" s="35"/>
      <c r="W116" s="14"/>
      <c r="AB116" s="35"/>
      <c r="AE116" s="14"/>
      <c r="AF116" s="144"/>
      <c r="AG116" s="141"/>
    </row>
    <row r="117" spans="1:33" ht="15.6">
      <c r="A117" s="16" t="s">
        <v>26</v>
      </c>
      <c r="B117" s="16">
        <v>2002</v>
      </c>
      <c r="C117" s="14" t="s">
        <v>286</v>
      </c>
      <c r="D117" s="9" t="s">
        <v>294</v>
      </c>
      <c r="E117" s="17" t="s">
        <v>295</v>
      </c>
      <c r="F117" s="17"/>
      <c r="G117" s="271"/>
      <c r="H117" s="272"/>
      <c r="I117" s="272"/>
      <c r="J117" s="272"/>
      <c r="V117" s="35"/>
      <c r="W117" s="14"/>
      <c r="AB117" s="35"/>
      <c r="AE117" s="14"/>
      <c r="AF117" s="144"/>
      <c r="AG117" s="141"/>
    </row>
    <row r="118" spans="1:33" s="139" customFormat="1" ht="15.6">
      <c r="A118" s="16" t="s">
        <v>26</v>
      </c>
      <c r="B118" s="16">
        <v>2002</v>
      </c>
      <c r="C118" s="14" t="s">
        <v>286</v>
      </c>
      <c r="D118" s="27" t="s">
        <v>202</v>
      </c>
      <c r="E118" s="17" t="s">
        <v>202</v>
      </c>
      <c r="F118" s="17"/>
      <c r="G118" s="271"/>
      <c r="H118" s="272"/>
      <c r="I118" s="272">
        <v>8</v>
      </c>
      <c r="J118" s="272"/>
      <c r="K118" s="77"/>
      <c r="L118" s="77"/>
      <c r="M118" s="77"/>
      <c r="N118" s="77"/>
      <c r="O118" s="77"/>
      <c r="P118" s="77"/>
      <c r="Q118" s="77"/>
      <c r="R118" s="77"/>
      <c r="S118" s="77"/>
      <c r="T118" s="77"/>
      <c r="U118" s="77"/>
      <c r="V118" s="35"/>
      <c r="W118" s="14"/>
      <c r="X118" s="77"/>
      <c r="Y118" s="77"/>
      <c r="Z118" s="77"/>
      <c r="AA118" s="77"/>
      <c r="AB118" s="35"/>
      <c r="AC118" s="77"/>
      <c r="AD118" s="111"/>
      <c r="AE118" s="14"/>
      <c r="AF118" s="144"/>
      <c r="AG118" s="141"/>
    </row>
    <row r="119" spans="1:33" ht="15.6">
      <c r="A119" s="16" t="s">
        <v>26</v>
      </c>
      <c r="B119" s="16">
        <v>2003</v>
      </c>
      <c r="C119" s="14" t="s">
        <v>286</v>
      </c>
      <c r="D119" s="9" t="s">
        <v>155</v>
      </c>
      <c r="E119" s="17" t="s">
        <v>155</v>
      </c>
      <c r="F119" s="17"/>
      <c r="G119" s="271"/>
      <c r="H119" s="272"/>
      <c r="I119" s="272">
        <v>90.9</v>
      </c>
      <c r="J119" s="272"/>
      <c r="V119" s="35"/>
      <c r="W119" s="14"/>
      <c r="AB119" s="35"/>
      <c r="AE119" s="14"/>
      <c r="AF119" s="144"/>
      <c r="AG119" s="141"/>
    </row>
    <row r="120" spans="1:33" ht="15.6">
      <c r="A120" s="16" t="s">
        <v>26</v>
      </c>
      <c r="B120" s="16">
        <v>2003</v>
      </c>
      <c r="C120" s="14" t="s">
        <v>286</v>
      </c>
      <c r="D120" s="9" t="s">
        <v>289</v>
      </c>
      <c r="E120" s="17" t="s">
        <v>289</v>
      </c>
      <c r="F120" s="17"/>
      <c r="G120" s="271"/>
      <c r="H120" s="272"/>
      <c r="I120" s="272"/>
      <c r="J120" s="272"/>
      <c r="V120" s="35"/>
      <c r="W120" s="14"/>
      <c r="AB120" s="35"/>
      <c r="AE120" s="14"/>
      <c r="AF120" s="144"/>
      <c r="AG120" s="141"/>
    </row>
    <row r="121" spans="1:33" ht="15.6">
      <c r="A121" s="16" t="s">
        <v>26</v>
      </c>
      <c r="B121" s="16">
        <v>2003</v>
      </c>
      <c r="C121" s="14" t="s">
        <v>286</v>
      </c>
      <c r="D121" s="9" t="s">
        <v>291</v>
      </c>
      <c r="E121" s="17" t="s">
        <v>291</v>
      </c>
      <c r="F121" s="17"/>
      <c r="G121" s="271"/>
      <c r="H121" s="272"/>
      <c r="I121" s="272"/>
      <c r="J121" s="272"/>
      <c r="V121" s="35"/>
      <c r="W121" s="14"/>
      <c r="AB121" s="35"/>
      <c r="AE121" s="14"/>
      <c r="AF121" s="144"/>
      <c r="AG121" s="141"/>
    </row>
    <row r="122" spans="1:33" ht="15.6">
      <c r="A122" s="16" t="s">
        <v>26</v>
      </c>
      <c r="B122" s="16">
        <v>2003</v>
      </c>
      <c r="C122" s="14" t="s">
        <v>286</v>
      </c>
      <c r="D122" s="9" t="s">
        <v>293</v>
      </c>
      <c r="E122" s="17" t="s">
        <v>293</v>
      </c>
      <c r="F122" s="17"/>
      <c r="G122" s="271"/>
      <c r="H122" s="272"/>
      <c r="I122" s="272"/>
      <c r="J122" s="272"/>
      <c r="V122" s="35"/>
      <c r="W122" s="14"/>
      <c r="AB122" s="35"/>
      <c r="AE122" s="14"/>
      <c r="AF122" s="144"/>
      <c r="AG122" s="141"/>
    </row>
    <row r="123" spans="1:33" ht="15.6">
      <c r="A123" s="16" t="s">
        <v>26</v>
      </c>
      <c r="B123" s="16">
        <v>2003</v>
      </c>
      <c r="C123" s="14" t="s">
        <v>286</v>
      </c>
      <c r="D123" s="9" t="s">
        <v>264</v>
      </c>
      <c r="E123" s="17" t="s">
        <v>264</v>
      </c>
      <c r="F123" s="17"/>
      <c r="G123" s="271"/>
      <c r="H123" s="272"/>
      <c r="I123" s="272"/>
      <c r="J123" s="272"/>
      <c r="V123" s="35"/>
      <c r="W123" s="14"/>
      <c r="AB123" s="35"/>
      <c r="AE123" s="14"/>
      <c r="AF123" s="144"/>
      <c r="AG123" s="141"/>
    </row>
    <row r="124" spans="1:33" ht="15.6">
      <c r="A124" s="16" t="s">
        <v>26</v>
      </c>
      <c r="B124" s="16">
        <v>2003</v>
      </c>
      <c r="C124" s="14" t="s">
        <v>286</v>
      </c>
      <c r="D124" s="9" t="s">
        <v>294</v>
      </c>
      <c r="E124" s="17" t="s">
        <v>295</v>
      </c>
      <c r="F124" s="17"/>
      <c r="G124" s="271"/>
      <c r="H124" s="272"/>
      <c r="I124" s="272"/>
      <c r="J124" s="272"/>
      <c r="V124" s="35"/>
      <c r="W124" s="14"/>
      <c r="AB124" s="35"/>
      <c r="AE124" s="14"/>
      <c r="AF124" s="144"/>
      <c r="AG124" s="141"/>
    </row>
    <row r="125" spans="1:33" ht="15.6">
      <c r="A125" s="16" t="s">
        <v>26</v>
      </c>
      <c r="B125" s="16">
        <v>2003</v>
      </c>
      <c r="C125" s="14" t="s">
        <v>286</v>
      </c>
      <c r="D125" s="27" t="s">
        <v>202</v>
      </c>
      <c r="E125" s="17" t="s">
        <v>202</v>
      </c>
      <c r="F125" s="17"/>
      <c r="G125" s="271"/>
      <c r="H125" s="272"/>
      <c r="I125" s="272">
        <v>9.1</v>
      </c>
      <c r="J125" s="272"/>
      <c r="V125" s="35"/>
      <c r="W125" s="14"/>
      <c r="AB125" s="35"/>
      <c r="AE125" s="14"/>
      <c r="AF125" s="144"/>
      <c r="AG125" s="141"/>
    </row>
    <row r="126" spans="1:33" ht="15.6">
      <c r="A126" s="16" t="s">
        <v>26</v>
      </c>
      <c r="B126" s="16">
        <v>2004</v>
      </c>
      <c r="C126" s="14" t="s">
        <v>286</v>
      </c>
      <c r="D126" s="9" t="s">
        <v>155</v>
      </c>
      <c r="E126" s="17" t="s">
        <v>155</v>
      </c>
      <c r="F126" s="17"/>
      <c r="G126" s="271"/>
      <c r="H126" s="272"/>
      <c r="I126" s="272">
        <v>82.7</v>
      </c>
      <c r="J126" s="272"/>
      <c r="V126" s="35"/>
      <c r="W126" s="14"/>
      <c r="AB126" s="35"/>
      <c r="AE126" s="14"/>
      <c r="AF126" s="144"/>
      <c r="AG126" s="141"/>
    </row>
    <row r="127" spans="1:33" ht="15.6">
      <c r="A127" s="16" t="s">
        <v>26</v>
      </c>
      <c r="B127" s="16">
        <v>2004</v>
      </c>
      <c r="C127" s="14" t="s">
        <v>286</v>
      </c>
      <c r="D127" s="9" t="s">
        <v>289</v>
      </c>
      <c r="E127" s="17" t="s">
        <v>289</v>
      </c>
      <c r="F127" s="17"/>
      <c r="G127" s="271"/>
      <c r="H127" s="272"/>
      <c r="I127" s="272"/>
      <c r="J127" s="272"/>
      <c r="V127" s="35"/>
      <c r="W127" s="14"/>
      <c r="AB127" s="35"/>
      <c r="AE127" s="14"/>
      <c r="AF127" s="144"/>
      <c r="AG127" s="141"/>
    </row>
    <row r="128" spans="1:33" ht="15.6">
      <c r="A128" s="16" t="s">
        <v>26</v>
      </c>
      <c r="B128" s="16">
        <v>2004</v>
      </c>
      <c r="C128" s="14" t="s">
        <v>286</v>
      </c>
      <c r="D128" s="9" t="s">
        <v>291</v>
      </c>
      <c r="E128" s="17" t="s">
        <v>291</v>
      </c>
      <c r="F128" s="17"/>
      <c r="G128" s="271"/>
      <c r="H128" s="272"/>
      <c r="I128" s="272"/>
      <c r="J128" s="272"/>
      <c r="V128" s="35"/>
      <c r="W128" s="14"/>
      <c r="AB128" s="35"/>
      <c r="AE128" s="14"/>
      <c r="AF128" s="144"/>
      <c r="AG128" s="141"/>
    </row>
    <row r="129" spans="1:33" ht="15.6">
      <c r="A129" s="16" t="s">
        <v>26</v>
      </c>
      <c r="B129" s="16">
        <v>2004</v>
      </c>
      <c r="C129" s="14" t="s">
        <v>286</v>
      </c>
      <c r="D129" s="9" t="s">
        <v>293</v>
      </c>
      <c r="E129" s="17" t="s">
        <v>293</v>
      </c>
      <c r="F129" s="17"/>
      <c r="G129" s="271"/>
      <c r="H129" s="272"/>
      <c r="I129" s="272"/>
      <c r="J129" s="272"/>
      <c r="V129" s="35"/>
      <c r="W129" s="14"/>
      <c r="AB129" s="35"/>
      <c r="AE129" s="14"/>
      <c r="AF129" s="144"/>
      <c r="AG129" s="141"/>
    </row>
    <row r="130" spans="1:33" ht="15.6">
      <c r="A130" s="16" t="s">
        <v>26</v>
      </c>
      <c r="B130" s="16">
        <v>2004</v>
      </c>
      <c r="C130" s="14" t="s">
        <v>286</v>
      </c>
      <c r="D130" s="9" t="s">
        <v>264</v>
      </c>
      <c r="E130" s="17" t="s">
        <v>264</v>
      </c>
      <c r="F130" s="17"/>
      <c r="G130" s="271"/>
      <c r="H130" s="272"/>
      <c r="I130" s="272"/>
      <c r="J130" s="272"/>
      <c r="V130" s="35"/>
      <c r="W130" s="14"/>
      <c r="AB130" s="35"/>
      <c r="AE130" s="14"/>
      <c r="AF130" s="144"/>
      <c r="AG130" s="141"/>
    </row>
    <row r="131" spans="1:33" ht="15.6">
      <c r="A131" s="16" t="s">
        <v>26</v>
      </c>
      <c r="B131" s="16">
        <v>2004</v>
      </c>
      <c r="C131" s="14" t="s">
        <v>286</v>
      </c>
      <c r="D131" s="9" t="s">
        <v>294</v>
      </c>
      <c r="E131" s="17" t="s">
        <v>295</v>
      </c>
      <c r="F131" s="17"/>
      <c r="G131" s="271"/>
      <c r="H131" s="272"/>
      <c r="I131" s="272"/>
      <c r="J131" s="272"/>
      <c r="V131" s="35"/>
      <c r="W131" s="14"/>
      <c r="AB131" s="35"/>
      <c r="AE131" s="14"/>
      <c r="AF131" s="144"/>
      <c r="AG131" s="141"/>
    </row>
    <row r="132" spans="1:33" ht="15.6">
      <c r="A132" s="16" t="s">
        <v>26</v>
      </c>
      <c r="B132" s="16">
        <v>2004</v>
      </c>
      <c r="C132" s="14" t="s">
        <v>286</v>
      </c>
      <c r="D132" s="27" t="s">
        <v>202</v>
      </c>
      <c r="E132" s="17" t="s">
        <v>202</v>
      </c>
      <c r="F132" s="17"/>
      <c r="G132" s="271"/>
      <c r="H132" s="272"/>
      <c r="I132" s="272">
        <v>17.3</v>
      </c>
      <c r="J132" s="272"/>
      <c r="V132" s="35"/>
      <c r="W132" s="14"/>
      <c r="AB132" s="35"/>
      <c r="AE132" s="14"/>
      <c r="AF132" s="144"/>
      <c r="AG132" s="141"/>
    </row>
    <row r="133" spans="1:33" ht="15.6">
      <c r="A133" s="16" t="s">
        <v>26</v>
      </c>
      <c r="B133" s="16">
        <v>2005</v>
      </c>
      <c r="C133" s="14" t="s">
        <v>286</v>
      </c>
      <c r="D133" s="9" t="s">
        <v>155</v>
      </c>
      <c r="E133" s="17" t="s">
        <v>155</v>
      </c>
      <c r="F133" s="17"/>
      <c r="G133" s="271"/>
      <c r="H133" s="272">
        <f>439000*I133%</f>
        <v>267790</v>
      </c>
      <c r="I133" s="272">
        <v>61</v>
      </c>
      <c r="J133" s="272"/>
      <c r="V133" s="35"/>
      <c r="W133" s="14"/>
      <c r="AB133" s="35"/>
      <c r="AE133" s="14"/>
      <c r="AF133" s="144"/>
      <c r="AG133" s="141"/>
    </row>
    <row r="134" spans="1:33" ht="15.6">
      <c r="A134" s="16" t="s">
        <v>26</v>
      </c>
      <c r="B134" s="16">
        <v>2005</v>
      </c>
      <c r="C134" s="14" t="s">
        <v>286</v>
      </c>
      <c r="D134" s="9" t="s">
        <v>289</v>
      </c>
      <c r="E134" s="17" t="s">
        <v>289</v>
      </c>
      <c r="F134" s="17"/>
      <c r="G134" s="271"/>
      <c r="H134" s="271"/>
      <c r="I134" s="271"/>
      <c r="J134" s="271"/>
      <c r="V134" s="35"/>
      <c r="W134" s="14"/>
      <c r="AB134" s="35"/>
      <c r="AE134" s="14"/>
      <c r="AF134" s="144"/>
      <c r="AG134" s="141"/>
    </row>
    <row r="135" spans="1:33" ht="15.6">
      <c r="A135" s="16" t="s">
        <v>26</v>
      </c>
      <c r="B135" s="16">
        <v>2005</v>
      </c>
      <c r="C135" s="14" t="s">
        <v>286</v>
      </c>
      <c r="D135" s="9" t="s">
        <v>291</v>
      </c>
      <c r="E135" s="17" t="s">
        <v>291</v>
      </c>
      <c r="F135" s="17"/>
      <c r="G135" s="271"/>
      <c r="H135" s="271"/>
      <c r="I135" s="271"/>
      <c r="J135" s="271"/>
      <c r="V135" s="35"/>
      <c r="W135" s="14"/>
      <c r="AB135" s="35"/>
      <c r="AE135" s="14"/>
      <c r="AF135" s="144"/>
      <c r="AG135" s="141"/>
    </row>
    <row r="136" spans="1:33" ht="15.6">
      <c r="A136" s="16" t="s">
        <v>26</v>
      </c>
      <c r="B136" s="16">
        <v>2005</v>
      </c>
      <c r="C136" s="14" t="s">
        <v>286</v>
      </c>
      <c r="D136" s="9" t="s">
        <v>293</v>
      </c>
      <c r="E136" s="17" t="s">
        <v>293</v>
      </c>
      <c r="F136" s="17"/>
      <c r="G136" s="271"/>
      <c r="H136" s="271"/>
      <c r="I136" s="271"/>
      <c r="J136" s="271"/>
      <c r="V136" s="35"/>
      <c r="W136" s="14"/>
      <c r="AB136" s="35"/>
      <c r="AE136" s="14"/>
      <c r="AF136" s="144"/>
      <c r="AG136" s="141"/>
    </row>
    <row r="137" spans="1:33" ht="15.6">
      <c r="A137" s="16" t="s">
        <v>26</v>
      </c>
      <c r="B137" s="16">
        <v>2005</v>
      </c>
      <c r="C137" s="14" t="s">
        <v>286</v>
      </c>
      <c r="D137" s="9" t="s">
        <v>264</v>
      </c>
      <c r="E137" s="17" t="s">
        <v>264</v>
      </c>
      <c r="F137" s="17"/>
      <c r="G137" s="271"/>
      <c r="H137" s="271"/>
      <c r="I137" s="271"/>
      <c r="J137" s="271"/>
      <c r="V137" s="35"/>
      <c r="W137" s="14"/>
      <c r="AB137" s="35"/>
      <c r="AE137" s="14"/>
      <c r="AF137" s="144"/>
      <c r="AG137" s="141"/>
    </row>
    <row r="138" spans="1:33" ht="15.6">
      <c r="A138" s="16" t="s">
        <v>26</v>
      </c>
      <c r="B138" s="16">
        <v>2005</v>
      </c>
      <c r="C138" s="14" t="s">
        <v>286</v>
      </c>
      <c r="D138" s="9" t="s">
        <v>294</v>
      </c>
      <c r="E138" s="17" t="s">
        <v>295</v>
      </c>
      <c r="F138" s="17"/>
      <c r="G138" s="271"/>
      <c r="H138" s="271"/>
      <c r="I138" s="271"/>
      <c r="J138" s="271"/>
      <c r="V138" s="35"/>
      <c r="W138" s="14"/>
      <c r="AB138" s="35"/>
      <c r="AE138" s="14"/>
      <c r="AF138" s="144"/>
      <c r="AG138" s="141"/>
    </row>
    <row r="139" spans="1:33" ht="15.6">
      <c r="A139" s="16" t="s">
        <v>26</v>
      </c>
      <c r="B139" s="16">
        <v>2005</v>
      </c>
      <c r="C139" s="14" t="s">
        <v>286</v>
      </c>
      <c r="D139" s="27" t="s">
        <v>202</v>
      </c>
      <c r="E139" s="17" t="s">
        <v>202</v>
      </c>
      <c r="F139" s="17"/>
      <c r="G139" s="271"/>
      <c r="H139" s="272">
        <f>439000*I139%</f>
        <v>171210</v>
      </c>
      <c r="I139" s="272">
        <v>39</v>
      </c>
      <c r="J139" s="272"/>
      <c r="V139" s="35"/>
      <c r="W139" s="14"/>
      <c r="AB139" s="35"/>
      <c r="AE139" s="14"/>
      <c r="AF139" s="144"/>
      <c r="AG139" s="141"/>
    </row>
    <row r="140" spans="1:33" ht="15.6">
      <c r="A140" s="16" t="s">
        <v>26</v>
      </c>
      <c r="B140" s="16">
        <v>2006</v>
      </c>
      <c r="C140" s="14" t="s">
        <v>286</v>
      </c>
      <c r="D140" s="9" t="s">
        <v>155</v>
      </c>
      <c r="E140" s="17" t="s">
        <v>155</v>
      </c>
      <c r="F140" s="17"/>
      <c r="G140" s="271"/>
      <c r="H140" s="272">
        <f>572000*I140%</f>
        <v>281424</v>
      </c>
      <c r="I140" s="272">
        <v>49.2</v>
      </c>
      <c r="J140" s="272"/>
      <c r="V140" s="35"/>
      <c r="W140" s="14"/>
      <c r="AB140" s="35"/>
      <c r="AE140" s="14"/>
      <c r="AF140" s="144"/>
      <c r="AG140" s="141"/>
    </row>
    <row r="141" spans="1:33" ht="15.6">
      <c r="A141" s="16" t="s">
        <v>26</v>
      </c>
      <c r="B141" s="16">
        <v>2006</v>
      </c>
      <c r="C141" s="14" t="s">
        <v>286</v>
      </c>
      <c r="D141" s="9" t="s">
        <v>289</v>
      </c>
      <c r="E141" s="17" t="s">
        <v>289</v>
      </c>
      <c r="F141" s="17"/>
      <c r="G141" s="271"/>
      <c r="H141" s="271"/>
      <c r="I141" s="271"/>
      <c r="J141" s="271"/>
      <c r="V141" s="35"/>
      <c r="W141" s="14"/>
      <c r="AB141" s="35"/>
      <c r="AE141" s="14"/>
      <c r="AF141" s="144"/>
      <c r="AG141" s="141"/>
    </row>
    <row r="142" spans="1:33" ht="15.6">
      <c r="A142" s="16" t="s">
        <v>26</v>
      </c>
      <c r="B142" s="16">
        <v>2006</v>
      </c>
      <c r="C142" s="14" t="s">
        <v>286</v>
      </c>
      <c r="D142" s="9" t="s">
        <v>291</v>
      </c>
      <c r="E142" s="17" t="s">
        <v>291</v>
      </c>
      <c r="F142" s="17"/>
      <c r="G142" s="271"/>
      <c r="H142" s="271"/>
      <c r="I142" s="271"/>
      <c r="J142" s="271"/>
      <c r="V142" s="35"/>
      <c r="W142" s="14"/>
      <c r="AB142" s="35"/>
      <c r="AE142" s="14"/>
      <c r="AF142" s="144"/>
      <c r="AG142" s="141"/>
    </row>
    <row r="143" spans="1:33" ht="15.6">
      <c r="A143" s="16" t="s">
        <v>26</v>
      </c>
      <c r="B143" s="16">
        <v>2006</v>
      </c>
      <c r="C143" s="14" t="s">
        <v>286</v>
      </c>
      <c r="D143" s="9" t="s">
        <v>293</v>
      </c>
      <c r="E143" s="17" t="s">
        <v>293</v>
      </c>
      <c r="F143" s="17"/>
      <c r="G143" s="271"/>
      <c r="H143" s="271"/>
      <c r="I143" s="271"/>
      <c r="J143" s="271"/>
      <c r="V143" s="35"/>
      <c r="W143" s="14"/>
      <c r="AB143" s="35"/>
      <c r="AE143" s="14"/>
      <c r="AF143" s="144"/>
      <c r="AG143" s="141"/>
    </row>
    <row r="144" spans="1:33" ht="15.6">
      <c r="A144" s="16" t="s">
        <v>26</v>
      </c>
      <c r="B144" s="16">
        <v>2006</v>
      </c>
      <c r="C144" s="14" t="s">
        <v>286</v>
      </c>
      <c r="D144" s="9" t="s">
        <v>264</v>
      </c>
      <c r="E144" s="17" t="s">
        <v>264</v>
      </c>
      <c r="F144" s="17"/>
      <c r="G144" s="271"/>
      <c r="H144" s="271"/>
      <c r="I144" s="271"/>
      <c r="J144" s="271"/>
      <c r="V144" s="35"/>
      <c r="W144" s="14"/>
      <c r="AB144" s="35"/>
      <c r="AE144" s="14"/>
      <c r="AF144" s="144"/>
      <c r="AG144" s="141"/>
    </row>
    <row r="145" spans="1:33" ht="15.6">
      <c r="A145" s="16" t="s">
        <v>26</v>
      </c>
      <c r="B145" s="16">
        <v>2006</v>
      </c>
      <c r="C145" s="14" t="s">
        <v>286</v>
      </c>
      <c r="D145" s="9" t="s">
        <v>294</v>
      </c>
      <c r="E145" s="17" t="s">
        <v>295</v>
      </c>
      <c r="F145" s="17"/>
      <c r="G145" s="271"/>
      <c r="H145" s="271"/>
      <c r="I145" s="271"/>
      <c r="J145" s="271"/>
      <c r="V145" s="35"/>
      <c r="W145" s="14"/>
      <c r="AB145" s="35"/>
      <c r="AE145" s="14"/>
      <c r="AF145" s="144"/>
      <c r="AG145" s="141"/>
    </row>
    <row r="146" spans="1:33" ht="15.6">
      <c r="A146" s="16" t="s">
        <v>26</v>
      </c>
      <c r="B146" s="16">
        <v>2006</v>
      </c>
      <c r="C146" s="14" t="s">
        <v>286</v>
      </c>
      <c r="D146" s="27" t="s">
        <v>202</v>
      </c>
      <c r="E146" s="17" t="s">
        <v>202</v>
      </c>
      <c r="F146" s="17"/>
      <c r="G146" s="271"/>
      <c r="H146" s="272">
        <f>572000*I146%</f>
        <v>290576</v>
      </c>
      <c r="I146" s="272">
        <v>50.8</v>
      </c>
      <c r="J146" s="272"/>
      <c r="V146" s="35"/>
      <c r="W146" s="14"/>
      <c r="AB146" s="35"/>
      <c r="AE146" s="14"/>
      <c r="AF146" s="144"/>
      <c r="AG146" s="141"/>
    </row>
    <row r="147" spans="1:33" ht="15.6">
      <c r="A147" s="16" t="s">
        <v>26</v>
      </c>
      <c r="B147" s="16">
        <v>2007</v>
      </c>
      <c r="C147" s="14" t="s">
        <v>286</v>
      </c>
      <c r="D147" s="9" t="s">
        <v>155</v>
      </c>
      <c r="E147" s="17" t="s">
        <v>155</v>
      </c>
      <c r="F147" s="17"/>
      <c r="G147" s="271"/>
      <c r="H147" s="272">
        <f t="shared" ref="H147:H153" si="10">711000*I147%</f>
        <v>345546</v>
      </c>
      <c r="I147" s="273">
        <v>48.6</v>
      </c>
      <c r="J147" s="273"/>
      <c r="V147" s="35"/>
      <c r="W147" s="14"/>
      <c r="AB147" s="35"/>
      <c r="AE147" s="14"/>
      <c r="AF147" s="145"/>
      <c r="AG147" s="141"/>
    </row>
    <row r="148" spans="1:33" ht="15.6">
      <c r="A148" s="16" t="s">
        <v>26</v>
      </c>
      <c r="B148" s="16">
        <v>2007</v>
      </c>
      <c r="C148" s="14" t="s">
        <v>286</v>
      </c>
      <c r="D148" s="9" t="s">
        <v>289</v>
      </c>
      <c r="E148" s="17" t="s">
        <v>289</v>
      </c>
      <c r="F148" s="17"/>
      <c r="G148" s="271"/>
      <c r="H148" s="272">
        <f t="shared" si="10"/>
        <v>103095</v>
      </c>
      <c r="I148" s="273">
        <v>14.5</v>
      </c>
      <c r="J148" s="273"/>
      <c r="V148" s="35"/>
      <c r="W148" s="14"/>
      <c r="AB148" s="35"/>
      <c r="AE148" s="14"/>
      <c r="AF148" s="145"/>
      <c r="AG148" s="141"/>
    </row>
    <row r="149" spans="1:33" ht="15.6">
      <c r="A149" s="16" t="s">
        <v>26</v>
      </c>
      <c r="B149" s="16">
        <v>2007</v>
      </c>
      <c r="C149" s="14" t="s">
        <v>286</v>
      </c>
      <c r="D149" s="9" t="s">
        <v>291</v>
      </c>
      <c r="E149" s="17" t="s">
        <v>291</v>
      </c>
      <c r="F149" s="17"/>
      <c r="G149" s="271"/>
      <c r="H149" s="272">
        <f t="shared" si="10"/>
        <v>95985</v>
      </c>
      <c r="I149" s="273">
        <v>13.5</v>
      </c>
      <c r="J149" s="273"/>
      <c r="V149" s="35"/>
      <c r="W149" s="14"/>
      <c r="AB149" s="35"/>
      <c r="AE149" s="14"/>
      <c r="AF149" s="145"/>
      <c r="AG149" s="141"/>
    </row>
    <row r="150" spans="1:33" ht="15.6">
      <c r="A150" s="16" t="s">
        <v>26</v>
      </c>
      <c r="B150" s="16">
        <v>2007</v>
      </c>
      <c r="C150" s="14" t="s">
        <v>286</v>
      </c>
      <c r="D150" s="9" t="s">
        <v>293</v>
      </c>
      <c r="E150" s="17" t="s">
        <v>293</v>
      </c>
      <c r="F150" s="17"/>
      <c r="G150" s="271"/>
      <c r="H150" s="272">
        <f t="shared" si="10"/>
        <v>91008</v>
      </c>
      <c r="I150" s="273">
        <v>12.8</v>
      </c>
      <c r="J150" s="273"/>
      <c r="V150" s="35"/>
      <c r="W150" s="14"/>
      <c r="AB150" s="35"/>
      <c r="AE150" s="14"/>
      <c r="AF150" s="145"/>
      <c r="AG150" s="141"/>
    </row>
    <row r="151" spans="1:33" ht="15.6">
      <c r="A151" s="16" t="s">
        <v>26</v>
      </c>
      <c r="B151" s="16">
        <v>2007</v>
      </c>
      <c r="C151" s="14" t="s">
        <v>286</v>
      </c>
      <c r="D151" s="9" t="s">
        <v>264</v>
      </c>
      <c r="E151" s="17" t="s">
        <v>264</v>
      </c>
      <c r="F151" s="17"/>
      <c r="G151" s="271"/>
      <c r="H151" s="272">
        <f t="shared" si="10"/>
        <v>49770.000000000007</v>
      </c>
      <c r="I151" s="273">
        <v>7</v>
      </c>
      <c r="J151" s="273"/>
      <c r="V151" s="35"/>
      <c r="W151" s="14"/>
      <c r="AB151" s="35"/>
      <c r="AE151" s="14"/>
      <c r="AF151" s="145"/>
      <c r="AG151" s="141"/>
    </row>
    <row r="152" spans="1:33" ht="15.6">
      <c r="A152" s="16" t="s">
        <v>26</v>
      </c>
      <c r="B152" s="16">
        <v>2007</v>
      </c>
      <c r="C152" s="14" t="s">
        <v>286</v>
      </c>
      <c r="D152" s="9" t="s">
        <v>294</v>
      </c>
      <c r="E152" s="17" t="s">
        <v>295</v>
      </c>
      <c r="F152" s="17"/>
      <c r="G152" s="271"/>
      <c r="H152" s="272">
        <f t="shared" si="10"/>
        <v>24885.000000000004</v>
      </c>
      <c r="I152" s="273">
        <v>3.5</v>
      </c>
      <c r="J152" s="273"/>
      <c r="V152" s="35"/>
      <c r="W152" s="14"/>
      <c r="AB152" s="35"/>
      <c r="AE152" s="14"/>
      <c r="AF152" s="145"/>
      <c r="AG152" s="141"/>
    </row>
    <row r="153" spans="1:33" ht="15.6">
      <c r="A153" s="16" t="s">
        <v>26</v>
      </c>
      <c r="B153" s="16">
        <v>2007</v>
      </c>
      <c r="C153" s="14" t="s">
        <v>286</v>
      </c>
      <c r="D153" s="27" t="s">
        <v>202</v>
      </c>
      <c r="E153" s="17" t="s">
        <v>202</v>
      </c>
      <c r="F153" s="17"/>
      <c r="G153" s="271"/>
      <c r="H153" s="272">
        <f t="shared" si="10"/>
        <v>711</v>
      </c>
      <c r="I153" s="273">
        <v>0.1</v>
      </c>
      <c r="J153" s="273"/>
      <c r="V153" s="35"/>
      <c r="W153" s="14"/>
      <c r="AB153" s="35"/>
      <c r="AE153" s="14"/>
      <c r="AF153" s="145"/>
      <c r="AG153" s="141"/>
    </row>
    <row r="154" spans="1:33" ht="15.6">
      <c r="A154" s="16" t="s">
        <v>26</v>
      </c>
      <c r="B154" s="16">
        <v>2008</v>
      </c>
      <c r="C154" s="14" t="s">
        <v>286</v>
      </c>
      <c r="D154" s="9" t="s">
        <v>155</v>
      </c>
      <c r="E154" s="17" t="s">
        <v>155</v>
      </c>
      <c r="F154" s="17"/>
      <c r="G154" s="271"/>
      <c r="H154" s="272">
        <f t="shared" ref="H154:H160" si="11">846000*I154%</f>
        <v>428076</v>
      </c>
      <c r="I154" s="273">
        <v>50.6</v>
      </c>
      <c r="J154" s="273"/>
      <c r="V154" s="35"/>
      <c r="W154" s="14"/>
      <c r="AB154" s="35"/>
      <c r="AE154" s="14"/>
      <c r="AF154" s="145"/>
      <c r="AG154" s="141"/>
    </row>
    <row r="155" spans="1:33" ht="15.6">
      <c r="A155" s="16" t="s">
        <v>26</v>
      </c>
      <c r="B155" s="16">
        <v>2008</v>
      </c>
      <c r="C155" s="14" t="s">
        <v>286</v>
      </c>
      <c r="D155" s="9" t="s">
        <v>289</v>
      </c>
      <c r="E155" s="17" t="s">
        <v>289</v>
      </c>
      <c r="F155" s="17"/>
      <c r="G155" s="271"/>
      <c r="H155" s="272">
        <f t="shared" si="11"/>
        <v>124362</v>
      </c>
      <c r="I155" s="273">
        <v>14.7</v>
      </c>
      <c r="J155" s="273"/>
      <c r="V155" s="35"/>
      <c r="W155" s="14"/>
      <c r="AB155" s="35"/>
      <c r="AE155" s="14"/>
      <c r="AF155" s="145"/>
      <c r="AG155" s="141"/>
    </row>
    <row r="156" spans="1:33" ht="15.6">
      <c r="A156" s="16" t="s">
        <v>26</v>
      </c>
      <c r="B156" s="16">
        <v>2008</v>
      </c>
      <c r="C156" s="14" t="s">
        <v>286</v>
      </c>
      <c r="D156" s="9" t="s">
        <v>291</v>
      </c>
      <c r="E156" s="17" t="s">
        <v>291</v>
      </c>
      <c r="F156" s="17"/>
      <c r="G156" s="271"/>
      <c r="H156" s="272">
        <f t="shared" si="11"/>
        <v>116748.00000000001</v>
      </c>
      <c r="I156" s="273">
        <v>13.8</v>
      </c>
      <c r="J156" s="273"/>
      <c r="V156" s="35"/>
      <c r="W156" s="14"/>
      <c r="AB156" s="35"/>
      <c r="AE156" s="14"/>
      <c r="AF156" s="145"/>
      <c r="AG156" s="141"/>
    </row>
    <row r="157" spans="1:33" ht="15.6">
      <c r="A157" s="16" t="s">
        <v>26</v>
      </c>
      <c r="B157" s="16">
        <v>2008</v>
      </c>
      <c r="C157" s="14" t="s">
        <v>286</v>
      </c>
      <c r="D157" s="9" t="s">
        <v>293</v>
      </c>
      <c r="E157" s="17" t="s">
        <v>293</v>
      </c>
      <c r="F157" s="17"/>
      <c r="G157" s="271"/>
      <c r="H157" s="272">
        <f t="shared" si="11"/>
        <v>97290</v>
      </c>
      <c r="I157" s="273">
        <v>11.5</v>
      </c>
      <c r="J157" s="273"/>
      <c r="V157" s="35"/>
      <c r="W157" s="14"/>
      <c r="AB157" s="35"/>
      <c r="AE157" s="14"/>
      <c r="AF157" s="145"/>
      <c r="AG157" s="141"/>
    </row>
    <row r="158" spans="1:33" ht="15.6">
      <c r="A158" s="16" t="s">
        <v>26</v>
      </c>
      <c r="B158" s="16">
        <v>2008</v>
      </c>
      <c r="C158" s="14" t="s">
        <v>286</v>
      </c>
      <c r="D158" s="9" t="s">
        <v>264</v>
      </c>
      <c r="E158" s="17" t="s">
        <v>264</v>
      </c>
      <c r="F158" s="17"/>
      <c r="G158" s="271"/>
      <c r="H158" s="272">
        <f t="shared" si="11"/>
        <v>38916</v>
      </c>
      <c r="I158" s="273">
        <v>4.5999999999999996</v>
      </c>
      <c r="J158" s="273"/>
      <c r="V158" s="35"/>
      <c r="W158" s="14"/>
      <c r="AB158" s="35"/>
      <c r="AE158" s="14"/>
      <c r="AF158" s="145"/>
      <c r="AG158" s="141"/>
    </row>
    <row r="159" spans="1:33" ht="15.6">
      <c r="A159" s="16" t="s">
        <v>26</v>
      </c>
      <c r="B159" s="16">
        <v>2008</v>
      </c>
      <c r="C159" s="14" t="s">
        <v>286</v>
      </c>
      <c r="D159" s="9" t="s">
        <v>294</v>
      </c>
      <c r="E159" s="17" t="s">
        <v>295</v>
      </c>
      <c r="F159" s="17"/>
      <c r="G159" s="271"/>
      <c r="H159" s="272">
        <f t="shared" si="11"/>
        <v>29610.000000000004</v>
      </c>
      <c r="I159" s="273">
        <v>3.5</v>
      </c>
      <c r="J159" s="273"/>
      <c r="V159" s="35"/>
      <c r="W159" s="14"/>
      <c r="AB159" s="35"/>
      <c r="AE159" s="14"/>
      <c r="AF159" s="145"/>
      <c r="AG159" s="141"/>
    </row>
    <row r="160" spans="1:33" ht="15.6">
      <c r="A160" s="16" t="s">
        <v>26</v>
      </c>
      <c r="B160" s="16">
        <v>2008</v>
      </c>
      <c r="C160" s="14" t="s">
        <v>286</v>
      </c>
      <c r="D160" s="27" t="s">
        <v>202</v>
      </c>
      <c r="E160" s="17" t="s">
        <v>202</v>
      </c>
      <c r="F160" s="17"/>
      <c r="G160" s="271"/>
      <c r="H160" s="272">
        <f t="shared" si="11"/>
        <v>10998.000000000002</v>
      </c>
      <c r="I160" s="273">
        <v>1.3</v>
      </c>
      <c r="J160" s="273"/>
      <c r="V160" s="35"/>
      <c r="W160" s="14"/>
      <c r="AB160" s="35"/>
      <c r="AE160" s="14"/>
      <c r="AF160" s="145"/>
      <c r="AG160" s="141"/>
    </row>
    <row r="161" spans="1:33" ht="15.6">
      <c r="A161" s="16" t="s">
        <v>26</v>
      </c>
      <c r="B161" s="16">
        <v>2012</v>
      </c>
      <c r="C161" s="14" t="s">
        <v>286</v>
      </c>
      <c r="D161" s="9" t="s">
        <v>155</v>
      </c>
      <c r="E161" s="17" t="s">
        <v>155</v>
      </c>
      <c r="F161" s="17"/>
      <c r="G161" s="271"/>
      <c r="H161" s="272"/>
      <c r="I161" s="273">
        <v>45.6</v>
      </c>
      <c r="J161" s="273"/>
      <c r="V161" s="35"/>
      <c r="W161" s="14"/>
      <c r="AB161" s="35"/>
      <c r="AE161" s="14"/>
      <c r="AF161" s="145"/>
      <c r="AG161" s="141"/>
    </row>
    <row r="162" spans="1:33" ht="15.6">
      <c r="A162" s="16" t="s">
        <v>26</v>
      </c>
      <c r="B162" s="16">
        <v>2012</v>
      </c>
      <c r="C162" s="14" t="s">
        <v>286</v>
      </c>
      <c r="D162" s="9" t="s">
        <v>289</v>
      </c>
      <c r="E162" s="17" t="s">
        <v>289</v>
      </c>
      <c r="F162" s="17"/>
      <c r="G162" s="271"/>
      <c r="H162" s="272"/>
      <c r="I162" s="273">
        <v>17.100000000000001</v>
      </c>
      <c r="J162" s="273"/>
      <c r="V162" s="35"/>
      <c r="W162" s="14"/>
      <c r="AB162" s="35"/>
      <c r="AE162" s="14"/>
      <c r="AF162" s="145"/>
      <c r="AG162" s="141"/>
    </row>
    <row r="163" spans="1:33" ht="15.6">
      <c r="A163" s="16" t="s">
        <v>26</v>
      </c>
      <c r="B163" s="16">
        <v>2012</v>
      </c>
      <c r="C163" s="14" t="s">
        <v>286</v>
      </c>
      <c r="D163" s="9" t="s">
        <v>291</v>
      </c>
      <c r="E163" s="17" t="s">
        <v>291</v>
      </c>
      <c r="F163" s="17"/>
      <c r="G163" s="271"/>
      <c r="H163" s="272"/>
      <c r="I163" s="273">
        <v>11.8</v>
      </c>
      <c r="J163" s="273"/>
      <c r="V163" s="35"/>
      <c r="W163" s="14"/>
      <c r="AB163" s="35"/>
      <c r="AE163" s="14"/>
      <c r="AF163" s="145"/>
      <c r="AG163" s="141"/>
    </row>
    <row r="164" spans="1:33" ht="15.6">
      <c r="A164" s="16" t="s">
        <v>26</v>
      </c>
      <c r="B164" s="16">
        <v>2012</v>
      </c>
      <c r="C164" s="14" t="s">
        <v>286</v>
      </c>
      <c r="D164" s="9" t="s">
        <v>293</v>
      </c>
      <c r="E164" s="17" t="s">
        <v>293</v>
      </c>
      <c r="F164" s="17"/>
      <c r="G164" s="271"/>
      <c r="H164" s="272"/>
      <c r="I164" s="273">
        <v>9.4</v>
      </c>
      <c r="J164" s="273"/>
      <c r="V164" s="35"/>
      <c r="W164" s="14"/>
      <c r="AB164" s="35"/>
      <c r="AE164" s="14"/>
      <c r="AF164" s="145"/>
      <c r="AG164" s="141"/>
    </row>
    <row r="165" spans="1:33" ht="15.6">
      <c r="A165" s="16" t="s">
        <v>26</v>
      </c>
      <c r="B165" s="16">
        <v>2012</v>
      </c>
      <c r="C165" s="14" t="s">
        <v>286</v>
      </c>
      <c r="D165" s="9" t="s">
        <v>264</v>
      </c>
      <c r="E165" s="17" t="s">
        <v>264</v>
      </c>
      <c r="F165" s="17"/>
      <c r="G165" s="271"/>
      <c r="H165" s="272"/>
      <c r="I165" s="273"/>
      <c r="J165" s="273"/>
      <c r="V165" s="35"/>
      <c r="W165" s="14"/>
      <c r="AB165" s="35"/>
      <c r="AE165" s="14"/>
      <c r="AF165" s="145"/>
      <c r="AG165" s="141"/>
    </row>
    <row r="166" spans="1:33" ht="15.6">
      <c r="A166" s="16" t="s">
        <v>26</v>
      </c>
      <c r="B166" s="16">
        <v>2012</v>
      </c>
      <c r="C166" s="14" t="s">
        <v>286</v>
      </c>
      <c r="D166" s="9" t="s">
        <v>294</v>
      </c>
      <c r="E166" s="17" t="s">
        <v>295</v>
      </c>
      <c r="F166" s="17"/>
      <c r="G166" s="271"/>
      <c r="H166" s="272"/>
      <c r="I166" s="273"/>
      <c r="J166" s="273"/>
      <c r="V166" s="35"/>
      <c r="W166" s="14"/>
      <c r="AB166" s="35"/>
      <c r="AE166" s="14"/>
      <c r="AF166" s="145"/>
      <c r="AG166" s="141"/>
    </row>
    <row r="167" spans="1:33" ht="15.6">
      <c r="A167" s="16" t="s">
        <v>26</v>
      </c>
      <c r="B167" s="16">
        <v>2012</v>
      </c>
      <c r="C167" s="14" t="s">
        <v>286</v>
      </c>
      <c r="D167" s="27" t="s">
        <v>202</v>
      </c>
      <c r="E167" s="17" t="s">
        <v>202</v>
      </c>
      <c r="F167" s="17"/>
      <c r="G167" s="271"/>
      <c r="H167" s="272"/>
      <c r="I167" s="273">
        <v>16.100000000000001</v>
      </c>
      <c r="J167" s="273"/>
      <c r="V167" s="35"/>
      <c r="W167" s="14"/>
      <c r="AB167" s="35"/>
      <c r="AE167" s="14"/>
      <c r="AF167" s="145"/>
      <c r="AG167" s="141"/>
    </row>
    <row r="168" spans="1:33" ht="15.6">
      <c r="A168" s="16" t="s">
        <v>26</v>
      </c>
      <c r="B168" s="16">
        <v>2019</v>
      </c>
      <c r="C168" s="14" t="s">
        <v>36</v>
      </c>
      <c r="D168" s="27" t="s">
        <v>154</v>
      </c>
      <c r="E168" s="17" t="s">
        <v>155</v>
      </c>
      <c r="F168" s="17" t="s">
        <v>155</v>
      </c>
      <c r="G168" s="230">
        <v>4237</v>
      </c>
      <c r="H168" s="170">
        <f t="shared" ref="H168:H177" si="12">G168/0.893276257067409</f>
        <v>4743.2134980391229</v>
      </c>
      <c r="I168" s="170">
        <v>41.703084276254145</v>
      </c>
      <c r="V168" s="51">
        <v>13664.25</v>
      </c>
      <c r="W168" s="16"/>
      <c r="AB168" s="51">
        <v>38.818892045454547</v>
      </c>
      <c r="AE168" s="16" t="s">
        <v>163</v>
      </c>
      <c r="AF168" s="49" t="s">
        <v>156</v>
      </c>
      <c r="AG168" s="32" t="s">
        <v>296</v>
      </c>
    </row>
    <row r="169" spans="1:33" ht="15.6">
      <c r="A169" s="16" t="s">
        <v>26</v>
      </c>
      <c r="B169" s="16">
        <v>2019</v>
      </c>
      <c r="C169" s="14" t="s">
        <v>36</v>
      </c>
      <c r="D169" s="27" t="s">
        <v>165</v>
      </c>
      <c r="E169" s="17" t="s">
        <v>166</v>
      </c>
      <c r="F169" s="17" t="s">
        <v>167</v>
      </c>
      <c r="G169" s="230">
        <v>1059</v>
      </c>
      <c r="H169" s="170">
        <f t="shared" si="12"/>
        <v>1185.5235058823298</v>
      </c>
      <c r="I169" s="170">
        <v>10.423310419767084</v>
      </c>
      <c r="V169" s="35">
        <v>3711</v>
      </c>
      <c r="W169" s="16"/>
      <c r="AB169" s="51">
        <v>10.542613636363637</v>
      </c>
      <c r="AE169" s="16" t="s">
        <v>163</v>
      </c>
      <c r="AF169" s="49" t="s">
        <v>156</v>
      </c>
      <c r="AG169" s="32" t="s">
        <v>297</v>
      </c>
    </row>
    <row r="170" spans="1:33" ht="15.6">
      <c r="A170" s="16" t="s">
        <v>26</v>
      </c>
      <c r="B170" s="16">
        <v>2019</v>
      </c>
      <c r="C170" s="14" t="s">
        <v>36</v>
      </c>
      <c r="D170" s="27" t="s">
        <v>160</v>
      </c>
      <c r="E170" s="17" t="s">
        <v>298</v>
      </c>
      <c r="F170" s="17" t="s">
        <v>160</v>
      </c>
      <c r="G170" s="230">
        <v>1923.81</v>
      </c>
      <c r="H170" s="170">
        <f t="shared" si="12"/>
        <v>2153.6562567058404</v>
      </c>
      <c r="I170" s="170">
        <v>18.93528689202277</v>
      </c>
      <c r="V170" s="35">
        <v>6773.25</v>
      </c>
      <c r="W170" s="16"/>
      <c r="AB170" s="51">
        <v>19.2421875</v>
      </c>
      <c r="AE170" s="16" t="s">
        <v>163</v>
      </c>
      <c r="AF170" s="49" t="s">
        <v>156</v>
      </c>
      <c r="AG170" s="32" t="s">
        <v>299</v>
      </c>
    </row>
    <row r="171" spans="1:33" ht="15.6">
      <c r="A171" s="16" t="s">
        <v>26</v>
      </c>
      <c r="B171" s="16">
        <v>2019</v>
      </c>
      <c r="C171" s="14" t="s">
        <v>36</v>
      </c>
      <c r="D171" s="27" t="s">
        <v>171</v>
      </c>
      <c r="E171" s="17" t="s">
        <v>172</v>
      </c>
      <c r="F171" s="17" t="s">
        <v>173</v>
      </c>
      <c r="G171" s="230">
        <v>1238.46</v>
      </c>
      <c r="H171" s="170">
        <f t="shared" si="12"/>
        <v>1386.4244014117378</v>
      </c>
      <c r="I171" s="170">
        <v>12.189662910731581</v>
      </c>
      <c r="V171" s="35">
        <v>4340</v>
      </c>
      <c r="W171" s="16"/>
      <c r="AB171" s="51">
        <v>12.329545454545453</v>
      </c>
      <c r="AE171" s="16" t="s">
        <v>163</v>
      </c>
      <c r="AF171" s="49" t="s">
        <v>156</v>
      </c>
      <c r="AG171" s="32" t="s">
        <v>300</v>
      </c>
    </row>
    <row r="172" spans="1:33" ht="15.6">
      <c r="A172" s="16" t="s">
        <v>26</v>
      </c>
      <c r="B172" s="16">
        <v>2019</v>
      </c>
      <c r="C172" s="14" t="s">
        <v>36</v>
      </c>
      <c r="D172" s="27" t="s">
        <v>176</v>
      </c>
      <c r="E172" s="17" t="s">
        <v>177</v>
      </c>
      <c r="F172" s="17" t="s">
        <v>178</v>
      </c>
      <c r="G172" s="230">
        <v>741</v>
      </c>
      <c r="H172" s="170">
        <f t="shared" si="12"/>
        <v>829.53061176468975</v>
      </c>
      <c r="I172" s="170">
        <v>7.293364514681218</v>
      </c>
      <c r="V172" s="35">
        <v>2655.14</v>
      </c>
      <c r="W172" s="16">
        <v>23.26</v>
      </c>
      <c r="AB172" s="51">
        <v>7.5430113636363636</v>
      </c>
      <c r="AE172" s="16" t="s">
        <v>301</v>
      </c>
      <c r="AF172" s="49" t="s">
        <v>156</v>
      </c>
      <c r="AG172" s="32" t="s">
        <v>302</v>
      </c>
    </row>
    <row r="173" spans="1:33" ht="15.6">
      <c r="A173" s="16" t="s">
        <v>26</v>
      </c>
      <c r="B173" s="16">
        <v>2019</v>
      </c>
      <c r="C173" s="14" t="s">
        <v>36</v>
      </c>
      <c r="D173" s="27" t="s">
        <v>182</v>
      </c>
      <c r="E173" s="17" t="s">
        <v>303</v>
      </c>
      <c r="F173" s="17" t="s">
        <v>183</v>
      </c>
      <c r="G173" s="230">
        <v>171.22</v>
      </c>
      <c r="H173" s="170">
        <f t="shared" si="12"/>
        <v>191.6764255686237</v>
      </c>
      <c r="I173" s="170">
        <v>1.6852494901534658</v>
      </c>
      <c r="V173" s="35">
        <v>600</v>
      </c>
      <c r="W173" s="16"/>
      <c r="AB173" s="51">
        <v>1.7045454545454544</v>
      </c>
      <c r="AE173" s="16" t="s">
        <v>304</v>
      </c>
      <c r="AF173" s="49" t="s">
        <v>184</v>
      </c>
      <c r="AG173" s="32" t="s">
        <v>305</v>
      </c>
    </row>
    <row r="174" spans="1:33" ht="15.6">
      <c r="A174" s="16" t="s">
        <v>26</v>
      </c>
      <c r="B174" s="16">
        <v>2019</v>
      </c>
      <c r="C174" s="14" t="s">
        <v>36</v>
      </c>
      <c r="D174" s="27" t="s">
        <v>188</v>
      </c>
      <c r="E174" s="126" t="s">
        <v>306</v>
      </c>
      <c r="F174" s="17" t="s">
        <v>307</v>
      </c>
      <c r="G174" s="230">
        <v>125.97</v>
      </c>
      <c r="H174" s="170">
        <f t="shared" si="12"/>
        <v>141.02020399999725</v>
      </c>
      <c r="I174" s="170">
        <v>1.2398719674958072</v>
      </c>
      <c r="V174" s="35">
        <v>584</v>
      </c>
      <c r="W174" s="16">
        <v>24.3</v>
      </c>
      <c r="AB174" s="51">
        <v>1.6590909090909089</v>
      </c>
      <c r="AE174" s="16" t="s">
        <v>304</v>
      </c>
      <c r="AF174" s="49" t="s">
        <v>156</v>
      </c>
      <c r="AG174" s="32" t="s">
        <v>308</v>
      </c>
    </row>
    <row r="175" spans="1:33" ht="15.6">
      <c r="A175" s="16" t="s">
        <v>26</v>
      </c>
      <c r="B175" s="16">
        <v>2019</v>
      </c>
      <c r="C175" s="14" t="s">
        <v>36</v>
      </c>
      <c r="D175" s="27" t="s">
        <v>193</v>
      </c>
      <c r="E175" s="17" t="s">
        <v>309</v>
      </c>
      <c r="F175" s="17" t="s">
        <v>195</v>
      </c>
      <c r="G175" s="230">
        <v>142.68</v>
      </c>
      <c r="H175" s="170">
        <f t="shared" si="12"/>
        <v>159.72662305882042</v>
      </c>
      <c r="I175" s="170">
        <v>1.4043417664706022</v>
      </c>
      <c r="V175" s="35">
        <v>500</v>
      </c>
      <c r="W175" s="16"/>
      <c r="AB175" s="51">
        <v>1.4204545454545454</v>
      </c>
      <c r="AE175" s="16" t="s">
        <v>158</v>
      </c>
      <c r="AF175" s="49" t="s">
        <v>184</v>
      </c>
      <c r="AG175" s="32" t="s">
        <v>310</v>
      </c>
    </row>
    <row r="176" spans="1:33" ht="15.6">
      <c r="A176" s="16" t="s">
        <v>26</v>
      </c>
      <c r="B176" s="16">
        <v>2019</v>
      </c>
      <c r="C176" s="14" t="s">
        <v>36</v>
      </c>
      <c r="D176" s="27" t="s">
        <v>198</v>
      </c>
      <c r="E176" s="17" t="s">
        <v>311</v>
      </c>
      <c r="F176" s="17" t="s">
        <v>312</v>
      </c>
      <c r="G176" s="230">
        <v>120.42</v>
      </c>
      <c r="H176" s="170">
        <f t="shared" si="12"/>
        <v>134.8071204705856</v>
      </c>
      <c r="I176" s="170">
        <v>1.1852455531145916</v>
      </c>
      <c r="V176" s="35">
        <v>422</v>
      </c>
      <c r="W176" s="16"/>
      <c r="AB176" s="51">
        <v>1.1988636363636362</v>
      </c>
      <c r="AE176" s="16" t="s">
        <v>304</v>
      </c>
      <c r="AF176" s="49" t="s">
        <v>184</v>
      </c>
      <c r="AG176" s="32" t="s">
        <v>313</v>
      </c>
    </row>
    <row r="177" spans="1:33" ht="15.6">
      <c r="A177" s="16" t="s">
        <v>26</v>
      </c>
      <c r="B177" s="16">
        <v>2019</v>
      </c>
      <c r="C177" s="14" t="s">
        <v>36</v>
      </c>
      <c r="D177" s="27" t="s">
        <v>202</v>
      </c>
      <c r="E177" s="17"/>
      <c r="F177" s="17"/>
      <c r="G177" s="230">
        <f>'Total Revenue (Millions)'!D60-SUM('Unified sheet'!G493:G501)</f>
        <v>-1206.7599999999998</v>
      </c>
      <c r="H177" s="170">
        <f t="shared" si="12"/>
        <v>-1350.9370594509537</v>
      </c>
      <c r="I177" s="170">
        <f>100-SUM(I168:I176)</f>
        <v>3.9405822093087295</v>
      </c>
      <c r="V177" s="35"/>
      <c r="W177" s="16"/>
      <c r="AB177" s="51">
        <f>100-SUM(AB168:AB176)</f>
        <v>5.5407954545454459</v>
      </c>
      <c r="AE177" s="16"/>
      <c r="AF177" s="49"/>
      <c r="AG177" s="32" t="s">
        <v>203</v>
      </c>
    </row>
    <row r="178" spans="1:33" ht="15.6">
      <c r="A178" s="16" t="s">
        <v>26</v>
      </c>
      <c r="B178" s="16">
        <v>2020</v>
      </c>
      <c r="C178" s="14" t="s">
        <v>36</v>
      </c>
      <c r="D178" s="27" t="s">
        <v>154</v>
      </c>
      <c r="E178" s="17" t="s">
        <v>155</v>
      </c>
      <c r="F178" s="17" t="s">
        <v>155</v>
      </c>
      <c r="G178" s="230">
        <v>4336</v>
      </c>
      <c r="H178" s="170">
        <f t="shared" ref="H178:H186" si="13">G178/0.875506396987998</f>
        <v>4952.5623284045978</v>
      </c>
      <c r="I178" s="170">
        <v>41.659380758669599</v>
      </c>
      <c r="V178" s="51">
        <v>13957</v>
      </c>
      <c r="W178" s="16"/>
      <c r="AB178" s="51">
        <v>38.769444444444403</v>
      </c>
      <c r="AE178" s="16" t="s">
        <v>163</v>
      </c>
      <c r="AF178" s="49" t="s">
        <v>156</v>
      </c>
      <c r="AG178" s="32" t="s">
        <v>314</v>
      </c>
    </row>
    <row r="179" spans="1:33" ht="15.6">
      <c r="A179" s="16" t="s">
        <v>26</v>
      </c>
      <c r="B179" s="16">
        <v>2020</v>
      </c>
      <c r="C179" s="14" t="s">
        <v>36</v>
      </c>
      <c r="D179" s="27" t="s">
        <v>160</v>
      </c>
      <c r="E179" s="17" t="s">
        <v>298</v>
      </c>
      <c r="F179" s="17" t="s">
        <v>160</v>
      </c>
      <c r="G179" s="230">
        <v>3066.77</v>
      </c>
      <c r="H179" s="170">
        <f t="shared" si="13"/>
        <v>3502.8527610427514</v>
      </c>
      <c r="I179" s="170">
        <v>29.464884485531627</v>
      </c>
      <c r="V179" s="35">
        <v>10604.33</v>
      </c>
      <c r="W179" s="16"/>
      <c r="AB179" s="51">
        <v>29.456472222222224</v>
      </c>
      <c r="AE179" s="16" t="s">
        <v>163</v>
      </c>
      <c r="AF179" s="49" t="s">
        <v>156</v>
      </c>
      <c r="AG179" s="32" t="s">
        <v>315</v>
      </c>
    </row>
    <row r="180" spans="1:33" ht="15.6">
      <c r="A180" s="16" t="s">
        <v>26</v>
      </c>
      <c r="B180" s="16">
        <v>2020</v>
      </c>
      <c r="C180" s="14" t="s">
        <v>36</v>
      </c>
      <c r="D180" s="27" t="s">
        <v>171</v>
      </c>
      <c r="E180" s="17" t="s">
        <v>172</v>
      </c>
      <c r="F180" s="17" t="s">
        <v>173</v>
      </c>
      <c r="G180" s="230">
        <v>1250.8</v>
      </c>
      <c r="H180" s="170">
        <f t="shared" si="13"/>
        <v>1428.6588930739094</v>
      </c>
      <c r="I180" s="170">
        <v>12.017424689332087</v>
      </c>
      <c r="V180" s="35">
        <v>4325</v>
      </c>
      <c r="W180" s="16"/>
      <c r="AB180" s="51">
        <v>12.013888888888889</v>
      </c>
      <c r="AE180" s="16" t="s">
        <v>163</v>
      </c>
      <c r="AF180" s="49" t="s">
        <v>156</v>
      </c>
      <c r="AG180" s="32" t="s">
        <v>316</v>
      </c>
    </row>
    <row r="181" spans="1:33" ht="15.6">
      <c r="A181" s="16" t="s">
        <v>26</v>
      </c>
      <c r="B181" s="16">
        <v>2020</v>
      </c>
      <c r="C181" s="14" t="s">
        <v>36</v>
      </c>
      <c r="D181" s="27" t="s">
        <v>176</v>
      </c>
      <c r="E181" s="17" t="s">
        <v>317</v>
      </c>
      <c r="F181" s="17" t="s">
        <v>178</v>
      </c>
      <c r="G181" s="230">
        <v>785</v>
      </c>
      <c r="H181" s="170">
        <f t="shared" si="13"/>
        <v>896.62394552527894</v>
      </c>
      <c r="I181" s="170">
        <v>7.5421157508200247</v>
      </c>
      <c r="V181" s="35">
        <v>2748.6</v>
      </c>
      <c r="W181" s="16">
        <v>23.8</v>
      </c>
      <c r="AB181" s="51">
        <v>7.6349999999999998</v>
      </c>
      <c r="AE181" s="16" t="s">
        <v>163</v>
      </c>
      <c r="AF181" s="49" t="s">
        <v>156</v>
      </c>
      <c r="AG181" s="32" t="s">
        <v>318</v>
      </c>
    </row>
    <row r="182" spans="1:33" ht="15.6">
      <c r="A182" s="16" t="s">
        <v>26</v>
      </c>
      <c r="B182" s="16">
        <v>2020</v>
      </c>
      <c r="C182" s="14" t="s">
        <v>36</v>
      </c>
      <c r="D182" s="27" t="s">
        <v>182</v>
      </c>
      <c r="E182" s="17" t="s">
        <v>319</v>
      </c>
      <c r="F182" s="17" t="s">
        <v>183</v>
      </c>
      <c r="G182" s="230">
        <v>173.52</v>
      </c>
      <c r="H182" s="170">
        <f t="shared" si="13"/>
        <v>198.19386882489988</v>
      </c>
      <c r="I182" s="170">
        <v>1.6671438536080139</v>
      </c>
      <c r="V182" s="35">
        <v>600</v>
      </c>
      <c r="W182" s="16"/>
      <c r="AB182" s="51">
        <v>1.6666666666666667</v>
      </c>
      <c r="AE182" s="16" t="s">
        <v>304</v>
      </c>
      <c r="AF182" s="49" t="s">
        <v>184</v>
      </c>
      <c r="AG182" s="32" t="s">
        <v>320</v>
      </c>
    </row>
    <row r="183" spans="1:33" ht="15.6">
      <c r="A183" s="16" t="s">
        <v>26</v>
      </c>
      <c r="B183" s="16">
        <v>2020</v>
      </c>
      <c r="C183" s="14" t="s">
        <v>36</v>
      </c>
      <c r="D183" s="27" t="s">
        <v>188</v>
      </c>
      <c r="E183" s="17" t="s">
        <v>189</v>
      </c>
      <c r="F183" s="17" t="s">
        <v>189</v>
      </c>
      <c r="G183" s="230">
        <v>176.27</v>
      </c>
      <c r="H183" s="170">
        <f t="shared" si="13"/>
        <v>201.33490812451075</v>
      </c>
      <c r="I183" s="170">
        <v>1.6935652782127972</v>
      </c>
      <c r="V183" s="35">
        <v>602</v>
      </c>
      <c r="W183" s="16">
        <v>24.4</v>
      </c>
      <c r="AB183" s="51">
        <v>1.6722222222222221</v>
      </c>
      <c r="AE183" s="16" t="s">
        <v>304</v>
      </c>
      <c r="AF183" s="49" t="s">
        <v>156</v>
      </c>
      <c r="AG183" s="32" t="s">
        <v>321</v>
      </c>
    </row>
    <row r="184" spans="1:33" ht="15.6">
      <c r="A184" s="16" t="s">
        <v>26</v>
      </c>
      <c r="B184" s="16">
        <v>2020</v>
      </c>
      <c r="C184" s="14" t="s">
        <v>36</v>
      </c>
      <c r="D184" s="27" t="s">
        <v>193</v>
      </c>
      <c r="E184" s="17" t="s">
        <v>309</v>
      </c>
      <c r="F184" s="17" t="s">
        <v>195</v>
      </c>
      <c r="G184" s="230">
        <v>144.6</v>
      </c>
      <c r="H184" s="170">
        <f t="shared" si="13"/>
        <v>165.16155735408321</v>
      </c>
      <c r="I184" s="170">
        <v>1.3892865446733449</v>
      </c>
      <c r="V184" s="35">
        <v>500</v>
      </c>
      <c r="W184" s="16"/>
      <c r="AB184" s="51">
        <v>1.3888888888888888</v>
      </c>
      <c r="AE184" s="16" t="s">
        <v>158</v>
      </c>
      <c r="AF184" s="49" t="s">
        <v>184</v>
      </c>
      <c r="AG184" s="32" t="s">
        <v>322</v>
      </c>
    </row>
    <row r="185" spans="1:33" ht="15.6">
      <c r="A185" s="16" t="s">
        <v>26</v>
      </c>
      <c r="B185" s="16">
        <v>2020</v>
      </c>
      <c r="C185" s="14" t="s">
        <v>36</v>
      </c>
      <c r="D185" s="27" t="s">
        <v>198</v>
      </c>
      <c r="E185" s="17" t="s">
        <v>199</v>
      </c>
      <c r="F185" s="17" t="s">
        <v>199</v>
      </c>
      <c r="G185" s="230">
        <v>127.54</v>
      </c>
      <c r="H185" s="170">
        <f t="shared" si="13"/>
        <v>145.67569173540647</v>
      </c>
      <c r="I185" s="170">
        <v>1.2253776342160332</v>
      </c>
      <c r="V185" s="35">
        <v>441</v>
      </c>
      <c r="W185" s="16"/>
      <c r="AB185" s="51">
        <v>1.2250000000000001</v>
      </c>
      <c r="AE185" s="16" t="s">
        <v>304</v>
      </c>
      <c r="AF185" s="49" t="s">
        <v>323</v>
      </c>
      <c r="AG185" s="32" t="s">
        <v>324</v>
      </c>
    </row>
    <row r="186" spans="1:33" ht="15.6">
      <c r="A186" s="16" t="s">
        <v>26</v>
      </c>
      <c r="B186" s="16">
        <v>2020</v>
      </c>
      <c r="C186" s="14" t="s">
        <v>36</v>
      </c>
      <c r="D186" s="27" t="s">
        <v>202</v>
      </c>
      <c r="E186" s="17"/>
      <c r="F186" s="17"/>
      <c r="G186" s="230">
        <f>'Total Revenue (Millions)'!D61-SUM('Unified sheet'!G503:G510)</f>
        <v>-1442.6599999999999</v>
      </c>
      <c r="H186" s="170">
        <f t="shared" si="13"/>
        <v>-1647.8006385369411</v>
      </c>
      <c r="I186" s="170">
        <f>100-SUM(I178:I185)</f>
        <v>3.3408210049364726</v>
      </c>
      <c r="V186" s="35"/>
      <c r="W186" s="16"/>
      <c r="AB186" s="51">
        <f>100-SUM(AB178:AB185)</f>
        <v>6.1724166666667202</v>
      </c>
      <c r="AE186" s="16"/>
      <c r="AF186" s="49"/>
      <c r="AG186" s="32" t="s">
        <v>203</v>
      </c>
    </row>
    <row r="187" spans="1:33" ht="15.6">
      <c r="A187" s="16" t="s">
        <v>26</v>
      </c>
      <c r="B187" s="16">
        <v>2021</v>
      </c>
      <c r="C187" s="14" t="s">
        <v>36</v>
      </c>
      <c r="D187" s="27" t="s">
        <v>154</v>
      </c>
      <c r="E187" s="17" t="s">
        <v>155</v>
      </c>
      <c r="F187" s="17" t="s">
        <v>155</v>
      </c>
      <c r="G187" s="230">
        <v>4524</v>
      </c>
      <c r="H187" s="170">
        <f t="shared" ref="H187:H196" si="14">G187/0.84549413889045</f>
        <v>5350.7171627906118</v>
      </c>
      <c r="I187" s="170">
        <v>41.001621394798313</v>
      </c>
      <c r="V187" s="51">
        <v>14346.75</v>
      </c>
      <c r="W187" s="16"/>
      <c r="AB187" s="51">
        <v>38.774999999999999</v>
      </c>
      <c r="AE187" s="16" t="s">
        <v>163</v>
      </c>
      <c r="AF187" s="49" t="s">
        <v>156</v>
      </c>
      <c r="AG187" s="32" t="s">
        <v>325</v>
      </c>
    </row>
    <row r="188" spans="1:33" ht="15.6">
      <c r="A188" s="16" t="s">
        <v>26</v>
      </c>
      <c r="B188" s="16">
        <v>2021</v>
      </c>
      <c r="C188" s="14" t="s">
        <v>36</v>
      </c>
      <c r="D188" s="27" t="s">
        <v>160</v>
      </c>
      <c r="E188" s="17" t="s">
        <v>298</v>
      </c>
      <c r="F188" s="17" t="s">
        <v>160</v>
      </c>
      <c r="G188" s="230">
        <v>3201.19</v>
      </c>
      <c r="H188" s="170">
        <f t="shared" si="14"/>
        <v>3786.1764532169937</v>
      </c>
      <c r="I188" s="170">
        <v>29.012816178783023</v>
      </c>
      <c r="V188" s="35">
        <v>10883.75</v>
      </c>
      <c r="W188" s="16"/>
      <c r="AB188" s="51">
        <v>29.41554054054054</v>
      </c>
      <c r="AE188" s="16" t="s">
        <v>163</v>
      </c>
      <c r="AF188" s="49" t="s">
        <v>156</v>
      </c>
      <c r="AG188" s="32" t="s">
        <v>326</v>
      </c>
    </row>
    <row r="189" spans="1:33" ht="15.6">
      <c r="A189" s="16" t="s">
        <v>26</v>
      </c>
      <c r="B189" s="16">
        <v>2021</v>
      </c>
      <c r="C189" s="14" t="s">
        <v>36</v>
      </c>
      <c r="D189" s="27" t="s">
        <v>171</v>
      </c>
      <c r="E189" s="17" t="s">
        <v>172</v>
      </c>
      <c r="F189" s="17" t="s">
        <v>173</v>
      </c>
      <c r="G189" s="230">
        <v>1257.3630000000001</v>
      </c>
      <c r="H189" s="170">
        <f t="shared" si="14"/>
        <v>1487.1339044999761</v>
      </c>
      <c r="I189" s="170">
        <v>11.395650239130811</v>
      </c>
      <c r="V189" s="35">
        <v>4275</v>
      </c>
      <c r="W189" s="16"/>
      <c r="AB189" s="51">
        <v>11.554054054054054</v>
      </c>
      <c r="AE189" s="16" t="s">
        <v>163</v>
      </c>
      <c r="AF189" s="49" t="s">
        <v>156</v>
      </c>
      <c r="AG189" s="32" t="s">
        <v>327</v>
      </c>
    </row>
    <row r="190" spans="1:33" ht="15.6">
      <c r="A190" s="16" t="s">
        <v>26</v>
      </c>
      <c r="B190" s="16">
        <v>2021</v>
      </c>
      <c r="C190" s="14" t="s">
        <v>36</v>
      </c>
      <c r="D190" s="27" t="s">
        <v>176</v>
      </c>
      <c r="E190" s="17" t="s">
        <v>317</v>
      </c>
      <c r="F190" s="17" t="s">
        <v>178</v>
      </c>
      <c r="G190" s="230">
        <v>814</v>
      </c>
      <c r="H190" s="170">
        <f t="shared" si="14"/>
        <v>962.75061240308526</v>
      </c>
      <c r="I190" s="170">
        <v>7.3773916479588459</v>
      </c>
      <c r="V190" s="35">
        <v>2722.04</v>
      </c>
      <c r="W190" s="16">
        <v>24.92</v>
      </c>
      <c r="AB190" s="51">
        <v>7.3568648648648649</v>
      </c>
      <c r="AE190" s="16" t="s">
        <v>163</v>
      </c>
      <c r="AF190" s="49" t="s">
        <v>156</v>
      </c>
      <c r="AG190" s="32" t="s">
        <v>328</v>
      </c>
    </row>
    <row r="191" spans="1:33" ht="15.6">
      <c r="A191" s="16" t="s">
        <v>26</v>
      </c>
      <c r="B191" s="16">
        <v>2021</v>
      </c>
      <c r="C191" s="14" t="s">
        <v>36</v>
      </c>
      <c r="D191" s="27" t="s">
        <v>182</v>
      </c>
      <c r="E191" s="17" t="s">
        <v>319</v>
      </c>
      <c r="F191" s="17" t="s">
        <v>183</v>
      </c>
      <c r="G191" s="230">
        <v>205.88</v>
      </c>
      <c r="H191" s="170">
        <f t="shared" si="14"/>
        <v>243.50257503875577</v>
      </c>
      <c r="I191" s="170">
        <v>1.8659181725820237</v>
      </c>
      <c r="V191" s="35">
        <v>700</v>
      </c>
      <c r="W191" s="16"/>
      <c r="AB191" s="51">
        <v>1.8918918918918921</v>
      </c>
      <c r="AE191" s="16" t="s">
        <v>304</v>
      </c>
      <c r="AF191" s="49" t="s">
        <v>184</v>
      </c>
      <c r="AG191" s="32" t="s">
        <v>329</v>
      </c>
    </row>
    <row r="192" spans="1:33" ht="15.6">
      <c r="A192" s="16" t="s">
        <v>26</v>
      </c>
      <c r="B192" s="16">
        <v>2021</v>
      </c>
      <c r="C192" s="14" t="s">
        <v>36</v>
      </c>
      <c r="D192" s="27" t="s">
        <v>188</v>
      </c>
      <c r="E192" s="17" t="s">
        <v>330</v>
      </c>
      <c r="F192" s="17" t="s">
        <v>189</v>
      </c>
      <c r="G192" s="230">
        <v>190.58</v>
      </c>
      <c r="H192" s="170">
        <f t="shared" si="14"/>
        <v>225.40664829457003</v>
      </c>
      <c r="I192" s="170">
        <v>1.7272522116314459</v>
      </c>
      <c r="V192" s="35">
        <v>629</v>
      </c>
      <c r="W192" s="16">
        <v>24.1</v>
      </c>
      <c r="AB192" s="51">
        <v>1.7000000000000002</v>
      </c>
      <c r="AE192" s="16" t="s">
        <v>304</v>
      </c>
      <c r="AF192" s="49" t="s">
        <v>156</v>
      </c>
      <c r="AG192" s="32" t="s">
        <v>331</v>
      </c>
    </row>
    <row r="193" spans="1:33" ht="15.6">
      <c r="A193" s="16" t="s">
        <v>26</v>
      </c>
      <c r="B193" s="16">
        <v>2021</v>
      </c>
      <c r="C193" s="14" t="s">
        <v>36</v>
      </c>
      <c r="D193" s="27" t="s">
        <v>193</v>
      </c>
      <c r="E193" s="17" t="s">
        <v>219</v>
      </c>
      <c r="F193" s="17" t="s">
        <v>195</v>
      </c>
      <c r="G193" s="230">
        <v>147</v>
      </c>
      <c r="H193" s="170">
        <f t="shared" si="14"/>
        <v>173.86282558139254</v>
      </c>
      <c r="I193" s="170">
        <v>1.3322808012898655</v>
      </c>
      <c r="V193" s="35">
        <v>500</v>
      </c>
      <c r="W193" s="16"/>
      <c r="AB193" s="51">
        <v>1.3513513513513513</v>
      </c>
      <c r="AE193" s="16" t="s">
        <v>158</v>
      </c>
      <c r="AF193" s="49" t="s">
        <v>184</v>
      </c>
      <c r="AG193" s="32" t="s">
        <v>332</v>
      </c>
    </row>
    <row r="194" spans="1:33" ht="15.6">
      <c r="A194" s="16" t="s">
        <v>26</v>
      </c>
      <c r="B194" s="16">
        <v>2021</v>
      </c>
      <c r="C194" s="14" t="s">
        <v>36</v>
      </c>
      <c r="D194" s="27" t="s">
        <v>221</v>
      </c>
      <c r="E194" s="17" t="s">
        <v>333</v>
      </c>
      <c r="F194" s="17" t="s">
        <v>223</v>
      </c>
      <c r="G194" s="230">
        <v>117.65</v>
      </c>
      <c r="H194" s="170">
        <f t="shared" si="14"/>
        <v>139.14939748061792</v>
      </c>
      <c r="I194" s="170">
        <v>1.066277797767025</v>
      </c>
      <c r="V194" s="35">
        <v>350</v>
      </c>
      <c r="W194" s="16"/>
      <c r="AB194" s="51">
        <v>0.94594594594594605</v>
      </c>
      <c r="AE194" s="16" t="s">
        <v>334</v>
      </c>
      <c r="AF194" s="49" t="s">
        <v>224</v>
      </c>
      <c r="AG194" s="32" t="s">
        <v>335</v>
      </c>
    </row>
    <row r="195" spans="1:33" ht="15.6">
      <c r="A195" s="16" t="s">
        <v>26</v>
      </c>
      <c r="B195" s="16">
        <v>2021</v>
      </c>
      <c r="C195" s="14" t="s">
        <v>36</v>
      </c>
      <c r="D195" s="27" t="s">
        <v>198</v>
      </c>
      <c r="E195" s="17" t="s">
        <v>199</v>
      </c>
      <c r="F195" s="17" t="s">
        <v>199</v>
      </c>
      <c r="G195" s="230">
        <v>134.69999999999999</v>
      </c>
      <c r="H195" s="170">
        <f t="shared" si="14"/>
        <v>159.31511976743928</v>
      </c>
      <c r="I195" s="170">
        <v>1.2208042444472438</v>
      </c>
      <c r="V195" s="35">
        <v>458</v>
      </c>
      <c r="W195" s="16"/>
      <c r="AB195" s="51">
        <v>1.2378378378378379</v>
      </c>
      <c r="AE195" s="16" t="s">
        <v>304</v>
      </c>
      <c r="AF195" s="49" t="s">
        <v>184</v>
      </c>
      <c r="AG195" s="32" t="s">
        <v>336</v>
      </c>
    </row>
    <row r="196" spans="1:33" ht="15.6">
      <c r="A196" s="16" t="s">
        <v>26</v>
      </c>
      <c r="B196" s="16">
        <v>2021</v>
      </c>
      <c r="C196" s="14" t="s">
        <v>36</v>
      </c>
      <c r="D196" s="27" t="s">
        <v>202</v>
      </c>
      <c r="E196" s="17"/>
      <c r="F196" s="17"/>
      <c r="G196" s="230">
        <f>11033.71-SUM('Unified sheet'!G512:G520)</f>
        <v>4639.1069999999991</v>
      </c>
      <c r="H196" s="170">
        <f t="shared" si="14"/>
        <v>5486.8588516627015</v>
      </c>
      <c r="I196" s="170">
        <f>100-SUM(I187:I195)</f>
        <v>3.9999873116113918</v>
      </c>
      <c r="V196" s="35"/>
      <c r="W196" s="16"/>
      <c r="AB196" s="51">
        <f>100-SUM(AB187:AB195)</f>
        <v>5.7715135135135114</v>
      </c>
      <c r="AE196" s="16"/>
      <c r="AF196" s="49"/>
      <c r="AG196" s="32" t="s">
        <v>203</v>
      </c>
    </row>
    <row r="197" spans="1:33" ht="15.6">
      <c r="A197" s="16" t="s">
        <v>26</v>
      </c>
      <c r="B197" s="16">
        <v>2022</v>
      </c>
      <c r="C197" s="14" t="s">
        <v>36</v>
      </c>
      <c r="D197" s="27" t="s">
        <v>154</v>
      </c>
      <c r="E197" s="17" t="s">
        <v>155</v>
      </c>
      <c r="F197" s="17" t="s">
        <v>155</v>
      </c>
      <c r="G197" s="230">
        <v>4861</v>
      </c>
      <c r="H197" s="170">
        <f t="shared" ref="H197:H206" si="15">G197/0.949623753156941</f>
        <v>5118.8694299611097</v>
      </c>
      <c r="I197" s="170">
        <v>41.614516540507587</v>
      </c>
      <c r="V197" s="35">
        <v>14616.75</v>
      </c>
      <c r="W197" s="16"/>
      <c r="AB197" s="51">
        <v>39.719429347826086</v>
      </c>
      <c r="AE197" s="16" t="s">
        <v>163</v>
      </c>
      <c r="AF197" s="49" t="s">
        <v>156</v>
      </c>
      <c r="AG197" s="32" t="s">
        <v>337</v>
      </c>
    </row>
    <row r="198" spans="1:33" ht="15.6">
      <c r="A198" s="16" t="s">
        <v>26</v>
      </c>
      <c r="B198" s="16">
        <v>2022</v>
      </c>
      <c r="C198" s="14" t="s">
        <v>36</v>
      </c>
      <c r="D198" s="27" t="s">
        <v>160</v>
      </c>
      <c r="E198" s="17" t="s">
        <v>298</v>
      </c>
      <c r="F198" s="17" t="s">
        <v>160</v>
      </c>
      <c r="G198" s="230">
        <v>3227.84</v>
      </c>
      <c r="H198" s="170">
        <f t="shared" si="15"/>
        <v>3399.0725161089626</v>
      </c>
      <c r="I198" s="170">
        <v>27.633203264783386</v>
      </c>
      <c r="V198" s="35">
        <v>10927.75</v>
      </c>
      <c r="W198" s="16"/>
      <c r="AB198" s="51">
        <v>29.694972826086957</v>
      </c>
      <c r="AE198" s="16" t="s">
        <v>163</v>
      </c>
      <c r="AF198" s="49" t="s">
        <v>156</v>
      </c>
      <c r="AG198" s="32" t="s">
        <v>338</v>
      </c>
    </row>
    <row r="199" spans="1:33" ht="15.6">
      <c r="A199" s="16" t="s">
        <v>26</v>
      </c>
      <c r="B199" s="16">
        <v>2022</v>
      </c>
      <c r="C199" s="14" t="s">
        <v>36</v>
      </c>
      <c r="D199" s="27" t="s">
        <v>171</v>
      </c>
      <c r="E199" s="17" t="s">
        <v>172</v>
      </c>
      <c r="F199" s="17" t="s">
        <v>173</v>
      </c>
      <c r="G199" s="230">
        <v>1231.73</v>
      </c>
      <c r="H199" s="170">
        <f t="shared" si="15"/>
        <v>1297.0715990466977</v>
      </c>
      <c r="I199" s="170">
        <v>10.544712704883649</v>
      </c>
      <c r="V199" s="35">
        <v>4170</v>
      </c>
      <c r="W199" s="16"/>
      <c r="AB199" s="51">
        <v>11.331521739130434</v>
      </c>
      <c r="AE199" s="16" t="s">
        <v>163</v>
      </c>
      <c r="AF199" s="49" t="s">
        <v>156</v>
      </c>
      <c r="AG199" s="32" t="s">
        <v>339</v>
      </c>
    </row>
    <row r="200" spans="1:33" ht="15.6">
      <c r="A200" s="16" t="s">
        <v>26</v>
      </c>
      <c r="B200" s="16">
        <v>2022</v>
      </c>
      <c r="C200" s="14" t="s">
        <v>36</v>
      </c>
      <c r="D200" s="27" t="s">
        <v>176</v>
      </c>
      <c r="E200" s="17" t="s">
        <v>317</v>
      </c>
      <c r="F200" s="17" t="s">
        <v>178</v>
      </c>
      <c r="G200" s="230">
        <v>806</v>
      </c>
      <c r="H200" s="170">
        <f t="shared" si="15"/>
        <v>848.75720233463369</v>
      </c>
      <c r="I200" s="170">
        <v>6.9000823558216657</v>
      </c>
      <c r="V200" s="35">
        <v>2728.69</v>
      </c>
      <c r="W200" s="16">
        <v>25</v>
      </c>
      <c r="AB200" s="51">
        <v>7.4149184782608693</v>
      </c>
      <c r="AE200" s="16" t="s">
        <v>163</v>
      </c>
      <c r="AF200" s="49" t="s">
        <v>156</v>
      </c>
      <c r="AG200" s="32" t="s">
        <v>328</v>
      </c>
    </row>
    <row r="201" spans="1:33" ht="15.6">
      <c r="A201" s="16" t="s">
        <v>26</v>
      </c>
      <c r="B201" s="16">
        <v>2022</v>
      </c>
      <c r="C201" s="14" t="s">
        <v>36</v>
      </c>
      <c r="D201" s="27" t="s">
        <v>182</v>
      </c>
      <c r="E201" s="17" t="s">
        <v>319</v>
      </c>
      <c r="F201" s="17" t="s">
        <v>183</v>
      </c>
      <c r="G201" s="230">
        <v>206.77</v>
      </c>
      <c r="H201" s="170">
        <f t="shared" si="15"/>
        <v>217.73886690661564</v>
      </c>
      <c r="I201" s="170">
        <v>1.7701365120511736</v>
      </c>
      <c r="V201" s="35">
        <v>700</v>
      </c>
      <c r="W201" s="16"/>
      <c r="AB201" s="51">
        <v>1.9021739130434785</v>
      </c>
      <c r="AE201" s="16" t="s">
        <v>304</v>
      </c>
      <c r="AF201" s="49" t="s">
        <v>184</v>
      </c>
      <c r="AG201" s="32" t="s">
        <v>340</v>
      </c>
    </row>
    <row r="202" spans="1:33" ht="15.6">
      <c r="A202" s="16" t="s">
        <v>26</v>
      </c>
      <c r="B202" s="16">
        <v>2022</v>
      </c>
      <c r="C202" s="14" t="s">
        <v>36</v>
      </c>
      <c r="D202" s="27" t="s">
        <v>188</v>
      </c>
      <c r="E202" s="17" t="s">
        <v>217</v>
      </c>
      <c r="F202" s="17" t="s">
        <v>189</v>
      </c>
      <c r="G202" s="230">
        <v>191.61</v>
      </c>
      <c r="H202" s="170">
        <f t="shared" si="15"/>
        <v>201.77464955252998</v>
      </c>
      <c r="I202" s="170">
        <v>1.64035332530892</v>
      </c>
      <c r="V202" s="35">
        <v>659</v>
      </c>
      <c r="W202" s="16">
        <v>24.23</v>
      </c>
      <c r="AB202" s="51">
        <v>1.7907608695652173</v>
      </c>
      <c r="AE202" s="16" t="s">
        <v>304</v>
      </c>
      <c r="AF202" s="49" t="s">
        <v>156</v>
      </c>
      <c r="AG202" s="32" t="s">
        <v>341</v>
      </c>
    </row>
    <row r="203" spans="1:33" ht="15.6">
      <c r="A203" s="16" t="s">
        <v>26</v>
      </c>
      <c r="B203" s="16">
        <v>2022</v>
      </c>
      <c r="C203" s="14" t="s">
        <v>36</v>
      </c>
      <c r="D203" s="27" t="s">
        <v>193</v>
      </c>
      <c r="E203" s="17" t="s">
        <v>194</v>
      </c>
      <c r="F203" s="17" t="s">
        <v>195</v>
      </c>
      <c r="G203" s="230">
        <v>147.69</v>
      </c>
      <c r="H203" s="170">
        <f t="shared" si="15"/>
        <v>155.52475336575935</v>
      </c>
      <c r="I203" s="170">
        <v>1.2643587631902007</v>
      </c>
      <c r="V203" s="35">
        <v>500</v>
      </c>
      <c r="W203" s="16"/>
      <c r="AB203" s="51">
        <v>1.3586956521739131</v>
      </c>
      <c r="AE203" s="16" t="s">
        <v>158</v>
      </c>
      <c r="AF203" s="49" t="s">
        <v>184</v>
      </c>
      <c r="AG203" s="32" t="s">
        <v>342</v>
      </c>
    </row>
    <row r="204" spans="1:33" ht="15.6">
      <c r="A204" s="16" t="s">
        <v>26</v>
      </c>
      <c r="B204" s="16">
        <v>2022</v>
      </c>
      <c r="C204" s="14" t="s">
        <v>36</v>
      </c>
      <c r="D204" s="27" t="s">
        <v>221</v>
      </c>
      <c r="E204" s="17" t="s">
        <v>222</v>
      </c>
      <c r="F204" s="17" t="s">
        <v>223</v>
      </c>
      <c r="G204" s="230">
        <v>147.69</v>
      </c>
      <c r="H204" s="170">
        <f t="shared" si="15"/>
        <v>155.52475336575935</v>
      </c>
      <c r="I204" s="170">
        <v>1.2643587631902007</v>
      </c>
      <c r="V204" s="35">
        <v>500</v>
      </c>
      <c r="W204" s="16"/>
      <c r="AB204" s="51">
        <v>1.3586956521739131</v>
      </c>
      <c r="AE204" s="16" t="s">
        <v>158</v>
      </c>
      <c r="AF204" s="49" t="s">
        <v>224</v>
      </c>
      <c r="AG204" s="32" t="s">
        <v>343</v>
      </c>
    </row>
    <row r="205" spans="1:33" ht="15.6">
      <c r="A205" s="16" t="s">
        <v>26</v>
      </c>
      <c r="B205" s="16">
        <v>2022</v>
      </c>
      <c r="C205" s="14" t="s">
        <v>36</v>
      </c>
      <c r="D205" s="27" t="s">
        <v>198</v>
      </c>
      <c r="E205" s="17" t="s">
        <v>199</v>
      </c>
      <c r="F205" s="17" t="s">
        <v>199</v>
      </c>
      <c r="G205" s="230">
        <v>136.47</v>
      </c>
      <c r="H205" s="170">
        <f t="shared" si="15"/>
        <v>143.70954764591497</v>
      </c>
      <c r="I205" s="170">
        <v>1.1683055075669762</v>
      </c>
      <c r="V205" s="35">
        <v>462</v>
      </c>
      <c r="W205" s="16"/>
      <c r="AB205" s="51">
        <v>1.2554347826086956</v>
      </c>
      <c r="AE205" s="16" t="s">
        <v>304</v>
      </c>
      <c r="AF205" s="49" t="s">
        <v>184</v>
      </c>
      <c r="AG205" s="32" t="s">
        <v>344</v>
      </c>
    </row>
    <row r="206" spans="1:33" ht="15.6">
      <c r="A206" s="16" t="s">
        <v>26</v>
      </c>
      <c r="B206" s="16">
        <v>2022</v>
      </c>
      <c r="C206" s="14" t="s">
        <v>36</v>
      </c>
      <c r="D206" s="27" t="s">
        <v>202</v>
      </c>
      <c r="E206" s="17"/>
      <c r="F206" s="17"/>
      <c r="G206" s="230">
        <f>11681.02-SUM('Unified sheet'!G522:G530)</f>
        <v>4868.6950000000006</v>
      </c>
      <c r="H206" s="170">
        <f t="shared" si="15"/>
        <v>5126.9726392315379</v>
      </c>
      <c r="I206" s="170">
        <f>100-SUM(I197:I205)</f>
        <v>6.1999722626962495</v>
      </c>
      <c r="V206" s="35"/>
      <c r="W206" s="16"/>
      <c r="AB206" s="51">
        <f>100-SUM(AB197:AB205)</f>
        <v>4.1733967391304247</v>
      </c>
      <c r="AE206" s="16"/>
      <c r="AF206" s="49"/>
      <c r="AG206" s="32" t="s">
        <v>203</v>
      </c>
    </row>
    <row r="207" spans="1:33" ht="15.6">
      <c r="A207" s="16" t="s">
        <v>26</v>
      </c>
      <c r="B207" s="16">
        <v>2023</v>
      </c>
      <c r="C207" s="27" t="s">
        <v>36</v>
      </c>
      <c r="D207" s="27" t="s">
        <v>154</v>
      </c>
      <c r="E207" s="17" t="s">
        <v>155</v>
      </c>
      <c r="F207" s="17" t="s">
        <v>155</v>
      </c>
      <c r="G207" s="230">
        <v>5007</v>
      </c>
      <c r="H207" s="170">
        <f t="shared" ref="H207:H216" si="16">G207/0.924839558470698</f>
        <v>5413.9120176471542</v>
      </c>
      <c r="I207" s="170">
        <f>(G207/'Total Revenue (Millions)'!$D$64)*100</f>
        <v>219.69391157835619</v>
      </c>
      <c r="V207" s="35">
        <v>14866.5</v>
      </c>
      <c r="W207" s="16"/>
      <c r="AB207" s="51"/>
      <c r="AE207" s="16"/>
      <c r="AF207" s="49"/>
      <c r="AG207" s="32" t="s">
        <v>345</v>
      </c>
    </row>
    <row r="208" spans="1:33" ht="30.95">
      <c r="A208" s="16" t="s">
        <v>26</v>
      </c>
      <c r="B208" s="16">
        <v>2023</v>
      </c>
      <c r="C208" s="27" t="s">
        <v>36</v>
      </c>
      <c r="D208" s="27" t="s">
        <v>160</v>
      </c>
      <c r="E208" s="17" t="s">
        <v>161</v>
      </c>
      <c r="F208" s="17" t="s">
        <v>160</v>
      </c>
      <c r="G208" s="230">
        <v>2666</v>
      </c>
      <c r="H208" s="170">
        <f t="shared" si="16"/>
        <v>2882.6621607843645</v>
      </c>
      <c r="I208" s="170">
        <f>(G208/'Total Revenue (Millions)'!$D$64)*100</f>
        <v>116.97702581743511</v>
      </c>
      <c r="V208" s="10">
        <v>10687</v>
      </c>
      <c r="W208" s="16"/>
      <c r="AB208" s="51"/>
      <c r="AE208" s="16"/>
      <c r="AF208" s="49"/>
      <c r="AG208" s="95" t="s">
        <v>346</v>
      </c>
    </row>
    <row r="209" spans="1:33" ht="15.6">
      <c r="A209" s="16" t="s">
        <v>26</v>
      </c>
      <c r="B209" s="16">
        <v>2023</v>
      </c>
      <c r="C209" s="27" t="s">
        <v>36</v>
      </c>
      <c r="D209" s="27" t="s">
        <v>171</v>
      </c>
      <c r="E209" s="17" t="s">
        <v>172</v>
      </c>
      <c r="F209" s="17" t="s">
        <v>173</v>
      </c>
      <c r="G209" s="230">
        <v>1213.82</v>
      </c>
      <c r="H209" s="170">
        <f t="shared" si="16"/>
        <v>1312.4654853725722</v>
      </c>
      <c r="I209" s="170">
        <f>(G209/'Total Revenue (Millions)'!$D$64)*100</f>
        <v>53.259209856608805</v>
      </c>
      <c r="V209" s="35">
        <v>4055</v>
      </c>
      <c r="W209" s="16"/>
      <c r="AB209" s="51"/>
      <c r="AE209" s="16"/>
      <c r="AF209" s="49"/>
      <c r="AG209" s="32" t="s">
        <v>347</v>
      </c>
    </row>
    <row r="210" spans="1:33" ht="15.6">
      <c r="A210" s="16" t="s">
        <v>26</v>
      </c>
      <c r="B210" s="16">
        <v>2023</v>
      </c>
      <c r="C210" s="27" t="s">
        <v>36</v>
      </c>
      <c r="D210" s="27" t="s">
        <v>176</v>
      </c>
      <c r="E210" s="17" t="s">
        <v>177</v>
      </c>
      <c r="F210" s="17" t="s">
        <v>178</v>
      </c>
      <c r="G210" s="230">
        <f>737.3</f>
        <v>737.3</v>
      </c>
      <c r="H210" s="170">
        <f t="shared" si="16"/>
        <v>797.21935901962183</v>
      </c>
      <c r="I210" s="170">
        <f>(G210/'Total Revenue (Millions)'!$D$64)*100</f>
        <v>32.350773118977834</v>
      </c>
      <c r="V210" s="35">
        <v>2400</v>
      </c>
      <c r="W210" s="16">
        <v>25.6</v>
      </c>
      <c r="AB210" s="51"/>
      <c r="AE210" s="16"/>
      <c r="AF210" s="49"/>
      <c r="AG210" s="32" t="s">
        <v>348</v>
      </c>
    </row>
    <row r="211" spans="1:33" ht="15.6">
      <c r="A211" s="16" t="s">
        <v>26</v>
      </c>
      <c r="B211" s="16">
        <v>2023</v>
      </c>
      <c r="C211" s="27" t="s">
        <v>36</v>
      </c>
      <c r="D211" s="27" t="s">
        <v>182</v>
      </c>
      <c r="E211" s="17" t="s">
        <v>183</v>
      </c>
      <c r="F211" s="17" t="s">
        <v>183</v>
      </c>
      <c r="G211" s="230">
        <v>149.66999999999999</v>
      </c>
      <c r="H211" s="170">
        <f t="shared" si="16"/>
        <v>161.83347547059108</v>
      </c>
      <c r="I211" s="170">
        <f>(G211/'Total Revenue (Millions)'!$D$64)*100</f>
        <v>6.5671235761798616</v>
      </c>
      <c r="V211" s="35">
        <v>500</v>
      </c>
      <c r="W211" s="16"/>
      <c r="AB211" s="51"/>
      <c r="AE211" s="16"/>
      <c r="AF211" s="49"/>
      <c r="AG211" s="32" t="s">
        <v>349</v>
      </c>
    </row>
    <row r="212" spans="1:33" ht="15.6">
      <c r="A212" s="16" t="s">
        <v>26</v>
      </c>
      <c r="B212" s="16">
        <v>2023</v>
      </c>
      <c r="C212" s="27" t="s">
        <v>36</v>
      </c>
      <c r="D212" s="27" t="s">
        <v>188</v>
      </c>
      <c r="E212" s="17" t="s">
        <v>233</v>
      </c>
      <c r="F212" s="17" t="s">
        <v>189</v>
      </c>
      <c r="G212" s="230">
        <v>200.7</v>
      </c>
      <c r="H212" s="170">
        <f t="shared" si="16"/>
        <v>217.01061352941559</v>
      </c>
      <c r="I212" s="170">
        <f>(G212/'Total Revenue (Millions)'!$D$64)*100</f>
        <v>8.8061849518226651</v>
      </c>
      <c r="V212" s="35">
        <v>688.5</v>
      </c>
      <c r="W212" s="16">
        <v>24.29</v>
      </c>
      <c r="AB212" s="51"/>
      <c r="AE212" s="16"/>
      <c r="AF212" s="49"/>
      <c r="AG212" s="32" t="s">
        <v>350</v>
      </c>
    </row>
    <row r="213" spans="1:33" ht="15.6">
      <c r="A213" s="16" t="s">
        <v>26</v>
      </c>
      <c r="B213" s="16">
        <v>2023</v>
      </c>
      <c r="C213" s="27" t="s">
        <v>36</v>
      </c>
      <c r="D213" s="27" t="s">
        <v>193</v>
      </c>
      <c r="E213" s="17" t="s">
        <v>194</v>
      </c>
      <c r="F213" s="17" t="s">
        <v>195</v>
      </c>
      <c r="G213" s="231">
        <v>149.66999999999999</v>
      </c>
      <c r="H213" s="170">
        <f t="shared" si="16"/>
        <v>161.83347547059108</v>
      </c>
      <c r="I213" s="170">
        <f>(G213/'Total Revenue (Millions)'!$D$64)*100</f>
        <v>6.5671235761798616</v>
      </c>
      <c r="V213" s="35">
        <v>500</v>
      </c>
      <c r="W213" s="16"/>
      <c r="AB213" s="51"/>
      <c r="AE213" s="16"/>
      <c r="AF213" s="49"/>
      <c r="AG213" s="32" t="s">
        <v>351</v>
      </c>
    </row>
    <row r="214" spans="1:33" ht="15.6">
      <c r="A214" s="16" t="s">
        <v>26</v>
      </c>
      <c r="B214" s="16">
        <v>2023</v>
      </c>
      <c r="C214" s="27" t="s">
        <v>36</v>
      </c>
      <c r="D214" s="27" t="s">
        <v>221</v>
      </c>
      <c r="E214" s="17" t="s">
        <v>236</v>
      </c>
      <c r="F214" s="17" t="s">
        <v>223</v>
      </c>
      <c r="G214" s="231">
        <v>179.6</v>
      </c>
      <c r="H214" s="170">
        <f t="shared" si="16"/>
        <v>194.1958454901995</v>
      </c>
      <c r="I214" s="170">
        <f>(G214/'Total Revenue (Millions)'!$D$64)*100</f>
        <v>7.8803727819997542</v>
      </c>
      <c r="V214" s="45">
        <v>600</v>
      </c>
      <c r="W214" s="16"/>
      <c r="AB214" s="51"/>
      <c r="AE214" s="16"/>
      <c r="AF214" s="49"/>
      <c r="AG214" s="32" t="s">
        <v>351</v>
      </c>
    </row>
    <row r="215" spans="1:33" ht="15.6">
      <c r="A215" s="16" t="s">
        <v>26</v>
      </c>
      <c r="B215" s="16">
        <v>2023</v>
      </c>
      <c r="C215" s="27" t="s">
        <v>36</v>
      </c>
      <c r="D215" s="27" t="s">
        <v>198</v>
      </c>
      <c r="E215" s="17" t="s">
        <v>199</v>
      </c>
      <c r="F215" s="17" t="s">
        <v>199</v>
      </c>
      <c r="G215" s="230">
        <v>142.79</v>
      </c>
      <c r="H215" s="170">
        <f t="shared" si="16"/>
        <v>154.39434731372822</v>
      </c>
      <c r="I215" s="170">
        <f>(G215/'Total Revenue (Millions)'!$D$64)*100</f>
        <v>6.2652473805219655</v>
      </c>
      <c r="V215" s="35">
        <v>477</v>
      </c>
      <c r="W215" s="16"/>
      <c r="AB215" s="51"/>
      <c r="AE215" s="16"/>
      <c r="AF215" s="49"/>
      <c r="AG215" s="32" t="s">
        <v>352</v>
      </c>
    </row>
    <row r="216" spans="1:33" ht="15.6">
      <c r="A216" s="16" t="s">
        <v>26</v>
      </c>
      <c r="B216" s="16">
        <v>2023</v>
      </c>
      <c r="C216" s="27" t="s">
        <v>36</v>
      </c>
      <c r="D216" s="27" t="s">
        <v>202</v>
      </c>
      <c r="E216" s="17"/>
      <c r="F216" s="17"/>
      <c r="G216" s="230">
        <f>'Total Revenue (Millions)'!D64-SUM('Unified sheet'!G532:G540)</f>
        <v>-1251.5130000000008</v>
      </c>
      <c r="H216" s="170">
        <f t="shared" si="16"/>
        <v>-1353.2217437470836</v>
      </c>
      <c r="I216" s="170">
        <f>100-SUM(I207:I215)</f>
        <v>-358.36697263808202</v>
      </c>
      <c r="V216" s="35"/>
      <c r="W216" s="16"/>
      <c r="AB216" s="51"/>
      <c r="AE216" s="16"/>
      <c r="AF216" s="49"/>
      <c r="AG216" s="32" t="s">
        <v>203</v>
      </c>
    </row>
    <row r="217" spans="1:33" ht="15.6">
      <c r="A217" s="16" t="s">
        <v>26</v>
      </c>
      <c r="B217" s="16">
        <v>2019</v>
      </c>
      <c r="C217" s="14" t="s">
        <v>42</v>
      </c>
      <c r="D217" s="119" t="s">
        <v>353</v>
      </c>
      <c r="E217" s="32" t="s">
        <v>353</v>
      </c>
      <c r="F217" s="32" t="s">
        <v>354</v>
      </c>
      <c r="G217" s="232">
        <v>2230</v>
      </c>
      <c r="H217" s="170">
        <f t="shared" ref="H217:H221" si="17">G217/0.893276257067409</f>
        <v>2496.4281568626966</v>
      </c>
      <c r="I217" s="170">
        <f>(G217/'Total Revenue (Millions)'!$D$87)*100</f>
        <v>94.072186693214988</v>
      </c>
      <c r="W217" s="16"/>
      <c r="AB217" s="35"/>
      <c r="AE217" s="16"/>
      <c r="AF217" s="35" t="s">
        <v>355</v>
      </c>
      <c r="AG217" s="115" t="s">
        <v>356</v>
      </c>
    </row>
    <row r="218" spans="1:33" ht="139.5">
      <c r="A218" s="16" t="s">
        <v>26</v>
      </c>
      <c r="B218" s="16">
        <v>2019</v>
      </c>
      <c r="C218" s="14" t="s">
        <v>42</v>
      </c>
      <c r="D218" s="119" t="s">
        <v>357</v>
      </c>
      <c r="E218" s="95" t="s">
        <v>358</v>
      </c>
      <c r="F218" s="95" t="s">
        <v>359</v>
      </c>
      <c r="G218" s="227">
        <v>4634.72</v>
      </c>
      <c r="H218" s="170">
        <f t="shared" si="17"/>
        <v>5188.4509000783301</v>
      </c>
      <c r="I218" s="170">
        <f>(G218/'Total Revenue (Millions)'!$D$87)*100</f>
        <v>195.51490812142484</v>
      </c>
      <c r="W218" s="16"/>
      <c r="AB218" s="35"/>
      <c r="AE218" s="16"/>
      <c r="AF218" s="35" t="s">
        <v>360</v>
      </c>
      <c r="AG218" s="95" t="s">
        <v>361</v>
      </c>
    </row>
    <row r="219" spans="1:33" ht="30.95">
      <c r="A219" s="16" t="s">
        <v>26</v>
      </c>
      <c r="B219" s="16">
        <v>2019</v>
      </c>
      <c r="C219" s="14" t="s">
        <v>42</v>
      </c>
      <c r="D219" s="119" t="s">
        <v>362</v>
      </c>
      <c r="E219" s="32" t="s">
        <v>362</v>
      </c>
      <c r="F219" s="95" t="s">
        <v>363</v>
      </c>
      <c r="G219" s="227">
        <v>2004.83</v>
      </c>
      <c r="H219" s="170">
        <f t="shared" si="17"/>
        <v>2244.3560814901521</v>
      </c>
      <c r="I219" s="170">
        <f>(G219/'Total Revenue (Millions)'!$D$87)*100</f>
        <v>84.573426927425203</v>
      </c>
      <c r="W219" s="16"/>
      <c r="AB219" s="35"/>
      <c r="AE219" s="16"/>
      <c r="AF219" s="35" t="s">
        <v>156</v>
      </c>
      <c r="AG219" s="32" t="s">
        <v>364</v>
      </c>
    </row>
    <row r="220" spans="1:33" ht="30.95">
      <c r="A220" s="16" t="s">
        <v>26</v>
      </c>
      <c r="B220" s="16">
        <v>2019</v>
      </c>
      <c r="C220" s="14" t="s">
        <v>42</v>
      </c>
      <c r="D220" s="119" t="s">
        <v>365</v>
      </c>
      <c r="E220" s="32" t="s">
        <v>366</v>
      </c>
      <c r="F220" s="95" t="s">
        <v>367</v>
      </c>
      <c r="G220" s="227">
        <v>942.79</v>
      </c>
      <c r="H220" s="170">
        <f t="shared" si="17"/>
        <v>1055.4293730980187</v>
      </c>
      <c r="I220" s="170">
        <f>(G220/'Total Revenue (Millions)'!$D$87)*100</f>
        <v>39.77144255268886</v>
      </c>
      <c r="W220" s="16"/>
      <c r="AB220" s="35"/>
      <c r="AE220" s="16"/>
      <c r="AF220" s="35" t="s">
        <v>156</v>
      </c>
      <c r="AG220" s="32" t="s">
        <v>368</v>
      </c>
    </row>
    <row r="221" spans="1:33" ht="77.45">
      <c r="A221" s="16" t="s">
        <v>26</v>
      </c>
      <c r="B221" s="16">
        <v>2019</v>
      </c>
      <c r="C221" s="14" t="s">
        <v>42</v>
      </c>
      <c r="D221" s="27" t="s">
        <v>202</v>
      </c>
      <c r="E221" s="32"/>
      <c r="F221" s="32"/>
      <c r="G221" s="227">
        <f>'Total Revenue (Millions)'!D87 - SUM('Unified sheet'!G542:G545)</f>
        <v>2370.52</v>
      </c>
      <c r="H221" s="170">
        <f t="shared" si="17"/>
        <v>2653.7367149803404</v>
      </c>
      <c r="I221" s="170">
        <f>100-SUM(I217:I220)</f>
        <v>-313.93196429475393</v>
      </c>
      <c r="W221" s="16"/>
      <c r="AB221" s="35"/>
      <c r="AE221" s="16"/>
      <c r="AF221" s="35" t="s">
        <v>156</v>
      </c>
      <c r="AG221" s="95" t="s">
        <v>369</v>
      </c>
    </row>
    <row r="222" spans="1:33" ht="15.6">
      <c r="A222" s="16" t="s">
        <v>26</v>
      </c>
      <c r="B222" s="16">
        <v>2020</v>
      </c>
      <c r="C222" s="14" t="s">
        <v>42</v>
      </c>
      <c r="D222" s="119" t="s">
        <v>353</v>
      </c>
      <c r="E222" s="32" t="s">
        <v>353</v>
      </c>
      <c r="F222" s="32" t="s">
        <v>354</v>
      </c>
      <c r="G222" s="227">
        <v>2230.5</v>
      </c>
      <c r="H222" s="170">
        <f t="shared" ref="H222:H226" si="18">G222/0.875506396987998</f>
        <v>2547.6684210116364</v>
      </c>
      <c r="I222" s="170">
        <f>(G222/'Total Revenue (Millions)'!$D$88)*100</f>
        <v>58.514126813400139</v>
      </c>
      <c r="K222" s="18">
        <f>(H222/'Total Revenue (Millions)'!$D$88)*100</f>
        <v>66.834607964837389</v>
      </c>
      <c r="L222" s="18">
        <f>(I222/'Total Revenue (Millions)'!$D$88)*100</f>
        <v>1.5350383486817634</v>
      </c>
      <c r="M222" s="18">
        <f>(K222/'Total Revenue (Millions)'!$D$88)*100</f>
        <v>1.7533148289524223</v>
      </c>
      <c r="N222" s="18">
        <f>(L222/'Total Revenue (Millions)'!$D$88)*100</f>
        <v>4.0269638465903181E-2</v>
      </c>
      <c r="O222" s="18">
        <f>(M222/'Total Revenue (Millions)'!$D$88)*100</f>
        <v>4.5995824364553697E-2</v>
      </c>
      <c r="P222" s="18">
        <f>(N222/'Total Revenue (Millions)'!$D$88)*100</f>
        <v>1.0564190683360838E-3</v>
      </c>
      <c r="Q222" s="18">
        <f>(O222/'Total Revenue (Millions)'!$D$88)*100</f>
        <v>1.2066377492734252E-3</v>
      </c>
      <c r="R222" s="18">
        <f>(P222/'Total Revenue (Millions)'!$D$88)*100</f>
        <v>2.7713714114643189E-5</v>
      </c>
      <c r="S222" s="18">
        <f>(Q222/'Total Revenue (Millions)'!$D$88)*100</f>
        <v>3.1654496426281517E-5</v>
      </c>
      <c r="T222" s="18">
        <f>(R222/'Total Revenue (Millions)'!$D$88)*100</f>
        <v>7.2703150960526734E-7</v>
      </c>
      <c r="U222" s="18">
        <f>(S222/'Total Revenue (Millions)'!$D$88)*100</f>
        <v>8.3041256135474477E-7</v>
      </c>
      <c r="V222" s="18">
        <f>(T222/'Total Revenue (Millions)'!$D$88)*100</f>
        <v>1.907268054264979E-8</v>
      </c>
      <c r="W222" s="18">
        <f>(U222/'Total Revenue (Millions)'!$D$88)*100</f>
        <v>2.1784741503049522E-8</v>
      </c>
      <c r="AB222" s="35"/>
      <c r="AE222" s="16"/>
      <c r="AF222" s="35" t="s">
        <v>360</v>
      </c>
      <c r="AG222" s="112" t="s">
        <v>370</v>
      </c>
    </row>
    <row r="223" spans="1:33" ht="155.1">
      <c r="A223" s="16" t="s">
        <v>26</v>
      </c>
      <c r="B223" s="16">
        <v>2020</v>
      </c>
      <c r="C223" s="14" t="s">
        <v>42</v>
      </c>
      <c r="D223" s="119" t="s">
        <v>357</v>
      </c>
      <c r="E223" s="95" t="s">
        <v>371</v>
      </c>
      <c r="F223" s="95" t="s">
        <v>359</v>
      </c>
      <c r="G223" s="227">
        <v>4634.96</v>
      </c>
      <c r="H223" s="170">
        <f t="shared" si="18"/>
        <v>5294.0332771361109</v>
      </c>
      <c r="I223" s="170">
        <f>(G223/'Total Revenue (Millions)'!$D$88)*100</f>
        <v>121.59185707914688</v>
      </c>
      <c r="W223" s="16"/>
      <c r="AB223" s="35"/>
      <c r="AE223" s="16"/>
      <c r="AF223" s="35" t="s">
        <v>360</v>
      </c>
      <c r="AG223" s="95" t="s">
        <v>372</v>
      </c>
    </row>
    <row r="224" spans="1:33" ht="15.6">
      <c r="A224" s="16" t="s">
        <v>26</v>
      </c>
      <c r="B224" s="16">
        <v>2020</v>
      </c>
      <c r="C224" s="14" t="s">
        <v>42</v>
      </c>
      <c r="D224" s="119" t="s">
        <v>362</v>
      </c>
      <c r="E224" s="32" t="s">
        <v>362</v>
      </c>
      <c r="F224" s="32" t="s">
        <v>363</v>
      </c>
      <c r="G224" s="227">
        <v>1801</v>
      </c>
      <c r="H224" s="170">
        <f t="shared" si="18"/>
        <v>2057.0951922178692</v>
      </c>
      <c r="I224" s="170">
        <f>(G224/'Total Revenue (Millions)'!$D$88)*100</f>
        <v>47.246779821086598</v>
      </c>
      <c r="W224" s="16"/>
      <c r="AB224" s="35"/>
      <c r="AE224" s="16"/>
      <c r="AF224" s="35" t="s">
        <v>156</v>
      </c>
      <c r="AG224" s="32" t="s">
        <v>373</v>
      </c>
    </row>
    <row r="225" spans="1:33" ht="30.95">
      <c r="A225" s="16" t="s">
        <v>26</v>
      </c>
      <c r="B225" s="16">
        <v>2020</v>
      </c>
      <c r="C225" s="14" t="s">
        <v>42</v>
      </c>
      <c r="D225" s="120" t="s">
        <v>365</v>
      </c>
      <c r="E225" s="32" t="s">
        <v>366</v>
      </c>
      <c r="F225" s="95" t="s">
        <v>374</v>
      </c>
      <c r="G225" s="227">
        <v>856.7</v>
      </c>
      <c r="H225" s="170">
        <f t="shared" si="18"/>
        <v>978.51940653695101</v>
      </c>
      <c r="I225" s="170">
        <f>(G225/'Total Revenue (Millions)'!$D$88)*100</f>
        <v>22.474356620058238</v>
      </c>
      <c r="W225" s="16"/>
      <c r="AB225" s="35"/>
      <c r="AE225" s="16"/>
      <c r="AF225" s="35" t="s">
        <v>156</v>
      </c>
      <c r="AG225" s="32" t="s">
        <v>375</v>
      </c>
    </row>
    <row r="226" spans="1:33" ht="77.45">
      <c r="A226" s="16" t="s">
        <v>26</v>
      </c>
      <c r="B226" s="16">
        <v>2020</v>
      </c>
      <c r="C226" s="14" t="s">
        <v>42</v>
      </c>
      <c r="D226" s="27" t="s">
        <v>202</v>
      </c>
      <c r="E226" s="32"/>
      <c r="F226" s="32"/>
      <c r="G226" s="227">
        <f>'Total Revenue (Millions)'!D88 - SUM('Unified sheet'!G547:G550)</f>
        <v>3811.9</v>
      </c>
      <c r="H226" s="170">
        <f t="shared" si="18"/>
        <v>4353.9373477042182</v>
      </c>
      <c r="I226" s="170">
        <f>100-SUM(I222:I225)</f>
        <v>-149.82712033369185</v>
      </c>
      <c r="W226" s="16"/>
      <c r="AB226" s="35"/>
      <c r="AE226" s="16"/>
      <c r="AF226" s="35" t="s">
        <v>156</v>
      </c>
      <c r="AG226" s="95" t="s">
        <v>369</v>
      </c>
    </row>
    <row r="227" spans="1:33" ht="15.6">
      <c r="A227" s="16" t="s">
        <v>26</v>
      </c>
      <c r="B227" s="16">
        <v>2021</v>
      </c>
      <c r="C227" s="14" t="s">
        <v>42</v>
      </c>
      <c r="D227" s="119" t="s">
        <v>353</v>
      </c>
      <c r="E227" s="32" t="s">
        <v>353</v>
      </c>
      <c r="F227" s="32" t="s">
        <v>354</v>
      </c>
      <c r="G227" s="227">
        <v>2396.6999999999998</v>
      </c>
      <c r="H227" s="170">
        <f t="shared" ref="H227:H231" si="19">G227/0.84549413889045</f>
        <v>2834.6737011627451</v>
      </c>
      <c r="I227" s="168">
        <f>(G227/11554.9)*100</f>
        <v>20.741849778016253</v>
      </c>
      <c r="J227" s="168"/>
      <c r="W227" s="16"/>
      <c r="AB227" s="35"/>
      <c r="AE227" s="16"/>
      <c r="AF227" s="35" t="s">
        <v>355</v>
      </c>
      <c r="AG227" s="112" t="s">
        <v>376</v>
      </c>
    </row>
    <row r="228" spans="1:33" ht="139.5">
      <c r="A228" s="16" t="s">
        <v>26</v>
      </c>
      <c r="B228" s="16">
        <v>2021</v>
      </c>
      <c r="C228" s="14" t="s">
        <v>42</v>
      </c>
      <c r="D228" s="119" t="s">
        <v>357</v>
      </c>
      <c r="E228" s="95" t="s">
        <v>377</v>
      </c>
      <c r="F228" s="95" t="s">
        <v>378</v>
      </c>
      <c r="G228" s="227">
        <v>4817.29</v>
      </c>
      <c r="H228" s="170">
        <f t="shared" si="19"/>
        <v>5697.6030683332419</v>
      </c>
      <c r="I228" s="168">
        <f t="shared" ref="I228:I231" si="20">(G228/11554.9)*100</f>
        <v>41.690451669854347</v>
      </c>
      <c r="J228" s="168"/>
      <c r="W228" s="16"/>
      <c r="AB228" s="35"/>
      <c r="AE228" s="16"/>
      <c r="AF228" s="35" t="s">
        <v>355</v>
      </c>
      <c r="AG228" s="95" t="s">
        <v>379</v>
      </c>
    </row>
    <row r="229" spans="1:33" ht="46.5">
      <c r="A229" s="16" t="s">
        <v>26</v>
      </c>
      <c r="B229" s="16">
        <v>2021</v>
      </c>
      <c r="C229" s="14" t="s">
        <v>42</v>
      </c>
      <c r="D229" s="119" t="s">
        <v>362</v>
      </c>
      <c r="E229" s="32" t="s">
        <v>362</v>
      </c>
      <c r="F229" s="95" t="s">
        <v>380</v>
      </c>
      <c r="G229" s="227">
        <v>2059.6999999999998</v>
      </c>
      <c r="H229" s="170">
        <f t="shared" si="19"/>
        <v>2436.0902166666274</v>
      </c>
      <c r="I229" s="168">
        <f t="shared" si="20"/>
        <v>17.825338168223006</v>
      </c>
      <c r="J229" s="168"/>
      <c r="W229" s="16"/>
      <c r="AB229" s="35"/>
      <c r="AE229" s="16"/>
      <c r="AF229" s="35" t="s">
        <v>156</v>
      </c>
      <c r="AG229" s="32" t="s">
        <v>381</v>
      </c>
    </row>
    <row r="230" spans="1:33" ht="30.95">
      <c r="A230" s="16" t="s">
        <v>26</v>
      </c>
      <c r="B230" s="16">
        <v>2021</v>
      </c>
      <c r="C230" s="14" t="s">
        <v>42</v>
      </c>
      <c r="D230" s="119" t="s">
        <v>365</v>
      </c>
      <c r="E230" s="32" t="s">
        <v>366</v>
      </c>
      <c r="F230" s="95" t="s">
        <v>367</v>
      </c>
      <c r="G230" s="227">
        <v>1033.27</v>
      </c>
      <c r="H230" s="170">
        <f t="shared" si="19"/>
        <v>1222.0900801937787</v>
      </c>
      <c r="I230" s="168">
        <f t="shared" si="20"/>
        <v>8.9422669170654867</v>
      </c>
      <c r="J230" s="168"/>
      <c r="W230" s="16"/>
      <c r="AB230" s="35"/>
      <c r="AE230" s="16"/>
      <c r="AF230" s="35" t="s">
        <v>156</v>
      </c>
      <c r="AG230" s="32" t="s">
        <v>382</v>
      </c>
    </row>
    <row r="231" spans="1:33" ht="77.45">
      <c r="A231" s="16" t="s">
        <v>26</v>
      </c>
      <c r="B231" s="16">
        <v>2021</v>
      </c>
      <c r="C231" s="14" t="s">
        <v>42</v>
      </c>
      <c r="D231" s="27" t="s">
        <v>202</v>
      </c>
      <c r="E231" s="32"/>
      <c r="F231" s="32"/>
      <c r="G231" s="227">
        <f>'Total Revenue (Millions)'!D89-SUM('Unified sheet'!G552:G555)</f>
        <v>2421.19</v>
      </c>
      <c r="H231" s="170">
        <f t="shared" si="19"/>
        <v>2863.6390113565431</v>
      </c>
      <c r="I231" s="168">
        <f t="shared" si="20"/>
        <v>20.953794494110724</v>
      </c>
      <c r="J231" s="168"/>
      <c r="W231" s="16"/>
      <c r="AB231" s="35"/>
      <c r="AF231" s="35" t="s">
        <v>156</v>
      </c>
      <c r="AG231" s="95" t="s">
        <v>369</v>
      </c>
    </row>
    <row r="232" spans="1:33" ht="15.6">
      <c r="A232" s="16" t="s">
        <v>26</v>
      </c>
      <c r="B232" s="16">
        <v>2022</v>
      </c>
      <c r="C232" s="14" t="s">
        <v>42</v>
      </c>
      <c r="D232" s="119" t="s">
        <v>353</v>
      </c>
      <c r="E232" s="32" t="s">
        <v>353</v>
      </c>
      <c r="F232" s="32" t="s">
        <v>354</v>
      </c>
      <c r="G232" s="227">
        <v>2473</v>
      </c>
      <c r="H232" s="170">
        <f t="shared" ref="H232:H236" si="21">G232/0.949623753156941</f>
        <v>2604.1892821011775</v>
      </c>
      <c r="I232" s="170">
        <f>(G232/11363.47)*100</f>
        <v>21.762718606200394</v>
      </c>
      <c r="W232" s="16"/>
      <c r="AB232" s="35"/>
      <c r="AF232" s="35" t="s">
        <v>360</v>
      </c>
      <c r="AG232" s="112" t="s">
        <v>383</v>
      </c>
    </row>
    <row r="233" spans="1:33" ht="139.5">
      <c r="A233" s="16" t="s">
        <v>26</v>
      </c>
      <c r="B233" s="16">
        <v>2022</v>
      </c>
      <c r="C233" s="14" t="s">
        <v>42</v>
      </c>
      <c r="D233" s="119" t="s">
        <v>357</v>
      </c>
      <c r="E233" s="95" t="s">
        <v>358</v>
      </c>
      <c r="F233" s="95" t="s">
        <v>359</v>
      </c>
      <c r="G233" s="227">
        <v>4872.47</v>
      </c>
      <c r="H233" s="170">
        <f t="shared" si="21"/>
        <v>5130.9478978404868</v>
      </c>
      <c r="I233" s="170">
        <f t="shared" ref="I233:I236" si="22">(G233/11363.47)*100</f>
        <v>42.878363739245145</v>
      </c>
      <c r="W233" s="16"/>
      <c r="AB233" s="35"/>
      <c r="AF233" s="35" t="s">
        <v>360</v>
      </c>
      <c r="AG233" s="113" t="s">
        <v>384</v>
      </c>
    </row>
    <row r="234" spans="1:33" ht="46.5">
      <c r="A234" s="16" t="s">
        <v>26</v>
      </c>
      <c r="B234" s="16">
        <v>2022</v>
      </c>
      <c r="C234" s="14" t="s">
        <v>42</v>
      </c>
      <c r="D234" s="119" t="s">
        <v>362</v>
      </c>
      <c r="E234" s="32" t="s">
        <v>362</v>
      </c>
      <c r="F234" s="95" t="s">
        <v>380</v>
      </c>
      <c r="G234" s="227">
        <v>1908</v>
      </c>
      <c r="H234" s="170">
        <f t="shared" si="21"/>
        <v>2009.216801556428</v>
      </c>
      <c r="I234" s="170">
        <f t="shared" si="22"/>
        <v>16.790645815054734</v>
      </c>
      <c r="W234" s="16"/>
      <c r="AB234" s="35"/>
      <c r="AF234" s="35" t="s">
        <v>156</v>
      </c>
      <c r="AG234" s="32" t="s">
        <v>385</v>
      </c>
    </row>
    <row r="235" spans="1:33" ht="30.95">
      <c r="A235" s="16" t="s">
        <v>26</v>
      </c>
      <c r="B235" s="16">
        <v>2022</v>
      </c>
      <c r="C235" s="14" t="s">
        <v>42</v>
      </c>
      <c r="D235" s="119" t="s">
        <v>365</v>
      </c>
      <c r="E235" s="32" t="s">
        <v>366</v>
      </c>
      <c r="F235" s="95" t="s">
        <v>367</v>
      </c>
      <c r="G235" s="227">
        <v>1055.2</v>
      </c>
      <c r="H235" s="170">
        <f t="shared" si="21"/>
        <v>1111.1769229572028</v>
      </c>
      <c r="I235" s="170">
        <f t="shared" si="22"/>
        <v>9.2858959455166445</v>
      </c>
      <c r="W235" s="16"/>
      <c r="AB235" s="35"/>
      <c r="AF235" s="35" t="s">
        <v>156</v>
      </c>
      <c r="AG235" s="32" t="s">
        <v>386</v>
      </c>
    </row>
    <row r="236" spans="1:33" ht="77.45">
      <c r="A236" s="16" t="s">
        <v>26</v>
      </c>
      <c r="B236" s="16">
        <v>2022</v>
      </c>
      <c r="C236" s="14" t="s">
        <v>42</v>
      </c>
      <c r="D236" s="27" t="s">
        <v>202</v>
      </c>
      <c r="E236" s="32"/>
      <c r="F236" s="32"/>
      <c r="G236" s="227">
        <f>'Total Revenue (Millions)'!D90-SUM('Unified sheet'!G557:G560)</f>
        <v>3035.57</v>
      </c>
      <c r="H236" s="170">
        <f t="shared" si="21"/>
        <v>3196.6028544552655</v>
      </c>
      <c r="I236" s="170">
        <f t="shared" si="22"/>
        <v>26.713407084279716</v>
      </c>
      <c r="W236" s="16"/>
      <c r="AB236" s="35"/>
      <c r="AF236" s="35" t="s">
        <v>156</v>
      </c>
      <c r="AG236" s="114" t="s">
        <v>369</v>
      </c>
    </row>
    <row r="237" spans="1:33" ht="15.6">
      <c r="A237" s="16" t="s">
        <v>26</v>
      </c>
      <c r="B237" s="16">
        <v>2023</v>
      </c>
      <c r="C237" s="14" t="s">
        <v>42</v>
      </c>
      <c r="D237" s="119" t="s">
        <v>353</v>
      </c>
      <c r="E237" s="32" t="s">
        <v>353</v>
      </c>
      <c r="F237" s="32" t="s">
        <v>354</v>
      </c>
      <c r="G237" s="233">
        <v>2501</v>
      </c>
      <c r="H237" s="170">
        <f t="shared" ref="H237:H241" si="23">G237/0.924839558470698</f>
        <v>2704.2528372549496</v>
      </c>
      <c r="I237" s="170">
        <f>(G237/'Total Revenue (Millions)'!$D$91)*100</f>
        <v>59.081577934058252</v>
      </c>
      <c r="W237" s="16"/>
      <c r="AB237" s="35"/>
      <c r="AF237" s="35" t="s">
        <v>360</v>
      </c>
      <c r="AG237" s="99" t="s">
        <v>387</v>
      </c>
    </row>
    <row r="238" spans="1:33" ht="139.5">
      <c r="A238" s="16" t="s">
        <v>26</v>
      </c>
      <c r="B238" s="16">
        <v>2023</v>
      </c>
      <c r="C238" s="14" t="s">
        <v>42</v>
      </c>
      <c r="D238" s="119" t="s">
        <v>357</v>
      </c>
      <c r="E238" s="95" t="s">
        <v>358</v>
      </c>
      <c r="F238" s="95" t="s">
        <v>359</v>
      </c>
      <c r="G238" s="227">
        <v>5133.03</v>
      </c>
      <c r="H238" s="170">
        <f t="shared" si="23"/>
        <v>5550.1843027648038</v>
      </c>
      <c r="I238" s="170">
        <f>(G238/'Total Revenue (Millions)'!$D$91)*100</f>
        <v>121.25850139258657</v>
      </c>
      <c r="W238" s="16"/>
      <c r="AB238" s="35"/>
      <c r="AF238" s="35" t="s">
        <v>360</v>
      </c>
      <c r="AG238" s="114" t="s">
        <v>388</v>
      </c>
    </row>
    <row r="239" spans="1:33" ht="46.5">
      <c r="A239" s="16" t="s">
        <v>26</v>
      </c>
      <c r="B239" s="16">
        <v>2023</v>
      </c>
      <c r="C239" s="14" t="s">
        <v>42</v>
      </c>
      <c r="D239" s="119" t="s">
        <v>362</v>
      </c>
      <c r="E239" s="32" t="s">
        <v>362</v>
      </c>
      <c r="F239" s="95" t="s">
        <v>380</v>
      </c>
      <c r="G239" s="227">
        <v>1774.44</v>
      </c>
      <c r="H239" s="170">
        <f t="shared" si="23"/>
        <v>1918.6463032941515</v>
      </c>
      <c r="I239" s="170">
        <f>(G239/'Total Revenue (Millions)'!$D$91)*100</f>
        <v>41.917918892167258</v>
      </c>
      <c r="W239" s="16"/>
      <c r="AB239" s="35"/>
      <c r="AF239" s="35" t="s">
        <v>156</v>
      </c>
      <c r="AG239" s="99" t="s">
        <v>389</v>
      </c>
    </row>
    <row r="240" spans="1:33" ht="30.95">
      <c r="A240" s="16" t="s">
        <v>26</v>
      </c>
      <c r="B240" s="16">
        <v>2023</v>
      </c>
      <c r="C240" s="14" t="s">
        <v>42</v>
      </c>
      <c r="D240" s="119" t="s">
        <v>365</v>
      </c>
      <c r="E240" s="32" t="s">
        <v>366</v>
      </c>
      <c r="F240" s="95" t="s">
        <v>367</v>
      </c>
      <c r="G240" s="227">
        <v>916.77</v>
      </c>
      <c r="H240" s="170">
        <f t="shared" si="23"/>
        <v>991.27463958825274</v>
      </c>
      <c r="I240" s="170">
        <f>(G240/'Total Revenue (Millions)'!$D$91)*100</f>
        <v>21.657024471254129</v>
      </c>
      <c r="W240" s="16"/>
      <c r="AB240" s="35"/>
      <c r="AF240" s="35" t="s">
        <v>156</v>
      </c>
      <c r="AG240" s="99" t="s">
        <v>390</v>
      </c>
    </row>
    <row r="241" spans="1:33" ht="77.45">
      <c r="A241" s="16" t="s">
        <v>26</v>
      </c>
      <c r="B241" s="16">
        <v>2023</v>
      </c>
      <c r="C241" s="14" t="s">
        <v>42</v>
      </c>
      <c r="D241" s="27" t="s">
        <v>202</v>
      </c>
      <c r="E241" s="32"/>
      <c r="F241" s="32"/>
      <c r="G241" s="227">
        <f>'Total Revenue (Millions)'!D91-SUM('Unified sheet'!G562:G565)</f>
        <v>4233.13</v>
      </c>
      <c r="H241" s="170">
        <f t="shared" si="23"/>
        <v>4577.1506649216499</v>
      </c>
      <c r="I241" s="170">
        <f>100-SUM(I237:I240)</f>
        <v>-143.91502269006619</v>
      </c>
      <c r="W241" s="16"/>
      <c r="AB241" s="35"/>
      <c r="AF241" s="35" t="s">
        <v>156</v>
      </c>
      <c r="AG241" s="114" t="s">
        <v>369</v>
      </c>
    </row>
    <row r="242" spans="1:33" ht="108.6">
      <c r="A242" s="16" t="s">
        <v>26</v>
      </c>
      <c r="B242" s="16">
        <v>2021</v>
      </c>
      <c r="C242" s="27" t="s">
        <v>52</v>
      </c>
      <c r="D242" s="120" t="s">
        <v>391</v>
      </c>
      <c r="E242" s="62" t="s">
        <v>392</v>
      </c>
      <c r="F242" s="62" t="s">
        <v>393</v>
      </c>
      <c r="G242" s="230">
        <v>332.5</v>
      </c>
      <c r="H242" s="170">
        <f t="shared" ref="H242:H249" si="24">G242/0.84549413889045</f>
        <v>393.26115310076887</v>
      </c>
      <c r="I242" s="227">
        <v>11.15895384388204</v>
      </c>
      <c r="J242" s="227"/>
      <c r="V242" s="77">
        <v>12047</v>
      </c>
      <c r="W242" s="35"/>
      <c r="Z242" s="35"/>
      <c r="AB242" s="35"/>
      <c r="AD242" s="34"/>
      <c r="AE242" s="35"/>
      <c r="AF242" s="18"/>
      <c r="AG242" s="106" t="s">
        <v>394</v>
      </c>
    </row>
    <row r="243" spans="1:33" ht="20.100000000000001" hidden="1" customHeight="1">
      <c r="A243" s="16" t="s">
        <v>26</v>
      </c>
      <c r="B243" s="16">
        <v>2021</v>
      </c>
      <c r="C243" s="27" t="s">
        <v>52</v>
      </c>
      <c r="D243" s="120" t="s">
        <v>395</v>
      </c>
      <c r="E243" s="62" t="s">
        <v>396</v>
      </c>
      <c r="F243" s="62" t="s">
        <v>397</v>
      </c>
      <c r="G243" s="230">
        <v>481.25</v>
      </c>
      <c r="H243" s="170">
        <f t="shared" si="24"/>
        <v>569.19377422479704</v>
      </c>
      <c r="I243" s="227">
        <v>16.151117405618741</v>
      </c>
      <c r="J243" s="227"/>
      <c r="V243" s="77">
        <v>4631</v>
      </c>
      <c r="W243" s="35">
        <v>8.66</v>
      </c>
      <c r="Z243" s="35"/>
      <c r="AB243" s="35"/>
      <c r="AD243" s="34"/>
      <c r="AE243" s="35"/>
      <c r="AF243" s="18"/>
      <c r="AG243" s="106" t="s">
        <v>398</v>
      </c>
    </row>
    <row r="244" spans="1:33" ht="20.100000000000001" hidden="1" customHeight="1">
      <c r="A244" s="16" t="s">
        <v>26</v>
      </c>
      <c r="B244" s="16">
        <v>2021</v>
      </c>
      <c r="C244" s="27" t="s">
        <v>52</v>
      </c>
      <c r="D244" s="120" t="s">
        <v>399</v>
      </c>
      <c r="E244" s="120" t="s">
        <v>399</v>
      </c>
      <c r="F244" s="120" t="s">
        <v>399</v>
      </c>
      <c r="G244" s="230">
        <v>58.28</v>
      </c>
      <c r="H244" s="170">
        <f t="shared" si="24"/>
        <v>68.930105271316719</v>
      </c>
      <c r="I244" s="227">
        <v>1.95592129329758</v>
      </c>
      <c r="J244" s="227"/>
      <c r="V244" s="77">
        <v>1725</v>
      </c>
      <c r="W244" s="35"/>
      <c r="Z244" s="35"/>
      <c r="AB244" s="35"/>
      <c r="AD244" s="34"/>
      <c r="AE244" s="35"/>
      <c r="AF244" s="18"/>
      <c r="AG244" s="105" t="s">
        <v>400</v>
      </c>
    </row>
    <row r="245" spans="1:33" ht="20.100000000000001" hidden="1" customHeight="1">
      <c r="A245" s="16" t="s">
        <v>26</v>
      </c>
      <c r="B245" s="16">
        <v>2021</v>
      </c>
      <c r="C245" s="27" t="s">
        <v>52</v>
      </c>
      <c r="D245" s="27" t="s">
        <v>401</v>
      </c>
      <c r="E245" s="62" t="s">
        <v>402</v>
      </c>
      <c r="F245" s="62" t="s">
        <v>402</v>
      </c>
      <c r="G245" s="230">
        <v>162</v>
      </c>
      <c r="H245" s="170">
        <f t="shared" si="24"/>
        <v>191.60393023255506</v>
      </c>
      <c r="I245" s="227">
        <v>5.4368436773199722</v>
      </c>
      <c r="J245" s="227"/>
      <c r="V245" s="77">
        <v>900</v>
      </c>
      <c r="W245" s="35"/>
      <c r="Z245" s="35"/>
      <c r="AB245" s="35"/>
      <c r="AD245" s="34"/>
      <c r="AE245" s="35"/>
      <c r="AF245" s="18"/>
      <c r="AG245" s="106" t="s">
        <v>403</v>
      </c>
    </row>
    <row r="246" spans="1:33" ht="20.100000000000001" customHeight="1">
      <c r="A246" s="16" t="s">
        <v>26</v>
      </c>
      <c r="B246" s="16">
        <v>2021</v>
      </c>
      <c r="C246" s="27" t="s">
        <v>52</v>
      </c>
      <c r="D246" s="120" t="s">
        <v>404</v>
      </c>
      <c r="E246" s="62" t="s">
        <v>405</v>
      </c>
      <c r="F246" s="62" t="s">
        <v>405</v>
      </c>
      <c r="G246" s="230">
        <v>80.12</v>
      </c>
      <c r="H246" s="170">
        <f t="shared" si="24"/>
        <v>94.76115364340933</v>
      </c>
      <c r="I246" s="227">
        <v>2.6888883668325687</v>
      </c>
      <c r="J246" s="227"/>
      <c r="V246" s="77">
        <v>1338</v>
      </c>
      <c r="W246" s="35">
        <v>4.99</v>
      </c>
      <c r="Z246" s="35"/>
      <c r="AB246" s="35"/>
      <c r="AD246" s="34"/>
      <c r="AE246" s="35"/>
      <c r="AF246" s="18"/>
      <c r="AG246" s="106" t="s">
        <v>406</v>
      </c>
    </row>
    <row r="247" spans="1:33" ht="20.100000000000001" hidden="1" customHeight="1">
      <c r="A247" s="16" t="s">
        <v>26</v>
      </c>
      <c r="B247" s="16">
        <v>2021</v>
      </c>
      <c r="C247" s="27" t="s">
        <v>52</v>
      </c>
      <c r="D247" s="120" t="s">
        <v>407</v>
      </c>
      <c r="E247" s="62" t="s">
        <v>407</v>
      </c>
      <c r="F247" s="62" t="s">
        <v>408</v>
      </c>
      <c r="G247" s="230">
        <v>148.74</v>
      </c>
      <c r="H247" s="170">
        <f t="shared" si="24"/>
        <v>175.92079372092741</v>
      </c>
      <c r="I247" s="227">
        <v>4.9918279541023001</v>
      </c>
      <c r="J247" s="227"/>
      <c r="V247" s="77">
        <v>2712</v>
      </c>
      <c r="W247" s="35"/>
      <c r="Z247" s="35"/>
      <c r="AB247" s="35"/>
      <c r="AD247" s="34"/>
      <c r="AE247" s="35"/>
      <c r="AF247" s="18"/>
      <c r="AG247" s="106" t="s">
        <v>409</v>
      </c>
    </row>
    <row r="248" spans="1:33" ht="20.100000000000001" hidden="1" customHeight="1">
      <c r="A248" s="16" t="s">
        <v>26</v>
      </c>
      <c r="B248" s="16">
        <v>2021</v>
      </c>
      <c r="C248" s="27" t="s">
        <v>52</v>
      </c>
      <c r="D248" s="120" t="s">
        <v>410</v>
      </c>
      <c r="E248" s="91" t="s">
        <v>411</v>
      </c>
      <c r="F248" s="91" t="s">
        <v>411</v>
      </c>
      <c r="G248" s="230">
        <v>66.2</v>
      </c>
      <c r="H248" s="170">
        <f t="shared" si="24"/>
        <v>78.297408527130528</v>
      </c>
      <c r="I248" s="227">
        <v>2.2217225397443343</v>
      </c>
      <c r="J248" s="227"/>
      <c r="V248" s="77">
        <v>1273</v>
      </c>
      <c r="W248" s="35"/>
      <c r="Z248" s="35"/>
      <c r="AB248" s="35"/>
      <c r="AD248" s="34"/>
      <c r="AE248" s="35"/>
      <c r="AF248" s="18"/>
      <c r="AG248" s="105" t="s">
        <v>412</v>
      </c>
    </row>
    <row r="249" spans="1:33" ht="20.100000000000001" hidden="1" customHeight="1">
      <c r="A249" s="16" t="s">
        <v>26</v>
      </c>
      <c r="B249" s="16">
        <v>2021</v>
      </c>
      <c r="C249" s="27" t="s">
        <v>52</v>
      </c>
      <c r="D249" s="27" t="s">
        <v>202</v>
      </c>
      <c r="E249" s="62"/>
      <c r="F249" s="62"/>
      <c r="G249" s="230">
        <f>'Total Revenue (Millions)'!D98-SUM('Unified sheet'!G697:G704)</f>
        <v>0</v>
      </c>
      <c r="H249" s="170">
        <f t="shared" si="24"/>
        <v>0</v>
      </c>
      <c r="I249" s="227">
        <v>17.504622995163885</v>
      </c>
      <c r="J249" s="227"/>
      <c r="W249" s="35"/>
      <c r="Z249" s="35"/>
      <c r="AB249" s="35"/>
      <c r="AD249" s="34"/>
      <c r="AE249" s="35"/>
      <c r="AF249" s="18"/>
      <c r="AG249" s="105" t="s">
        <v>203</v>
      </c>
    </row>
    <row r="250" spans="1:33" ht="20.100000000000001" customHeight="1">
      <c r="A250" s="16" t="s">
        <v>26</v>
      </c>
      <c r="B250" s="16">
        <v>2022</v>
      </c>
      <c r="C250" s="27" t="s">
        <v>52</v>
      </c>
      <c r="D250" s="120" t="s">
        <v>413</v>
      </c>
      <c r="E250" s="62" t="s">
        <v>414</v>
      </c>
      <c r="F250" s="62" t="s">
        <v>414</v>
      </c>
      <c r="G250" s="230">
        <v>1218.5999999999999</v>
      </c>
      <c r="H250" s="170">
        <f t="shared" ref="H250:H258" si="25">G250/0.949623753156941</f>
        <v>1283.2450704280204</v>
      </c>
      <c r="I250" s="227">
        <v>35.486416675645529</v>
      </c>
      <c r="J250" s="227"/>
      <c r="V250" s="77">
        <v>9717.5</v>
      </c>
      <c r="W250" s="35">
        <v>10.45</v>
      </c>
      <c r="Z250" s="35"/>
      <c r="AB250" s="35"/>
      <c r="AD250" s="34"/>
      <c r="AE250" s="35"/>
      <c r="AF250" s="18"/>
      <c r="AG250" s="105" t="s">
        <v>415</v>
      </c>
    </row>
    <row r="251" spans="1:33" ht="20.100000000000001" customHeight="1">
      <c r="A251" s="16" t="s">
        <v>26</v>
      </c>
      <c r="B251" s="16">
        <v>2022</v>
      </c>
      <c r="C251" s="27" t="s">
        <v>52</v>
      </c>
      <c r="D251" s="120" t="s">
        <v>391</v>
      </c>
      <c r="E251" s="62" t="s">
        <v>392</v>
      </c>
      <c r="F251" s="62" t="s">
        <v>393</v>
      </c>
      <c r="G251" s="230">
        <v>368.21</v>
      </c>
      <c r="H251" s="170">
        <f t="shared" si="25"/>
        <v>387.74303904669409</v>
      </c>
      <c r="I251" s="227">
        <v>10.722512296191894</v>
      </c>
      <c r="J251" s="227"/>
      <c r="V251" s="77">
        <v>12117</v>
      </c>
      <c r="W251" s="35"/>
      <c r="Z251" s="35"/>
      <c r="AB251" s="35"/>
      <c r="AD251" s="34"/>
      <c r="AE251" s="35"/>
      <c r="AF251" s="18"/>
      <c r="AG251" s="106" t="s">
        <v>416</v>
      </c>
    </row>
    <row r="252" spans="1:33" ht="20.100000000000001" hidden="1" customHeight="1">
      <c r="A252" s="16" t="s">
        <v>26</v>
      </c>
      <c r="B252" s="16">
        <v>2022</v>
      </c>
      <c r="C252" s="27" t="s">
        <v>52</v>
      </c>
      <c r="D252" s="120" t="s">
        <v>395</v>
      </c>
      <c r="E252" s="62" t="s">
        <v>396</v>
      </c>
      <c r="F252" s="62" t="s">
        <v>397</v>
      </c>
      <c r="G252" s="230">
        <v>555.47</v>
      </c>
      <c r="H252" s="170">
        <f t="shared" si="25"/>
        <v>584.93692702334863</v>
      </c>
      <c r="I252" s="227">
        <v>16.175644075841809</v>
      </c>
      <c r="J252" s="227"/>
      <c r="V252" s="77">
        <v>5149</v>
      </c>
      <c r="W252" s="35">
        <v>8.99</v>
      </c>
      <c r="Z252" s="35"/>
      <c r="AB252" s="35"/>
      <c r="AD252" s="34"/>
      <c r="AE252" s="35"/>
      <c r="AF252" s="18"/>
      <c r="AG252" s="106" t="s">
        <v>417</v>
      </c>
    </row>
    <row r="253" spans="1:33" ht="20.100000000000001" hidden="1" customHeight="1">
      <c r="A253" s="16" t="s">
        <v>26</v>
      </c>
      <c r="B253" s="16">
        <v>2022</v>
      </c>
      <c r="C253" s="27" t="s">
        <v>52</v>
      </c>
      <c r="D253" s="120" t="s">
        <v>399</v>
      </c>
      <c r="E253" s="120" t="s">
        <v>399</v>
      </c>
      <c r="F253" s="120" t="s">
        <v>399</v>
      </c>
      <c r="G253" s="230">
        <v>562.76</v>
      </c>
      <c r="H253" s="170">
        <f t="shared" si="25"/>
        <v>592.61365159533307</v>
      </c>
      <c r="I253" s="227">
        <v>16.387933569987101</v>
      </c>
      <c r="J253" s="227"/>
      <c r="V253" s="77">
        <v>2127</v>
      </c>
      <c r="W253" s="35"/>
      <c r="Z253" s="35"/>
      <c r="AB253" s="35"/>
      <c r="AD253" s="34"/>
      <c r="AE253" s="35"/>
      <c r="AF253" s="18"/>
      <c r="AG253" s="106" t="s">
        <v>418</v>
      </c>
    </row>
    <row r="254" spans="1:33" ht="20.100000000000001" hidden="1" customHeight="1">
      <c r="A254" s="16" t="s">
        <v>26</v>
      </c>
      <c r="B254" s="16">
        <v>2022</v>
      </c>
      <c r="C254" s="27" t="s">
        <v>52</v>
      </c>
      <c r="D254" s="27" t="s">
        <v>401</v>
      </c>
      <c r="E254" s="62" t="s">
        <v>402</v>
      </c>
      <c r="F254" s="62" t="s">
        <v>402</v>
      </c>
      <c r="G254" s="230">
        <v>169.56</v>
      </c>
      <c r="H254" s="170">
        <f t="shared" si="25"/>
        <v>178.55492708171275</v>
      </c>
      <c r="I254" s="227">
        <v>4.9376963823424065</v>
      </c>
      <c r="J254" s="227"/>
      <c r="V254" s="77">
        <v>942.5</v>
      </c>
      <c r="W254" s="35"/>
      <c r="Z254" s="35"/>
      <c r="AB254" s="35"/>
      <c r="AD254" s="34"/>
      <c r="AE254" s="35"/>
      <c r="AF254" s="18"/>
      <c r="AG254" s="106" t="s">
        <v>419</v>
      </c>
    </row>
    <row r="255" spans="1:33" ht="20.100000000000001" customHeight="1">
      <c r="A255" s="16" t="s">
        <v>26</v>
      </c>
      <c r="B255" s="16">
        <v>2022</v>
      </c>
      <c r="C255" s="27" t="s">
        <v>52</v>
      </c>
      <c r="D255" s="120" t="s">
        <v>404</v>
      </c>
      <c r="E255" s="62" t="s">
        <v>420</v>
      </c>
      <c r="F255" s="62" t="s">
        <v>405</v>
      </c>
      <c r="G255" s="231">
        <v>111.53</v>
      </c>
      <c r="H255" s="170">
        <f t="shared" si="25"/>
        <v>117.44651461089541</v>
      </c>
      <c r="I255" s="227">
        <v>3.2478254159155973</v>
      </c>
      <c r="J255" s="227"/>
      <c r="V255" s="77">
        <v>1693</v>
      </c>
      <c r="W255" s="35">
        <v>5.49</v>
      </c>
      <c r="Z255" s="35"/>
      <c r="AB255" s="35"/>
      <c r="AD255" s="34"/>
      <c r="AE255" s="35"/>
      <c r="AF255" s="18"/>
      <c r="AG255" s="106" t="s">
        <v>421</v>
      </c>
    </row>
    <row r="256" spans="1:33" ht="20.100000000000001" hidden="1" customHeight="1">
      <c r="A256" s="16" t="s">
        <v>26</v>
      </c>
      <c r="B256" s="16">
        <v>2022</v>
      </c>
      <c r="C256" s="27" t="s">
        <v>52</v>
      </c>
      <c r="D256" s="120" t="s">
        <v>407</v>
      </c>
      <c r="E256" s="62" t="s">
        <v>407</v>
      </c>
      <c r="F256" s="62" t="s">
        <v>408</v>
      </c>
      <c r="G256" s="230">
        <v>179.09</v>
      </c>
      <c r="H256" s="170">
        <f t="shared" si="25"/>
        <v>188.59048060311358</v>
      </c>
      <c r="I256" s="227">
        <v>5.2152161188588204</v>
      </c>
      <c r="J256" s="227"/>
      <c r="V256" s="77">
        <v>3364</v>
      </c>
      <c r="W256" s="35"/>
      <c r="Z256" s="35"/>
      <c r="AB256" s="35"/>
      <c r="AD256" s="34"/>
      <c r="AE256" s="35"/>
      <c r="AF256" s="18"/>
      <c r="AG256" s="105" t="s">
        <v>422</v>
      </c>
    </row>
    <row r="257" spans="1:33" ht="20.100000000000001" hidden="1" customHeight="1">
      <c r="A257" s="16" t="s">
        <v>26</v>
      </c>
      <c r="B257" s="16">
        <v>2022</v>
      </c>
      <c r="C257" s="27" t="s">
        <v>52</v>
      </c>
      <c r="D257" s="120" t="s">
        <v>410</v>
      </c>
      <c r="E257" s="62" t="s">
        <v>362</v>
      </c>
      <c r="F257" s="62" t="s">
        <v>411</v>
      </c>
      <c r="G257" s="230">
        <v>66.91</v>
      </c>
      <c r="H257" s="170">
        <f t="shared" si="25"/>
        <v>70.459484377432176</v>
      </c>
      <c r="I257" s="227">
        <v>1.9484622843980326</v>
      </c>
      <c r="J257" s="227"/>
      <c r="V257" s="77">
        <v>1430</v>
      </c>
      <c r="W257" s="35"/>
      <c r="Z257" s="35"/>
      <c r="AB257" s="35"/>
      <c r="AD257" s="34"/>
      <c r="AE257" s="35"/>
      <c r="AF257" s="18"/>
      <c r="AG257" s="105" t="s">
        <v>423</v>
      </c>
    </row>
    <row r="258" spans="1:33" ht="20.100000000000001" hidden="1" customHeight="1">
      <c r="A258" s="16" t="s">
        <v>26</v>
      </c>
      <c r="B258" s="16">
        <v>2022</v>
      </c>
      <c r="C258" s="27" t="s">
        <v>52</v>
      </c>
      <c r="D258" s="27" t="s">
        <v>202</v>
      </c>
      <c r="E258" s="62"/>
      <c r="F258" s="62"/>
      <c r="G258" s="230">
        <f>'Total Revenue (Millions)'!D99-SUM('Unified sheet'!G706:G713)</f>
        <v>-356.04</v>
      </c>
      <c r="H258" s="170">
        <f t="shared" si="25"/>
        <v>-374.92743712062406</v>
      </c>
      <c r="I258" s="227">
        <v>5.878293180818801</v>
      </c>
      <c r="J258" s="227"/>
      <c r="W258" s="35"/>
      <c r="Z258" s="35"/>
      <c r="AB258" s="35"/>
      <c r="AD258" s="34"/>
      <c r="AE258" s="35"/>
      <c r="AF258" s="18"/>
      <c r="AG258" s="105" t="s">
        <v>203</v>
      </c>
    </row>
    <row r="259" spans="1:33" ht="20.100000000000001" customHeight="1">
      <c r="A259" s="16" t="s">
        <v>26</v>
      </c>
      <c r="B259" s="16">
        <v>2023</v>
      </c>
      <c r="C259" s="27" t="s">
        <v>52</v>
      </c>
      <c r="D259" s="120" t="s">
        <v>391</v>
      </c>
      <c r="E259" s="62" t="s">
        <v>391</v>
      </c>
      <c r="F259" s="62" t="s">
        <v>393</v>
      </c>
      <c r="G259" s="230">
        <v>498.33</v>
      </c>
      <c r="H259" s="170">
        <f t="shared" ref="H259:H260" si="26">G259/0.924839558470698</f>
        <v>538.8285951176565</v>
      </c>
      <c r="I259" s="227">
        <v>12.145266482739796</v>
      </c>
      <c r="J259" s="227"/>
      <c r="V259" s="77">
        <v>13858</v>
      </c>
      <c r="W259" s="35"/>
      <c r="Z259" s="35"/>
      <c r="AB259" s="35"/>
      <c r="AD259" s="34"/>
      <c r="AE259" s="35"/>
      <c r="AF259" s="18"/>
      <c r="AG259" s="106" t="s">
        <v>424</v>
      </c>
    </row>
    <row r="260" spans="1:33" ht="20.100000000000001" customHeight="1">
      <c r="A260" s="16" t="s">
        <v>26</v>
      </c>
      <c r="B260" s="16">
        <v>2023</v>
      </c>
      <c r="C260" s="27" t="s">
        <v>52</v>
      </c>
      <c r="D260" s="120" t="s">
        <v>414</v>
      </c>
      <c r="E260" s="62" t="s">
        <v>414</v>
      </c>
      <c r="F260" s="45" t="s">
        <v>414</v>
      </c>
      <c r="G260" s="230">
        <v>1296.8699999999999</v>
      </c>
      <c r="H260" s="170">
        <f t="shared" si="26"/>
        <v>1402.2648448823777</v>
      </c>
      <c r="I260" s="227">
        <v>31.60723164062119</v>
      </c>
      <c r="J260" s="227"/>
      <c r="V260" s="77">
        <v>10753.5</v>
      </c>
      <c r="W260" s="35">
        <v>10.050000000000001</v>
      </c>
      <c r="Z260" s="35"/>
      <c r="AB260" s="35"/>
      <c r="AD260" s="34"/>
      <c r="AE260" s="35"/>
      <c r="AF260" s="18"/>
      <c r="AG260" s="105" t="s">
        <v>425</v>
      </c>
    </row>
    <row r="261" spans="1:33" ht="20.100000000000001" hidden="1" customHeight="1">
      <c r="A261" s="16" t="s">
        <v>26</v>
      </c>
      <c r="B261" s="16">
        <v>2022</v>
      </c>
      <c r="C261" s="27" t="s">
        <v>52</v>
      </c>
      <c r="D261" s="120" t="s">
        <v>395</v>
      </c>
      <c r="E261" s="62" t="s">
        <v>396</v>
      </c>
      <c r="F261" s="62" t="s">
        <v>397</v>
      </c>
      <c r="G261" s="230">
        <v>576.84</v>
      </c>
      <c r="H261" s="170">
        <f>G261/0.949623753156941</f>
        <v>607.44057642023586</v>
      </c>
      <c r="I261" s="227">
        <v>14.058707117579965</v>
      </c>
      <c r="J261" s="227"/>
      <c r="V261" s="77">
        <v>5347</v>
      </c>
      <c r="W261" s="35">
        <v>8.99</v>
      </c>
      <c r="Z261" s="35"/>
      <c r="AB261" s="35"/>
      <c r="AD261" s="34"/>
      <c r="AE261" s="35"/>
      <c r="AF261" s="18"/>
      <c r="AG261" s="106" t="s">
        <v>426</v>
      </c>
    </row>
    <row r="262" spans="1:33" ht="20.100000000000001" hidden="1" customHeight="1">
      <c r="A262" s="16" t="s">
        <v>26</v>
      </c>
      <c r="B262" s="16">
        <v>2023</v>
      </c>
      <c r="C262" s="27" t="s">
        <v>52</v>
      </c>
      <c r="D262" s="120" t="s">
        <v>407</v>
      </c>
      <c r="E262" s="62" t="s">
        <v>427</v>
      </c>
      <c r="F262" s="62" t="s">
        <v>408</v>
      </c>
      <c r="G262" s="230">
        <v>226.35</v>
      </c>
      <c r="H262" s="170">
        <f t="shared" ref="H262:H267" si="27">G262/0.924839558470698</f>
        <v>244.74515382353374</v>
      </c>
      <c r="I262" s="227">
        <v>5.5165875391169559</v>
      </c>
      <c r="J262" s="227"/>
      <c r="V262" s="77">
        <v>4479</v>
      </c>
      <c r="W262" s="35"/>
      <c r="Z262" s="35"/>
      <c r="AB262" s="35"/>
      <c r="AD262" s="34"/>
      <c r="AE262" s="35"/>
      <c r="AF262" s="18"/>
      <c r="AG262" s="106" t="s">
        <v>428</v>
      </c>
    </row>
    <row r="263" spans="1:33" ht="20.100000000000001" hidden="1" customHeight="1">
      <c r="A263" s="16" t="s">
        <v>26</v>
      </c>
      <c r="B263" s="16">
        <v>2023</v>
      </c>
      <c r="C263" s="27" t="s">
        <v>52</v>
      </c>
      <c r="D263" s="120" t="s">
        <v>399</v>
      </c>
      <c r="E263" s="120" t="s">
        <v>399</v>
      </c>
      <c r="F263" s="120" t="s">
        <v>399</v>
      </c>
      <c r="G263" s="230">
        <v>609.4</v>
      </c>
      <c r="H263" s="170">
        <f t="shared" si="27"/>
        <v>658.92510156863909</v>
      </c>
      <c r="I263" s="227">
        <v>14.852257328640922</v>
      </c>
      <c r="J263" s="227"/>
      <c r="V263" s="77">
        <v>2082</v>
      </c>
      <c r="W263" s="35">
        <v>24.39</v>
      </c>
      <c r="Z263" s="35"/>
      <c r="AB263" s="35"/>
      <c r="AD263" s="34"/>
      <c r="AE263" s="35"/>
      <c r="AF263" s="18"/>
      <c r="AG263" s="106" t="s">
        <v>429</v>
      </c>
    </row>
    <row r="264" spans="1:33" ht="16.5" customHeight="1">
      <c r="A264" s="16" t="s">
        <v>26</v>
      </c>
      <c r="B264" s="16">
        <v>2023</v>
      </c>
      <c r="C264" s="27" t="s">
        <v>52</v>
      </c>
      <c r="D264" s="120" t="s">
        <v>404</v>
      </c>
      <c r="E264" s="62" t="s">
        <v>430</v>
      </c>
      <c r="F264" s="62" t="s">
        <v>431</v>
      </c>
      <c r="G264" s="230">
        <v>140.69999999999999</v>
      </c>
      <c r="H264" s="170">
        <f t="shared" si="27"/>
        <v>152.13449588235562</v>
      </c>
      <c r="I264" s="227">
        <v>3.429131286740692</v>
      </c>
      <c r="J264" s="227"/>
      <c r="V264" s="77">
        <v>1467.5</v>
      </c>
      <c r="W264" s="35">
        <v>7.99</v>
      </c>
      <c r="Z264" s="35"/>
      <c r="AB264" s="35"/>
      <c r="AD264" s="34"/>
      <c r="AE264" s="35"/>
      <c r="AF264" s="18"/>
      <c r="AG264" s="106" t="s">
        <v>432</v>
      </c>
    </row>
    <row r="265" spans="1:33" ht="20.100000000000001" hidden="1" customHeight="1">
      <c r="A265" s="16" t="s">
        <v>26</v>
      </c>
      <c r="B265" s="16">
        <v>2023</v>
      </c>
      <c r="C265" s="27" t="s">
        <v>52</v>
      </c>
      <c r="D265" s="120" t="s">
        <v>410</v>
      </c>
      <c r="E265" s="62" t="s">
        <v>362</v>
      </c>
      <c r="F265" s="62" t="s">
        <v>411</v>
      </c>
      <c r="G265" s="230">
        <v>100.16</v>
      </c>
      <c r="H265" s="170">
        <f t="shared" si="27"/>
        <v>108.29986572549211</v>
      </c>
      <c r="I265" s="227">
        <v>2.4410930325511568</v>
      </c>
      <c r="J265" s="227"/>
      <c r="V265" s="77">
        <v>1629.5</v>
      </c>
      <c r="W265" s="35">
        <v>6.99</v>
      </c>
      <c r="Z265" s="35"/>
      <c r="AB265" s="35"/>
      <c r="AD265" s="34"/>
      <c r="AE265" s="35"/>
      <c r="AF265" s="18"/>
      <c r="AG265" s="106" t="s">
        <v>433</v>
      </c>
    </row>
    <row r="266" spans="1:33" ht="20.100000000000001" hidden="1" customHeight="1">
      <c r="A266" s="16" t="s">
        <v>26</v>
      </c>
      <c r="B266" s="16">
        <v>2023</v>
      </c>
      <c r="C266" s="27" t="s">
        <v>52</v>
      </c>
      <c r="D266" s="27" t="s">
        <v>401</v>
      </c>
      <c r="E266" s="62" t="s">
        <v>434</v>
      </c>
      <c r="F266" s="62" t="s">
        <v>435</v>
      </c>
      <c r="G266" s="230">
        <v>176.4</v>
      </c>
      <c r="H266" s="170">
        <f t="shared" si="27"/>
        <v>190.73578588235631</v>
      </c>
      <c r="I266" s="227">
        <v>4.2992093744211664</v>
      </c>
      <c r="J266" s="227"/>
      <c r="V266" s="77">
        <v>980.5</v>
      </c>
      <c r="W266" s="35"/>
      <c r="Z266" s="35"/>
      <c r="AB266" s="35"/>
      <c r="AD266" s="34"/>
      <c r="AE266" s="35"/>
      <c r="AF266" s="18"/>
      <c r="AG266" s="106" t="s">
        <v>436</v>
      </c>
    </row>
    <row r="267" spans="1:33" ht="20.100000000000001" hidden="1" customHeight="1">
      <c r="A267" s="16" t="s">
        <v>26</v>
      </c>
      <c r="B267" s="16">
        <v>2023</v>
      </c>
      <c r="C267" s="27" t="s">
        <v>52</v>
      </c>
      <c r="D267" s="27" t="s">
        <v>202</v>
      </c>
      <c r="E267" s="62"/>
      <c r="F267" s="62"/>
      <c r="G267" s="230">
        <f>'Total Revenue (Millions)'!D100-SUM(G259:G266)</f>
        <v>4265.9500000000007</v>
      </c>
      <c r="H267" s="170">
        <f t="shared" si="27"/>
        <v>4612.637901274592</v>
      </c>
      <c r="I267" s="227">
        <v>11.650516197588161</v>
      </c>
      <c r="J267" s="227"/>
      <c r="W267" s="35"/>
      <c r="Z267" s="35"/>
      <c r="AB267" s="35"/>
      <c r="AD267" s="34"/>
      <c r="AE267" s="35"/>
      <c r="AF267" s="18"/>
      <c r="AG267" s="265" t="s">
        <v>203</v>
      </c>
    </row>
    <row r="268" spans="1:33" ht="20.100000000000001" hidden="1" customHeight="1">
      <c r="A268" s="16" t="s">
        <v>26</v>
      </c>
      <c r="B268" s="16">
        <v>2019</v>
      </c>
      <c r="C268" s="14" t="s">
        <v>62</v>
      </c>
      <c r="D268" s="9" t="s">
        <v>357</v>
      </c>
      <c r="E268" s="127"/>
      <c r="F268" s="17"/>
      <c r="G268" s="168">
        <v>1268.4000000000001</v>
      </c>
      <c r="H268" s="170">
        <f t="shared" ref="H268:H279" si="28">G268/0.893276257067409</f>
        <v>1419.9414682352665</v>
      </c>
      <c r="I268" s="170">
        <f>(G268/'Total Revenue (Millions)'!$D$119)*100</f>
        <v>13.323529411764707</v>
      </c>
      <c r="AB268" s="77"/>
      <c r="AD268" s="34">
        <v>54.2</v>
      </c>
      <c r="AE268" s="17"/>
      <c r="AG268" s="114" t="s">
        <v>361</v>
      </c>
    </row>
    <row r="269" spans="1:33" ht="20.100000000000001" hidden="1" customHeight="1">
      <c r="A269" s="16" t="s">
        <v>26</v>
      </c>
      <c r="B269" s="16">
        <v>2019</v>
      </c>
      <c r="C269" s="14" t="s">
        <v>62</v>
      </c>
      <c r="D269" s="9" t="s">
        <v>437</v>
      </c>
      <c r="E269" s="127"/>
      <c r="F269" s="17"/>
      <c r="G269" s="168">
        <v>230.49</v>
      </c>
      <c r="H269" s="170">
        <f t="shared" si="28"/>
        <v>258.02767976470085</v>
      </c>
      <c r="I269" s="170">
        <f>(G269/'Total Revenue (Millions)'!$D$119)*100</f>
        <v>2.4211134453781513</v>
      </c>
      <c r="AB269" s="77"/>
      <c r="AD269" s="34">
        <v>2.4</v>
      </c>
      <c r="AE269" s="17"/>
      <c r="AG269" s="114" t="s">
        <v>438</v>
      </c>
    </row>
    <row r="270" spans="1:33" ht="20.100000000000001" hidden="1" customHeight="1">
      <c r="A270" s="16" t="s">
        <v>26</v>
      </c>
      <c r="B270" s="16">
        <v>2019</v>
      </c>
      <c r="C270" s="14" t="s">
        <v>62</v>
      </c>
      <c r="D270" s="9" t="s">
        <v>439</v>
      </c>
      <c r="E270" s="127"/>
      <c r="F270" s="17"/>
      <c r="G270" s="168">
        <v>39.200000000000003</v>
      </c>
      <c r="H270" s="170">
        <f t="shared" si="28"/>
        <v>43.883400784312876</v>
      </c>
      <c r="I270" s="170">
        <f>(G270/'Total Revenue (Millions)'!$D$119)*100</f>
        <v>0.41176470588235298</v>
      </c>
      <c r="AB270" s="77"/>
      <c r="AD270" s="34">
        <v>5</v>
      </c>
      <c r="AE270" s="17"/>
      <c r="AG270" s="114" t="s">
        <v>440</v>
      </c>
    </row>
    <row r="271" spans="1:33" ht="20.100000000000001" hidden="1" customHeight="1">
      <c r="A271" s="16" t="s">
        <v>26</v>
      </c>
      <c r="B271" s="16">
        <v>2019</v>
      </c>
      <c r="C271" s="14" t="s">
        <v>62</v>
      </c>
      <c r="D271" s="9" t="s">
        <v>407</v>
      </c>
      <c r="E271" s="127"/>
      <c r="F271" s="17"/>
      <c r="G271" s="168">
        <v>43.9</v>
      </c>
      <c r="H271" s="170">
        <f t="shared" si="28"/>
        <v>49.144930980391194</v>
      </c>
      <c r="I271" s="170">
        <f>(G271/'Total Revenue (Millions)'!$D$119)*100</f>
        <v>0.46113445378151258</v>
      </c>
      <c r="AB271" s="77"/>
      <c r="AD271" s="34">
        <v>5.6</v>
      </c>
      <c r="AE271" s="17"/>
      <c r="AG271" s="114" t="s">
        <v>440</v>
      </c>
    </row>
    <row r="272" spans="1:33" ht="20.100000000000001" hidden="1" customHeight="1">
      <c r="A272" s="16" t="s">
        <v>26</v>
      </c>
      <c r="B272" s="16">
        <v>2019</v>
      </c>
      <c r="C272" s="14" t="s">
        <v>62</v>
      </c>
      <c r="D272" s="9" t="s">
        <v>441</v>
      </c>
      <c r="E272" s="127"/>
      <c r="F272" s="17"/>
      <c r="G272" s="168">
        <v>25.87</v>
      </c>
      <c r="H272" s="170">
        <f t="shared" si="28"/>
        <v>28.960805568626888</v>
      </c>
      <c r="I272" s="170">
        <f>(G272/'Total Revenue (Millions)'!$D$119)*100</f>
        <v>0.27174369747899163</v>
      </c>
      <c r="AB272" s="77"/>
      <c r="AD272" s="34">
        <v>3.3</v>
      </c>
      <c r="AE272" s="17"/>
      <c r="AG272" s="114" t="s">
        <v>440</v>
      </c>
    </row>
    <row r="273" spans="1:33" ht="20.100000000000001" hidden="1" customHeight="1">
      <c r="A273" s="16" t="s">
        <v>26</v>
      </c>
      <c r="B273" s="16">
        <v>2019</v>
      </c>
      <c r="C273" s="14" t="s">
        <v>62</v>
      </c>
      <c r="D273" s="27" t="s">
        <v>442</v>
      </c>
      <c r="E273" s="127"/>
      <c r="F273" s="17"/>
      <c r="G273" s="227">
        <v>18.03</v>
      </c>
      <c r="H273" s="170">
        <f t="shared" si="28"/>
        <v>20.184125411764313</v>
      </c>
      <c r="I273" s="227">
        <f>(G273/'Total Revenue (Millions)'!$D$119)*100</f>
        <v>0.18939075630252103</v>
      </c>
      <c r="J273" s="227"/>
      <c r="AB273" s="77"/>
      <c r="AD273" s="34">
        <v>2.2999999999999998</v>
      </c>
      <c r="AE273" s="35"/>
      <c r="AF273" s="116"/>
      <c r="AG273" s="114" t="s">
        <v>440</v>
      </c>
    </row>
    <row r="274" spans="1:33" ht="20.100000000000001" hidden="1" customHeight="1">
      <c r="A274" s="16" t="s">
        <v>26</v>
      </c>
      <c r="B274" s="16">
        <v>2019</v>
      </c>
      <c r="C274" s="14" t="s">
        <v>62</v>
      </c>
      <c r="D274" s="27" t="s">
        <v>443</v>
      </c>
      <c r="E274" s="127"/>
      <c r="F274" s="17"/>
      <c r="G274" s="227">
        <v>19.600000000000001</v>
      </c>
      <c r="H274" s="170">
        <f t="shared" si="28"/>
        <v>21.941700392156438</v>
      </c>
      <c r="I274" s="227">
        <f>(G274/'Total Revenue (Millions)'!$D$119)*100</f>
        <v>0.20588235294117649</v>
      </c>
      <c r="J274" s="227"/>
      <c r="AB274" s="77"/>
      <c r="AD274" s="34">
        <v>2.5</v>
      </c>
      <c r="AE274" s="35"/>
      <c r="AF274" s="116"/>
      <c r="AG274" s="114" t="s">
        <v>440</v>
      </c>
    </row>
    <row r="275" spans="1:33" ht="20.100000000000001" hidden="1" customHeight="1">
      <c r="A275" s="16" t="s">
        <v>26</v>
      </c>
      <c r="B275" s="16">
        <v>2019</v>
      </c>
      <c r="C275" s="14" t="s">
        <v>62</v>
      </c>
      <c r="D275" s="27" t="s">
        <v>444</v>
      </c>
      <c r="E275" s="127"/>
      <c r="F275" s="17"/>
      <c r="G275" s="227">
        <v>16.46</v>
      </c>
      <c r="H275" s="170">
        <f t="shared" si="28"/>
        <v>18.426550431372192</v>
      </c>
      <c r="I275" s="227">
        <f>(G275/'Total Revenue (Millions)'!$D$119)*100</f>
        <v>0.17289915966386557</v>
      </c>
      <c r="J275" s="227"/>
      <c r="AB275" s="77"/>
      <c r="AD275" s="34">
        <v>2.1</v>
      </c>
      <c r="AE275" s="35"/>
      <c r="AF275" s="116"/>
      <c r="AG275" s="114" t="s">
        <v>440</v>
      </c>
    </row>
    <row r="276" spans="1:33" ht="20.100000000000001" hidden="1" customHeight="1">
      <c r="A276" s="16" t="s">
        <v>26</v>
      </c>
      <c r="B276" s="16">
        <v>2019</v>
      </c>
      <c r="C276" s="14" t="s">
        <v>62</v>
      </c>
      <c r="D276" s="27" t="s">
        <v>445</v>
      </c>
      <c r="E276" s="127"/>
      <c r="F276" s="17"/>
      <c r="G276" s="227">
        <v>17.25</v>
      </c>
      <c r="H276" s="170">
        <f t="shared" si="28"/>
        <v>19.310935294117272</v>
      </c>
      <c r="I276" s="227">
        <f>(G276/'Total Revenue (Millions)'!$D$119)*100</f>
        <v>0.18119747899159663</v>
      </c>
      <c r="J276" s="227"/>
      <c r="AB276" s="77"/>
      <c r="AD276" s="34">
        <v>2.2000000000000002</v>
      </c>
      <c r="AE276" s="35"/>
      <c r="AF276" s="116"/>
      <c r="AG276" s="114" t="s">
        <v>440</v>
      </c>
    </row>
    <row r="277" spans="1:33" ht="20.100000000000001" hidden="1" customHeight="1">
      <c r="A277" s="16" t="s">
        <v>26</v>
      </c>
      <c r="B277" s="16">
        <v>2019</v>
      </c>
      <c r="C277" s="14" t="s">
        <v>62</v>
      </c>
      <c r="D277" s="27" t="s">
        <v>446</v>
      </c>
      <c r="E277" s="127"/>
      <c r="F277" s="17"/>
      <c r="G277" s="227">
        <v>4.7</v>
      </c>
      <c r="H277" s="170">
        <f t="shared" si="28"/>
        <v>5.2615301960783292</v>
      </c>
      <c r="I277" s="227">
        <f>(G277/'Total Revenue (Millions)'!$D$119)*100</f>
        <v>4.9369747899159669E-2</v>
      </c>
      <c r="J277" s="227"/>
      <c r="AB277" s="77"/>
      <c r="AD277" s="34">
        <v>0.6</v>
      </c>
      <c r="AE277" s="35"/>
      <c r="AF277" s="116"/>
      <c r="AG277" s="114" t="s">
        <v>440</v>
      </c>
    </row>
    <row r="278" spans="1:33" ht="20.100000000000001" hidden="1" customHeight="1">
      <c r="A278" s="16" t="s">
        <v>26</v>
      </c>
      <c r="B278" s="16">
        <v>2019</v>
      </c>
      <c r="C278" s="14" t="s">
        <v>62</v>
      </c>
      <c r="D278" s="9" t="s">
        <v>447</v>
      </c>
      <c r="E278" s="127"/>
      <c r="F278" s="17"/>
      <c r="G278" s="227">
        <v>8.84</v>
      </c>
      <c r="H278" s="170">
        <f t="shared" si="28"/>
        <v>9.8961546666664741</v>
      </c>
      <c r="I278" s="170">
        <f>(G278/'Total Revenue (Millions)'!$D$119)*100</f>
        <v>9.285714285714286E-2</v>
      </c>
      <c r="Z278" s="35"/>
      <c r="AB278" s="77"/>
      <c r="AD278" s="29">
        <v>1</v>
      </c>
      <c r="AG278" s="114" t="s">
        <v>440</v>
      </c>
    </row>
    <row r="279" spans="1:33" ht="20.100000000000001" hidden="1" customHeight="1">
      <c r="A279" s="16" t="s">
        <v>26</v>
      </c>
      <c r="B279" s="16">
        <v>2019</v>
      </c>
      <c r="C279" s="14" t="s">
        <v>62</v>
      </c>
      <c r="D279" s="27" t="s">
        <v>202</v>
      </c>
      <c r="E279" s="127"/>
      <c r="F279" s="17"/>
      <c r="G279" s="227">
        <f>784-SUM(G270:G278)</f>
        <v>590.15</v>
      </c>
      <c r="H279" s="170">
        <f t="shared" si="28"/>
        <v>660.65788196077142</v>
      </c>
      <c r="I279" s="170">
        <f>(G279/'Total Revenue (Millions)'!$D$119)*100</f>
        <v>6.1990546218487399</v>
      </c>
      <c r="Z279" s="35"/>
      <c r="AB279" s="77"/>
      <c r="AD279" s="29">
        <v>24.9</v>
      </c>
      <c r="AG279" s="114" t="s">
        <v>440</v>
      </c>
    </row>
    <row r="280" spans="1:33" ht="20.100000000000001" hidden="1" customHeight="1">
      <c r="A280" s="16" t="s">
        <v>26</v>
      </c>
      <c r="B280" s="16">
        <v>2020</v>
      </c>
      <c r="C280" s="14" t="s">
        <v>62</v>
      </c>
      <c r="D280" s="27" t="s">
        <v>357</v>
      </c>
      <c r="E280" s="17"/>
      <c r="F280" s="17"/>
      <c r="G280" s="227">
        <v>1274.98</v>
      </c>
      <c r="H280" s="170">
        <f t="shared" ref="H280:H290" si="29">G280/0.875506396987998</f>
        <v>1456.2771949883061</v>
      </c>
      <c r="I280" s="227">
        <f>(G280/'Total Revenue (Millions)'!$D$120)*100</f>
        <v>13.370176174496645</v>
      </c>
      <c r="J280" s="227"/>
      <c r="Z280" s="31"/>
      <c r="AB280" s="77"/>
      <c r="AD280" s="30">
        <v>51.2</v>
      </c>
      <c r="AG280" s="95" t="s">
        <v>372</v>
      </c>
    </row>
    <row r="281" spans="1:33" ht="20.100000000000001" hidden="1" customHeight="1">
      <c r="A281" s="16" t="s">
        <v>26</v>
      </c>
      <c r="B281" s="16">
        <v>2020</v>
      </c>
      <c r="C281" s="14" t="s">
        <v>62</v>
      </c>
      <c r="D281" s="27" t="s">
        <v>437</v>
      </c>
      <c r="E281" s="35"/>
      <c r="F281" s="49"/>
      <c r="G281" s="227">
        <v>231.87</v>
      </c>
      <c r="H281" s="170">
        <f t="shared" si="29"/>
        <v>264.84101178209738</v>
      </c>
      <c r="I281" s="227">
        <f>(G281/'Total Revenue (Millions)'!$D$120)*100</f>
        <v>2.4315226510067114</v>
      </c>
      <c r="J281" s="227"/>
      <c r="Z281" s="31"/>
      <c r="AB281" s="77"/>
      <c r="AD281" s="30">
        <v>2.2000000000000002</v>
      </c>
      <c r="AG281" s="32" t="s">
        <v>448</v>
      </c>
    </row>
    <row r="282" spans="1:33" ht="20.100000000000001" hidden="1" customHeight="1">
      <c r="A282" s="16" t="s">
        <v>26</v>
      </c>
      <c r="B282" s="16">
        <v>2020</v>
      </c>
      <c r="C282" s="14" t="s">
        <v>62</v>
      </c>
      <c r="D282" s="27" t="s">
        <v>439</v>
      </c>
      <c r="E282" s="17"/>
      <c r="F282" s="17"/>
      <c r="G282" s="227">
        <v>41.35</v>
      </c>
      <c r="H282" s="170">
        <f t="shared" si="29"/>
        <v>47.22980910505769</v>
      </c>
      <c r="I282" s="227">
        <f>(G282/'Total Revenue (Millions)'!$D$120)*100</f>
        <v>0.43361996644295303</v>
      </c>
      <c r="J282" s="227"/>
      <c r="Z282" s="31"/>
      <c r="AB282" s="77"/>
      <c r="AD282" s="30">
        <v>5.8</v>
      </c>
      <c r="AG282" s="95" t="s">
        <v>449</v>
      </c>
    </row>
    <row r="283" spans="1:33" ht="20.100000000000001" hidden="1" customHeight="1">
      <c r="A283" s="16" t="s">
        <v>26</v>
      </c>
      <c r="B283" s="16">
        <v>2020</v>
      </c>
      <c r="C283" s="14" t="s">
        <v>62</v>
      </c>
      <c r="D283" s="27" t="s">
        <v>407</v>
      </c>
      <c r="E283" s="17"/>
      <c r="F283" s="17"/>
      <c r="G283" s="227">
        <v>35.65</v>
      </c>
      <c r="H283" s="170">
        <f t="shared" si="29"/>
        <v>40.719291284046108</v>
      </c>
      <c r="I283" s="227">
        <f>(G283/'Total Revenue (Millions)'!$D$120)*100</f>
        <v>0.37384647651006714</v>
      </c>
      <c r="J283" s="227"/>
      <c r="Z283" s="31"/>
      <c r="AB283" s="77"/>
      <c r="AD283" s="30">
        <v>5</v>
      </c>
      <c r="AG283" s="95" t="s">
        <v>449</v>
      </c>
    </row>
    <row r="284" spans="1:33" ht="20.100000000000001" hidden="1" customHeight="1">
      <c r="A284" s="16" t="s">
        <v>26</v>
      </c>
      <c r="B284" s="16">
        <v>2020</v>
      </c>
      <c r="C284" s="14" t="s">
        <v>62</v>
      </c>
      <c r="D284" s="27" t="s">
        <v>442</v>
      </c>
      <c r="E284" s="17"/>
      <c r="F284" s="17"/>
      <c r="G284" s="227">
        <v>23.53</v>
      </c>
      <c r="H284" s="170">
        <f t="shared" si="29"/>
        <v>26.875874443579381</v>
      </c>
      <c r="I284" s="227">
        <f>(G284/'Total Revenue (Millions)'!$D$120)*100</f>
        <v>0.24674916107382552</v>
      </c>
      <c r="J284" s="227"/>
      <c r="Z284" s="31"/>
      <c r="AB284" s="77"/>
      <c r="AD284" s="30">
        <v>3.3</v>
      </c>
      <c r="AG284" s="95" t="s">
        <v>449</v>
      </c>
    </row>
    <row r="285" spans="1:33" ht="20.100000000000001" hidden="1" customHeight="1">
      <c r="A285" s="16" t="s">
        <v>26</v>
      </c>
      <c r="B285" s="16">
        <v>2020</v>
      </c>
      <c r="C285" s="14" t="s">
        <v>62</v>
      </c>
      <c r="D285" s="27" t="s">
        <v>441</v>
      </c>
      <c r="E285" s="17"/>
      <c r="F285" s="17"/>
      <c r="G285" s="227">
        <v>23.53</v>
      </c>
      <c r="H285" s="170">
        <f t="shared" si="29"/>
        <v>26.875874443579381</v>
      </c>
      <c r="I285" s="227">
        <f>(G285/'Total Revenue (Millions)'!$D$120)*100</f>
        <v>0.24674916107382552</v>
      </c>
      <c r="J285" s="227"/>
      <c r="Z285" s="31"/>
      <c r="AB285" s="77"/>
      <c r="AD285" s="30">
        <v>3.3</v>
      </c>
      <c r="AG285" s="95" t="s">
        <v>449</v>
      </c>
    </row>
    <row r="286" spans="1:33" ht="20.100000000000001" hidden="1" customHeight="1">
      <c r="A286" s="16" t="s">
        <v>26</v>
      </c>
      <c r="B286" s="16">
        <v>2020</v>
      </c>
      <c r="C286" s="14" t="s">
        <v>62</v>
      </c>
      <c r="D286" s="27" t="s">
        <v>450</v>
      </c>
      <c r="E286" s="17"/>
      <c r="F286" s="17"/>
      <c r="G286" s="227">
        <v>17.829999999999998</v>
      </c>
      <c r="H286" s="170">
        <f t="shared" si="29"/>
        <v>20.365356622567798</v>
      </c>
      <c r="I286" s="227">
        <f>(G286/'Total Revenue (Millions)'!$D$120)*100</f>
        <v>0.18697567114093958</v>
      </c>
      <c r="J286" s="227"/>
      <c r="Z286" s="31"/>
      <c r="AB286" s="77"/>
      <c r="AD286" s="30">
        <v>2.5</v>
      </c>
      <c r="AG286" s="95" t="s">
        <v>449</v>
      </c>
    </row>
    <row r="287" spans="1:33" ht="20.100000000000001" hidden="1" customHeight="1">
      <c r="A287" s="16" t="s">
        <v>26</v>
      </c>
      <c r="B287" s="16">
        <v>2020</v>
      </c>
      <c r="C287" s="14" t="s">
        <v>62</v>
      </c>
      <c r="D287" s="27" t="s">
        <v>443</v>
      </c>
      <c r="E287" s="17"/>
      <c r="F287" s="17"/>
      <c r="G287" s="227">
        <v>17.829999999999998</v>
      </c>
      <c r="H287" s="170">
        <f t="shared" si="29"/>
        <v>20.365356622567798</v>
      </c>
      <c r="I287" s="227">
        <f>(G287/'Total Revenue (Millions)'!$D$120)*100</f>
        <v>0.18697567114093958</v>
      </c>
      <c r="J287" s="227"/>
      <c r="Z287" s="31"/>
      <c r="AB287" s="77"/>
      <c r="AD287" s="30">
        <v>2.5</v>
      </c>
      <c r="AG287" s="95" t="s">
        <v>449</v>
      </c>
    </row>
    <row r="288" spans="1:33" ht="20.100000000000001" hidden="1" customHeight="1">
      <c r="A288" s="16" t="s">
        <v>26</v>
      </c>
      <c r="B288" s="16">
        <v>2020</v>
      </c>
      <c r="C288" s="14" t="s">
        <v>62</v>
      </c>
      <c r="D288" s="27" t="s">
        <v>444</v>
      </c>
      <c r="E288" s="17"/>
      <c r="F288" s="17"/>
      <c r="G288" s="227">
        <v>13.55</v>
      </c>
      <c r="H288" s="170">
        <f t="shared" si="29"/>
        <v>15.476757276264371</v>
      </c>
      <c r="I288" s="227">
        <f>(G288/'Total Revenue (Millions)'!$D$120)*100</f>
        <v>0.14209312080536912</v>
      </c>
      <c r="J288" s="227"/>
      <c r="Z288" s="31"/>
      <c r="AB288" s="77"/>
      <c r="AD288" s="30">
        <v>1.9</v>
      </c>
      <c r="AG288" s="95" t="s">
        <v>449</v>
      </c>
    </row>
    <row r="289" spans="1:33" ht="20.100000000000001" hidden="1" customHeight="1">
      <c r="A289" s="16" t="s">
        <v>26</v>
      </c>
      <c r="B289" s="16">
        <v>2020</v>
      </c>
      <c r="C289" s="14" t="s">
        <v>62</v>
      </c>
      <c r="D289" s="27" t="s">
        <v>451</v>
      </c>
      <c r="E289" s="17"/>
      <c r="F289" s="17"/>
      <c r="G289" s="227">
        <v>8.6</v>
      </c>
      <c r="H289" s="170">
        <f t="shared" si="29"/>
        <v>9.8228865369648393</v>
      </c>
      <c r="I289" s="227">
        <f>(G289/'Total Revenue (Millions)'!$D$120)*100</f>
        <v>9.018456375838925E-2</v>
      </c>
      <c r="J289" s="227"/>
      <c r="Z289" s="31"/>
      <c r="AB289" s="77"/>
      <c r="AD289" s="30">
        <v>1.2</v>
      </c>
      <c r="AG289" s="95" t="s">
        <v>449</v>
      </c>
    </row>
    <row r="290" spans="1:33" ht="20.100000000000001" hidden="1" customHeight="1">
      <c r="A290" s="16" t="s">
        <v>26</v>
      </c>
      <c r="B290" s="16">
        <v>2020</v>
      </c>
      <c r="C290" s="14" t="s">
        <v>62</v>
      </c>
      <c r="D290" s="27" t="s">
        <v>202</v>
      </c>
      <c r="E290" s="17"/>
      <c r="F290" s="17"/>
      <c r="G290" s="227">
        <f>713-SUM(G282:G289)</f>
        <v>531.13</v>
      </c>
      <c r="H290" s="170">
        <f t="shared" si="29"/>
        <v>606.65461934629479</v>
      </c>
      <c r="I290" s="227">
        <f>(G290/'Total Revenue (Millions)'!$D$120)*100</f>
        <v>5.5697357382550337</v>
      </c>
      <c r="J290" s="227"/>
      <c r="Z290" s="31"/>
      <c r="AB290" s="77"/>
      <c r="AD290" s="30">
        <v>28.1</v>
      </c>
      <c r="AG290" s="95" t="s">
        <v>449</v>
      </c>
    </row>
    <row r="291" spans="1:33" ht="20.100000000000001" hidden="1" customHeight="1">
      <c r="A291" s="16" t="s">
        <v>26</v>
      </c>
      <c r="B291" s="16">
        <v>2021</v>
      </c>
      <c r="C291" s="14" t="s">
        <v>62</v>
      </c>
      <c r="D291" s="27" t="s">
        <v>357</v>
      </c>
      <c r="E291" s="17"/>
      <c r="F291" s="17"/>
      <c r="G291" s="227">
        <v>1318.35</v>
      </c>
      <c r="H291" s="170">
        <f t="shared" ref="H291:H301" si="30">G291/0.84549413889045</f>
        <v>1559.2656877906725</v>
      </c>
      <c r="I291" s="227">
        <f>(G291/'Total Revenue (Millions)'!$D$121)*100</f>
        <v>14.142351426732461</v>
      </c>
      <c r="J291" s="227"/>
      <c r="Z291" s="35"/>
      <c r="AB291" s="77"/>
      <c r="AD291" s="29">
        <v>51.8</v>
      </c>
      <c r="AG291" s="95" t="s">
        <v>452</v>
      </c>
    </row>
    <row r="292" spans="1:33" ht="20.100000000000001" hidden="1" customHeight="1">
      <c r="A292" s="16" t="s">
        <v>26</v>
      </c>
      <c r="B292" s="16">
        <v>2021</v>
      </c>
      <c r="C292" s="14" t="s">
        <v>62</v>
      </c>
      <c r="D292" s="27" t="s">
        <v>437</v>
      </c>
      <c r="E292" s="35"/>
      <c r="F292" s="17"/>
      <c r="G292" s="227">
        <v>243.1</v>
      </c>
      <c r="H292" s="170">
        <f t="shared" si="30"/>
        <v>287.52416937984032</v>
      </c>
      <c r="I292" s="227">
        <f>(G292/'Total Revenue (Millions)'!$D$121)*100</f>
        <v>2.6078094829435741</v>
      </c>
      <c r="J292" s="227"/>
      <c r="Z292" s="35"/>
      <c r="AB292" s="77"/>
      <c r="AD292" s="29">
        <v>2.2999999999999998</v>
      </c>
      <c r="AG292" s="32" t="s">
        <v>453</v>
      </c>
    </row>
    <row r="293" spans="1:33" ht="20.100000000000001" hidden="1" customHeight="1">
      <c r="A293" s="16" t="s">
        <v>26</v>
      </c>
      <c r="B293" s="16">
        <v>2021</v>
      </c>
      <c r="C293" s="14" t="s">
        <v>62</v>
      </c>
      <c r="D293" s="27" t="s">
        <v>439</v>
      </c>
      <c r="E293" s="66"/>
      <c r="F293" s="35"/>
      <c r="G293" s="227">
        <f t="shared" ref="G293:G300" si="31">(707/100)*AD293</f>
        <v>41.713000000000001</v>
      </c>
      <c r="H293" s="170">
        <f t="shared" si="30"/>
        <v>49.335646554262773</v>
      </c>
      <c r="I293" s="227">
        <f>(G293/'Total Revenue (Millions)'!$D$121)*100</f>
        <v>0.44746835443037974</v>
      </c>
      <c r="J293" s="227"/>
      <c r="Z293" s="66"/>
      <c r="AB293" s="77"/>
      <c r="AD293" s="117">
        <v>5.9</v>
      </c>
      <c r="AG293" s="95" t="s">
        <v>454</v>
      </c>
    </row>
    <row r="294" spans="1:33" ht="20.100000000000001" hidden="1" customHeight="1">
      <c r="A294" s="16" t="s">
        <v>26</v>
      </c>
      <c r="B294" s="16">
        <v>2021</v>
      </c>
      <c r="C294" s="14" t="s">
        <v>62</v>
      </c>
      <c r="D294" s="27" t="s">
        <v>407</v>
      </c>
      <c r="E294" s="17"/>
      <c r="F294" s="17"/>
      <c r="G294" s="227">
        <f t="shared" si="31"/>
        <v>33.936</v>
      </c>
      <c r="H294" s="170">
        <f t="shared" si="30"/>
        <v>40.137475162790054</v>
      </c>
      <c r="I294" s="227">
        <f>(G294/'Total Revenue (Millions)'!$D$121)*100</f>
        <v>0.36404205106200388</v>
      </c>
      <c r="J294" s="227"/>
      <c r="Z294" s="35"/>
      <c r="AB294" s="77"/>
      <c r="AD294" s="29">
        <v>4.8</v>
      </c>
      <c r="AG294" s="95" t="s">
        <v>454</v>
      </c>
    </row>
    <row r="295" spans="1:33" ht="20.100000000000001" hidden="1" customHeight="1">
      <c r="A295" s="16" t="s">
        <v>26</v>
      </c>
      <c r="B295" s="16">
        <v>2021</v>
      </c>
      <c r="C295" s="14" t="s">
        <v>62</v>
      </c>
      <c r="D295" s="27" t="s">
        <v>441</v>
      </c>
      <c r="E295" s="17"/>
      <c r="F295" s="17"/>
      <c r="G295" s="227">
        <f t="shared" si="31"/>
        <v>24.745000000000001</v>
      </c>
      <c r="H295" s="170">
        <f t="shared" si="30"/>
        <v>29.266908972867746</v>
      </c>
      <c r="I295" s="227">
        <f>(G295/'Total Revenue (Millions)'!$D$121)*100</f>
        <v>0.26544732889937783</v>
      </c>
      <c r="J295" s="227"/>
      <c r="Z295" s="35"/>
      <c r="AB295" s="77"/>
      <c r="AD295" s="29">
        <v>3.5</v>
      </c>
      <c r="AG295" s="95" t="s">
        <v>454</v>
      </c>
    </row>
    <row r="296" spans="1:33" ht="20.100000000000001" hidden="1" customHeight="1">
      <c r="A296" s="16" t="s">
        <v>26</v>
      </c>
      <c r="B296" s="16">
        <v>2021</v>
      </c>
      <c r="C296" s="14" t="s">
        <v>62</v>
      </c>
      <c r="D296" s="27" t="s">
        <v>450</v>
      </c>
      <c r="E296" s="17"/>
      <c r="F296" s="17"/>
      <c r="G296" s="227">
        <f t="shared" si="31"/>
        <v>21.21</v>
      </c>
      <c r="H296" s="170">
        <f t="shared" si="30"/>
        <v>25.085921976743784</v>
      </c>
      <c r="I296" s="227">
        <f>(G296/'Total Revenue (Millions)'!$D$121)*100</f>
        <v>0.22752628191375243</v>
      </c>
      <c r="J296" s="227"/>
      <c r="Z296" s="35"/>
      <c r="AB296" s="77"/>
      <c r="AD296" s="29">
        <v>3</v>
      </c>
      <c r="AG296" s="95" t="s">
        <v>454</v>
      </c>
    </row>
    <row r="297" spans="1:33" ht="20.100000000000001" hidden="1" customHeight="1">
      <c r="A297" s="16" t="s">
        <v>26</v>
      </c>
      <c r="B297" s="16">
        <v>2021</v>
      </c>
      <c r="C297" s="14" t="s">
        <v>62</v>
      </c>
      <c r="D297" s="27" t="s">
        <v>442</v>
      </c>
      <c r="E297" s="17"/>
      <c r="F297" s="17"/>
      <c r="G297" s="227">
        <f t="shared" si="31"/>
        <v>18.382000000000001</v>
      </c>
      <c r="H297" s="170">
        <f t="shared" si="30"/>
        <v>21.741132379844615</v>
      </c>
      <c r="I297" s="227">
        <f>(G297/'Total Revenue (Millions)'!$D$121)*100</f>
        <v>0.19718944432525212</v>
      </c>
      <c r="J297" s="227"/>
      <c r="Z297" s="35"/>
      <c r="AB297" s="77"/>
      <c r="AD297" s="29">
        <v>2.6</v>
      </c>
      <c r="AG297" s="95" t="s">
        <v>454</v>
      </c>
    </row>
    <row r="298" spans="1:33" ht="20.100000000000001" hidden="1" customHeight="1">
      <c r="A298" s="16" t="s">
        <v>26</v>
      </c>
      <c r="B298" s="16">
        <v>2021</v>
      </c>
      <c r="C298" s="14" t="s">
        <v>62</v>
      </c>
      <c r="D298" s="27" t="s">
        <v>443</v>
      </c>
      <c r="E298" s="17"/>
      <c r="F298" s="17"/>
      <c r="G298" s="227">
        <f t="shared" si="31"/>
        <v>16.260999999999999</v>
      </c>
      <c r="H298" s="170">
        <f t="shared" si="30"/>
        <v>19.232540182170233</v>
      </c>
      <c r="I298" s="227">
        <f>(G298/'Total Revenue (Millions)'!$D$121)*100</f>
        <v>0.17443681613387685</v>
      </c>
      <c r="J298" s="227"/>
      <c r="Z298" s="35"/>
      <c r="AB298" s="77"/>
      <c r="AD298" s="29">
        <v>2.2999999999999998</v>
      </c>
      <c r="AG298" s="95" t="s">
        <v>454</v>
      </c>
    </row>
    <row r="299" spans="1:33" ht="20.100000000000001" hidden="1" customHeight="1">
      <c r="A299" s="16" t="s">
        <v>26</v>
      </c>
      <c r="B299" s="16">
        <v>2021</v>
      </c>
      <c r="C299" s="14" t="s">
        <v>62</v>
      </c>
      <c r="D299" s="27" t="s">
        <v>444</v>
      </c>
      <c r="E299" s="17"/>
      <c r="F299" s="17"/>
      <c r="G299" s="227">
        <f t="shared" si="31"/>
        <v>12.726000000000001</v>
      </c>
      <c r="H299" s="170">
        <f t="shared" si="30"/>
        <v>15.05155318604627</v>
      </c>
      <c r="I299" s="227">
        <f>(G299/'Total Revenue (Millions)'!$D$121)*100</f>
        <v>0.13651576914825145</v>
      </c>
      <c r="J299" s="227"/>
      <c r="Z299" s="35"/>
      <c r="AB299" s="77"/>
      <c r="AD299" s="29">
        <v>1.8</v>
      </c>
      <c r="AG299" s="95" t="s">
        <v>454</v>
      </c>
    </row>
    <row r="300" spans="1:33" ht="20.100000000000001" hidden="1" customHeight="1">
      <c r="A300" s="16" t="s">
        <v>26</v>
      </c>
      <c r="B300" s="16">
        <v>2021</v>
      </c>
      <c r="C300" s="14" t="s">
        <v>62</v>
      </c>
      <c r="D300" s="27" t="s">
        <v>451</v>
      </c>
      <c r="E300" s="17"/>
      <c r="F300" s="17"/>
      <c r="G300" s="227">
        <f t="shared" si="31"/>
        <v>9.8979999999999997</v>
      </c>
      <c r="H300" s="170">
        <f t="shared" si="30"/>
        <v>11.706763589147098</v>
      </c>
      <c r="I300" s="227">
        <f>(G300/'Total Revenue (Millions)'!$D$121)*100</f>
        <v>0.10617893155975112</v>
      </c>
      <c r="J300" s="227"/>
      <c r="Z300" s="35"/>
      <c r="AB300" s="77"/>
      <c r="AD300" s="29">
        <v>1.4</v>
      </c>
      <c r="AG300" s="95" t="s">
        <v>454</v>
      </c>
    </row>
    <row r="301" spans="1:33" ht="20.100000000000001" hidden="1" customHeight="1">
      <c r="A301" s="16" t="s">
        <v>26</v>
      </c>
      <c r="B301" s="16">
        <v>2021</v>
      </c>
      <c r="C301" s="14" t="s">
        <v>62</v>
      </c>
      <c r="D301" s="27" t="s">
        <v>202</v>
      </c>
      <c r="E301" s="17"/>
      <c r="F301" s="17"/>
      <c r="G301" s="227">
        <f>707-SUM(G293:G300)</f>
        <v>528.12900000000002</v>
      </c>
      <c r="H301" s="170">
        <f t="shared" si="30"/>
        <v>624.63945722092024</v>
      </c>
      <c r="I301" s="227">
        <f>(G301/'Total Revenue (Millions)'!$D$121)*100</f>
        <v>5.6654044196524351</v>
      </c>
      <c r="J301" s="227"/>
      <c r="Z301" s="35"/>
      <c r="AB301" s="77"/>
      <c r="AD301" s="29">
        <v>28.4</v>
      </c>
      <c r="AG301" s="95" t="s">
        <v>454</v>
      </c>
    </row>
    <row r="302" spans="1:33" ht="20.100000000000001" hidden="1" customHeight="1">
      <c r="A302" s="16" t="s">
        <v>26</v>
      </c>
      <c r="B302" s="16">
        <v>2022</v>
      </c>
      <c r="C302" s="14" t="s">
        <v>62</v>
      </c>
      <c r="D302" s="27" t="s">
        <v>455</v>
      </c>
      <c r="E302" s="17"/>
      <c r="F302" s="17"/>
      <c r="G302" s="227">
        <v>1333.45</v>
      </c>
      <c r="H302" s="170">
        <f t="shared" ref="H302:H314" si="32">G302/0.949623753156941</f>
        <v>1404.1877065175152</v>
      </c>
      <c r="I302" s="227">
        <f>(G302/'Total Revenue (Millions)'!$D$122)*100</f>
        <v>14.512951676099261</v>
      </c>
      <c r="J302" s="227"/>
      <c r="Z302" s="27">
        <v>33075.167999999998</v>
      </c>
      <c r="AB302" s="77"/>
      <c r="AD302" s="29">
        <v>52.1</v>
      </c>
      <c r="AG302" s="95" t="s">
        <v>456</v>
      </c>
    </row>
    <row r="303" spans="1:33" ht="20.100000000000001" hidden="1" customHeight="1">
      <c r="A303" s="16" t="s">
        <v>26</v>
      </c>
      <c r="B303" s="16">
        <v>2022</v>
      </c>
      <c r="C303" s="14" t="s">
        <v>62</v>
      </c>
      <c r="D303" s="27" t="s">
        <v>437</v>
      </c>
      <c r="E303" s="17"/>
      <c r="F303" s="17"/>
      <c r="G303" s="227">
        <v>250.64</v>
      </c>
      <c r="H303" s="170">
        <f t="shared" si="32"/>
        <v>263.93611066147963</v>
      </c>
      <c r="I303" s="227">
        <f>(G303/'Total Revenue (Millions)'!$D$122)*100</f>
        <v>2.7279059643012622</v>
      </c>
      <c r="J303" s="227"/>
      <c r="Z303" s="27"/>
      <c r="AB303" s="77"/>
      <c r="AD303" s="29">
        <v>2.6</v>
      </c>
      <c r="AG303" s="32" t="s">
        <v>457</v>
      </c>
    </row>
    <row r="304" spans="1:33" ht="20.100000000000001" hidden="1" customHeight="1">
      <c r="A304" s="16" t="s">
        <v>26</v>
      </c>
      <c r="B304" s="16">
        <v>2022</v>
      </c>
      <c r="C304" s="14" t="s">
        <v>62</v>
      </c>
      <c r="D304" s="27" t="s">
        <v>458</v>
      </c>
      <c r="E304" s="17"/>
      <c r="F304" s="17"/>
      <c r="G304" s="227">
        <f t="shared" ref="G304:G313" si="33">(717/100)*AD304</f>
        <v>38.000999999999998</v>
      </c>
      <c r="H304" s="170">
        <f t="shared" si="32"/>
        <v>40.01690129766552</v>
      </c>
      <c r="I304" s="227">
        <f>(G304/'Total Revenue (Millions)'!$D$122)*100</f>
        <v>0.41359381802350886</v>
      </c>
      <c r="J304" s="227"/>
      <c r="Z304" s="35"/>
      <c r="AB304" s="77"/>
      <c r="AD304" s="29">
        <v>5.3</v>
      </c>
      <c r="AG304" s="95" t="s">
        <v>459</v>
      </c>
    </row>
    <row r="305" spans="1:33" ht="20.100000000000001" hidden="1" customHeight="1">
      <c r="A305" s="16" t="s">
        <v>26</v>
      </c>
      <c r="B305" s="16">
        <v>2022</v>
      </c>
      <c r="C305" s="14" t="s">
        <v>62</v>
      </c>
      <c r="D305" s="27" t="s">
        <v>460</v>
      </c>
      <c r="E305" s="17"/>
      <c r="F305" s="17"/>
      <c r="G305" s="227">
        <f t="shared" si="33"/>
        <v>35.133000000000003</v>
      </c>
      <c r="H305" s="170">
        <f t="shared" si="32"/>
        <v>36.996757803502092</v>
      </c>
      <c r="I305" s="227">
        <f>(G305/'Total Revenue (Millions)'!$D$122)*100</f>
        <v>0.38237919024814981</v>
      </c>
      <c r="J305" s="227"/>
      <c r="Z305" s="35"/>
      <c r="AB305" s="77"/>
      <c r="AD305" s="29">
        <v>4.9000000000000004</v>
      </c>
      <c r="AG305" s="95" t="s">
        <v>459</v>
      </c>
    </row>
    <row r="306" spans="1:33" ht="20.100000000000001" hidden="1" customHeight="1">
      <c r="A306" s="16" t="s">
        <v>26</v>
      </c>
      <c r="B306" s="16">
        <v>2022</v>
      </c>
      <c r="C306" s="14" t="s">
        <v>62</v>
      </c>
      <c r="D306" s="27" t="s">
        <v>461</v>
      </c>
      <c r="E306" s="17"/>
      <c r="F306" s="17"/>
      <c r="G306" s="227">
        <f t="shared" si="33"/>
        <v>28.68</v>
      </c>
      <c r="H306" s="170">
        <f t="shared" si="32"/>
        <v>30.201434941634357</v>
      </c>
      <c r="I306" s="227">
        <f>(G306/'Total Revenue (Millions)'!$D$122)*100</f>
        <v>0.31214627775359166</v>
      </c>
      <c r="J306" s="227"/>
      <c r="Z306" s="35"/>
      <c r="AB306" s="77"/>
      <c r="AD306" s="29">
        <v>4</v>
      </c>
      <c r="AG306" s="95" t="s">
        <v>459</v>
      </c>
    </row>
    <row r="307" spans="1:33" ht="20.100000000000001" hidden="1" customHeight="1">
      <c r="A307" s="16" t="s">
        <v>26</v>
      </c>
      <c r="B307" s="16">
        <v>2022</v>
      </c>
      <c r="C307" s="14" t="s">
        <v>62</v>
      </c>
      <c r="D307" s="27" t="s">
        <v>462</v>
      </c>
      <c r="E307" s="17"/>
      <c r="F307" s="17"/>
      <c r="G307" s="227">
        <f t="shared" si="33"/>
        <v>20.792999999999999</v>
      </c>
      <c r="H307" s="170">
        <f t="shared" si="32"/>
        <v>21.896040332684908</v>
      </c>
      <c r="I307" s="227">
        <f>(G307/'Total Revenue (Millions)'!$D$122)*100</f>
        <v>0.22630605137135396</v>
      </c>
      <c r="J307" s="227"/>
      <c r="Z307" s="35"/>
      <c r="AB307" s="77"/>
      <c r="AD307" s="29">
        <v>2.9</v>
      </c>
      <c r="AG307" s="95" t="s">
        <v>459</v>
      </c>
    </row>
    <row r="308" spans="1:33" ht="20.100000000000001" hidden="1" customHeight="1">
      <c r="A308" s="16" t="s">
        <v>26</v>
      </c>
      <c r="B308" s="16">
        <v>2022</v>
      </c>
      <c r="C308" s="14" t="s">
        <v>62</v>
      </c>
      <c r="D308" s="27" t="s">
        <v>463</v>
      </c>
      <c r="E308" s="17"/>
      <c r="F308" s="17"/>
      <c r="G308" s="227">
        <f t="shared" si="33"/>
        <v>18.641999999999999</v>
      </c>
      <c r="H308" s="170">
        <f t="shared" si="32"/>
        <v>19.630932712062332</v>
      </c>
      <c r="I308" s="227">
        <f>(G308/'Total Revenue (Millions)'!$D$122)*100</f>
        <v>0.20289508053983454</v>
      </c>
      <c r="J308" s="227"/>
      <c r="Z308" s="35"/>
      <c r="AB308" s="77"/>
      <c r="AD308" s="29">
        <v>2.6</v>
      </c>
      <c r="AG308" s="95" t="s">
        <v>459</v>
      </c>
    </row>
    <row r="309" spans="1:33" ht="20.100000000000001" hidden="1" customHeight="1">
      <c r="A309" s="16" t="s">
        <v>26</v>
      </c>
      <c r="B309" s="16">
        <v>2022</v>
      </c>
      <c r="C309" s="14" t="s">
        <v>62</v>
      </c>
      <c r="D309" s="27" t="s">
        <v>464</v>
      </c>
      <c r="E309" s="17"/>
      <c r="F309" s="17"/>
      <c r="G309" s="227">
        <f t="shared" si="33"/>
        <v>17.207999999999998</v>
      </c>
      <c r="H309" s="170">
        <f t="shared" si="32"/>
        <v>18.120860964980615</v>
      </c>
      <c r="I309" s="227">
        <f>(G309/'Total Revenue (Millions)'!$D$122)*100</f>
        <v>0.18728776665215496</v>
      </c>
      <c r="J309" s="227"/>
      <c r="Z309" s="35"/>
      <c r="AB309" s="77"/>
      <c r="AD309" s="29">
        <v>2.4</v>
      </c>
      <c r="AG309" s="95" t="s">
        <v>459</v>
      </c>
    </row>
    <row r="310" spans="1:33" ht="20.100000000000001" hidden="1" customHeight="1">
      <c r="A310" s="16" t="s">
        <v>26</v>
      </c>
      <c r="B310" s="16">
        <v>2022</v>
      </c>
      <c r="C310" s="14" t="s">
        <v>62</v>
      </c>
      <c r="D310" s="27" t="s">
        <v>465</v>
      </c>
      <c r="E310" s="17"/>
      <c r="F310" s="17"/>
      <c r="G310" s="227">
        <f t="shared" si="33"/>
        <v>12.189</v>
      </c>
      <c r="H310" s="170">
        <f t="shared" si="32"/>
        <v>12.835609850194603</v>
      </c>
      <c r="I310" s="227">
        <f>(G310/'Total Revenue (Millions)'!$D$122)*100</f>
        <v>0.13266216804527645</v>
      </c>
      <c r="J310" s="227"/>
      <c r="Z310" s="35"/>
      <c r="AB310" s="77"/>
      <c r="AD310" s="29">
        <v>1.7</v>
      </c>
      <c r="AG310" s="95" t="s">
        <v>459</v>
      </c>
    </row>
    <row r="311" spans="1:33" ht="20.100000000000001" hidden="1" customHeight="1">
      <c r="A311" s="16" t="s">
        <v>26</v>
      </c>
      <c r="B311" s="16">
        <v>2022</v>
      </c>
      <c r="C311" s="14" t="s">
        <v>62</v>
      </c>
      <c r="D311" s="27" t="s">
        <v>446</v>
      </c>
      <c r="E311" s="17"/>
      <c r="F311" s="17"/>
      <c r="G311" s="227">
        <f t="shared" si="33"/>
        <v>12.189</v>
      </c>
      <c r="H311" s="170">
        <f t="shared" si="32"/>
        <v>12.835609850194603</v>
      </c>
      <c r="I311" s="227">
        <f>(G311/'Total Revenue (Millions)'!$D$122)*100</f>
        <v>0.13266216804527645</v>
      </c>
      <c r="J311" s="227"/>
      <c r="Z311" s="35"/>
      <c r="AB311" s="77"/>
      <c r="AD311" s="29">
        <v>1.7</v>
      </c>
      <c r="AG311" s="95" t="s">
        <v>459</v>
      </c>
    </row>
    <row r="312" spans="1:33" ht="20.100000000000001" hidden="1" customHeight="1">
      <c r="A312" s="16" t="s">
        <v>26</v>
      </c>
      <c r="B312" s="16">
        <v>2022</v>
      </c>
      <c r="C312" s="14" t="s">
        <v>62</v>
      </c>
      <c r="D312" s="27" t="s">
        <v>466</v>
      </c>
      <c r="E312" s="17"/>
      <c r="F312" s="17"/>
      <c r="G312" s="227">
        <f t="shared" si="33"/>
        <v>11.472000000000001</v>
      </c>
      <c r="H312" s="170">
        <f t="shared" si="32"/>
        <v>12.080573976653746</v>
      </c>
      <c r="I312" s="227">
        <f>(G312/'Total Revenue (Millions)'!$D$122)*100</f>
        <v>0.12485851110143667</v>
      </c>
      <c r="J312" s="227"/>
      <c r="Z312" s="35"/>
      <c r="AB312" s="77"/>
      <c r="AD312" s="29">
        <v>1.6</v>
      </c>
      <c r="AG312" s="95" t="s">
        <v>459</v>
      </c>
    </row>
    <row r="313" spans="1:33" ht="20.100000000000001" hidden="1" customHeight="1">
      <c r="A313" s="16" t="s">
        <v>26</v>
      </c>
      <c r="B313" s="16">
        <v>2022</v>
      </c>
      <c r="C313" s="14" t="s">
        <v>62</v>
      </c>
      <c r="D313" s="27" t="s">
        <v>451</v>
      </c>
      <c r="E313" s="17"/>
      <c r="F313" s="17"/>
      <c r="G313" s="227">
        <f t="shared" si="33"/>
        <v>7.8870000000000005</v>
      </c>
      <c r="H313" s="170">
        <f t="shared" si="32"/>
        <v>8.3053946089494488</v>
      </c>
      <c r="I313" s="227">
        <f>(G313/'Total Revenue (Millions)'!$D$122)*100</f>
        <v>8.5840226382237705E-2</v>
      </c>
      <c r="J313" s="227"/>
      <c r="Z313" s="35"/>
      <c r="AB313" s="77"/>
      <c r="AD313" s="29">
        <v>1.1000000000000001</v>
      </c>
      <c r="AG313" s="95" t="s">
        <v>459</v>
      </c>
    </row>
    <row r="314" spans="1:33" ht="20.100000000000001" hidden="1" customHeight="1">
      <c r="A314" s="16" t="s">
        <v>26</v>
      </c>
      <c r="B314" s="16">
        <v>2022</v>
      </c>
      <c r="C314" s="14" t="s">
        <v>62</v>
      </c>
      <c r="D314" s="27" t="s">
        <v>202</v>
      </c>
      <c r="E314" s="17"/>
      <c r="F314" s="17"/>
      <c r="G314" s="227">
        <f>717-SUM(G304:G313)</f>
        <v>514.80600000000004</v>
      </c>
      <c r="H314" s="170">
        <f t="shared" si="32"/>
        <v>542.11575720233679</v>
      </c>
      <c r="I314" s="227">
        <f>(G314/'Total Revenue (Millions)'!$D$122)*100</f>
        <v>5.60302568567697</v>
      </c>
      <c r="J314" s="227"/>
      <c r="Z314" s="35"/>
      <c r="AB314" s="77"/>
      <c r="AD314" s="29">
        <f>24.5</f>
        <v>24.5</v>
      </c>
      <c r="AG314" s="95" t="s">
        <v>459</v>
      </c>
    </row>
    <row r="315" spans="1:33" ht="20.100000000000001" hidden="1" customHeight="1">
      <c r="A315" s="16" t="s">
        <v>26</v>
      </c>
      <c r="B315" s="16">
        <v>2023</v>
      </c>
      <c r="C315" s="14" t="s">
        <v>62</v>
      </c>
      <c r="D315" s="27" t="s">
        <v>455</v>
      </c>
      <c r="E315" s="17"/>
      <c r="F315" s="17"/>
      <c r="G315" s="227">
        <v>1407.76</v>
      </c>
      <c r="H315" s="170">
        <f t="shared" ref="H315:H328" si="34">G315/0.924839558470698</f>
        <v>1522.1667229804191</v>
      </c>
      <c r="I315" s="227">
        <f>(G315/'Total Revenue (Millions)'!$D$123)*100</f>
        <v>15.176369124622683</v>
      </c>
      <c r="J315" s="227"/>
      <c r="Z315" s="35"/>
      <c r="AB315" s="77"/>
      <c r="AD315" s="29">
        <v>51.9</v>
      </c>
      <c r="AG315" s="114" t="s">
        <v>467</v>
      </c>
    </row>
    <row r="316" spans="1:33" ht="20.100000000000001" hidden="1" customHeight="1">
      <c r="A316" s="16" t="s">
        <v>26</v>
      </c>
      <c r="B316" s="16">
        <v>2023</v>
      </c>
      <c r="C316" s="14" t="s">
        <v>62</v>
      </c>
      <c r="D316" s="27" t="s">
        <v>437</v>
      </c>
      <c r="E316" s="17"/>
      <c r="F316" s="17"/>
      <c r="G316" s="227">
        <v>263.76</v>
      </c>
      <c r="H316" s="170">
        <f t="shared" si="34"/>
        <v>285.1954131764756</v>
      </c>
      <c r="I316" s="227">
        <f>(G316/'Total Revenue (Millions)'!$D$123)*100</f>
        <v>2.8434670116429492</v>
      </c>
      <c r="J316" s="227"/>
      <c r="Z316" s="35"/>
      <c r="AB316" s="77"/>
      <c r="AD316" s="29">
        <v>2.8</v>
      </c>
      <c r="AG316" s="99" t="s">
        <v>468</v>
      </c>
    </row>
    <row r="317" spans="1:33" ht="20.100000000000001" hidden="1" customHeight="1">
      <c r="A317" s="16" t="s">
        <v>26</v>
      </c>
      <c r="B317" s="16">
        <v>2023</v>
      </c>
      <c r="C317" s="14" t="s">
        <v>62</v>
      </c>
      <c r="D317" s="27" t="s">
        <v>458</v>
      </c>
      <c r="E317" s="17"/>
      <c r="F317" s="17"/>
      <c r="G317" s="227">
        <f t="shared" ref="G317:G327" si="35">(699/100)*AD317</f>
        <v>45.435000000000002</v>
      </c>
      <c r="H317" s="170">
        <f t="shared" si="34"/>
        <v>49.127440088236163</v>
      </c>
      <c r="I317" s="227">
        <f>(G317/'Total Revenue (Millions)'!$D$123)*100</f>
        <v>0.48981241914618373</v>
      </c>
      <c r="J317" s="227"/>
      <c r="Z317" s="35"/>
      <c r="AB317" s="77"/>
      <c r="AD317" s="29">
        <v>6.5</v>
      </c>
      <c r="AG317" s="114" t="s">
        <v>469</v>
      </c>
    </row>
    <row r="318" spans="1:33" ht="20.100000000000001" hidden="1" customHeight="1">
      <c r="A318" s="16" t="s">
        <v>26</v>
      </c>
      <c r="B318" s="16">
        <v>2023</v>
      </c>
      <c r="C318" s="14" t="s">
        <v>62</v>
      </c>
      <c r="D318" s="27" t="s">
        <v>460</v>
      </c>
      <c r="E318" s="17"/>
      <c r="F318" s="17"/>
      <c r="G318" s="227">
        <f t="shared" si="35"/>
        <v>35.649000000000001</v>
      </c>
      <c r="H318" s="170">
        <f t="shared" si="34"/>
        <v>38.546145300000681</v>
      </c>
      <c r="I318" s="227">
        <f>(G318/'Total Revenue (Millions)'!$D$123)*100</f>
        <v>0.38431435963777488</v>
      </c>
      <c r="J318" s="227"/>
      <c r="Z318" s="35"/>
      <c r="AB318" s="77"/>
      <c r="AD318" s="29">
        <v>5.0999999999999996</v>
      </c>
      <c r="AG318" s="114" t="s">
        <v>469</v>
      </c>
    </row>
    <row r="319" spans="1:33" ht="20.100000000000001" hidden="1" customHeight="1">
      <c r="A319" s="16" t="s">
        <v>26</v>
      </c>
      <c r="B319" s="16">
        <v>2023</v>
      </c>
      <c r="C319" s="14" t="s">
        <v>62</v>
      </c>
      <c r="D319" s="27" t="s">
        <v>461</v>
      </c>
      <c r="E319" s="17"/>
      <c r="F319" s="17"/>
      <c r="G319" s="227">
        <f t="shared" si="35"/>
        <v>32.153999999999996</v>
      </c>
      <c r="H319" s="170">
        <f t="shared" si="34"/>
        <v>34.767111447059435</v>
      </c>
      <c r="I319" s="227">
        <f>(G319/'Total Revenue (Millions)'!$D$123)*100</f>
        <v>0.3466364812419146</v>
      </c>
      <c r="J319" s="227"/>
      <c r="Z319" s="35"/>
      <c r="AB319" s="77"/>
      <c r="AD319" s="29">
        <v>4.5999999999999996</v>
      </c>
      <c r="AG319" s="114" t="s">
        <v>469</v>
      </c>
    </row>
    <row r="320" spans="1:33" ht="20.100000000000001" hidden="1" customHeight="1">
      <c r="A320" s="16" t="s">
        <v>26</v>
      </c>
      <c r="B320" s="16">
        <v>2023</v>
      </c>
      <c r="C320" s="14" t="s">
        <v>62</v>
      </c>
      <c r="D320" s="27" t="s">
        <v>462</v>
      </c>
      <c r="E320" s="17"/>
      <c r="F320" s="17"/>
      <c r="G320" s="227">
        <f t="shared" si="35"/>
        <v>20.271000000000001</v>
      </c>
      <c r="H320" s="170">
        <f t="shared" si="34"/>
        <v>21.918396347059211</v>
      </c>
      <c r="I320" s="227">
        <f>(G320/'Total Revenue (Millions)'!$D$123)*100</f>
        <v>0.21853169469598965</v>
      </c>
      <c r="J320" s="227"/>
      <c r="Z320" s="35"/>
      <c r="AB320" s="77"/>
      <c r="AD320" s="29">
        <v>2.9</v>
      </c>
      <c r="AG320" s="114" t="s">
        <v>469</v>
      </c>
    </row>
    <row r="321" spans="1:33" ht="20.100000000000001" hidden="1" customHeight="1">
      <c r="A321" s="16" t="s">
        <v>26</v>
      </c>
      <c r="B321" s="16">
        <v>2023</v>
      </c>
      <c r="C321" s="14" t="s">
        <v>62</v>
      </c>
      <c r="D321" s="27" t="s">
        <v>463</v>
      </c>
      <c r="E321" s="17"/>
      <c r="F321" s="17"/>
      <c r="G321" s="227">
        <f t="shared" si="35"/>
        <v>18.873000000000001</v>
      </c>
      <c r="H321" s="170">
        <f t="shared" si="34"/>
        <v>20.406782805882713</v>
      </c>
      <c r="I321" s="227">
        <f>(G321/'Total Revenue (Millions)'!$D$123)*100</f>
        <v>0.20346054333764554</v>
      </c>
      <c r="J321" s="227"/>
      <c r="Z321" s="35"/>
      <c r="AB321" s="77"/>
      <c r="AD321" s="29">
        <v>2.7</v>
      </c>
      <c r="AG321" s="114" t="s">
        <v>469</v>
      </c>
    </row>
    <row r="322" spans="1:33" ht="20.100000000000001" hidden="1" customHeight="1">
      <c r="A322" s="16" t="s">
        <v>26</v>
      </c>
      <c r="B322" s="16">
        <v>2023</v>
      </c>
      <c r="C322" s="14" t="s">
        <v>62</v>
      </c>
      <c r="D322" s="27" t="s">
        <v>464</v>
      </c>
      <c r="E322" s="17"/>
      <c r="F322" s="17"/>
      <c r="G322" s="227">
        <f t="shared" si="35"/>
        <v>17.475000000000001</v>
      </c>
      <c r="H322" s="170">
        <f t="shared" si="34"/>
        <v>18.895169264706219</v>
      </c>
      <c r="I322" s="227">
        <f>(G322/'Total Revenue (Millions)'!$D$123)*100</f>
        <v>0.18838939197930143</v>
      </c>
      <c r="J322" s="227"/>
      <c r="Z322" s="35"/>
      <c r="AB322" s="77"/>
      <c r="AD322" s="29">
        <v>2.5</v>
      </c>
      <c r="AG322" s="114" t="s">
        <v>469</v>
      </c>
    </row>
    <row r="323" spans="1:33" ht="20.100000000000001" hidden="1" customHeight="1">
      <c r="A323" s="16" t="s">
        <v>26</v>
      </c>
      <c r="B323" s="16">
        <v>2023</v>
      </c>
      <c r="C323" s="14" t="s">
        <v>62</v>
      </c>
      <c r="D323" s="27" t="s">
        <v>465</v>
      </c>
      <c r="E323" s="17"/>
      <c r="F323" s="17"/>
      <c r="G323" s="227">
        <f t="shared" si="35"/>
        <v>11.883000000000001</v>
      </c>
      <c r="H323" s="170">
        <f t="shared" si="34"/>
        <v>12.848715100000227</v>
      </c>
      <c r="I323" s="227">
        <f>(G323/'Total Revenue (Millions)'!$D$123)*100</f>
        <v>0.128104786545925</v>
      </c>
      <c r="J323" s="227"/>
      <c r="Z323" s="35"/>
      <c r="AB323" s="77"/>
      <c r="AD323" s="29">
        <v>1.7</v>
      </c>
      <c r="AG323" s="114" t="s">
        <v>469</v>
      </c>
    </row>
    <row r="324" spans="1:33" ht="20.100000000000001" hidden="1" customHeight="1">
      <c r="A324" s="16" t="s">
        <v>26</v>
      </c>
      <c r="B324" s="16">
        <v>2023</v>
      </c>
      <c r="C324" s="14" t="s">
        <v>62</v>
      </c>
      <c r="D324" s="27" t="s">
        <v>466</v>
      </c>
      <c r="E324" s="17"/>
      <c r="F324" s="17"/>
      <c r="G324" s="227">
        <f t="shared" si="35"/>
        <v>9.0869999999999997</v>
      </c>
      <c r="H324" s="170">
        <f t="shared" si="34"/>
        <v>9.8254880176472312</v>
      </c>
      <c r="I324" s="227">
        <f>(G324/'Total Revenue (Millions)'!$D$123)*100</f>
        <v>9.7962483829236724E-2</v>
      </c>
      <c r="J324" s="227"/>
      <c r="Z324" s="35"/>
      <c r="AB324" s="77"/>
      <c r="AD324" s="29">
        <v>1.3</v>
      </c>
      <c r="AG324" s="114" t="s">
        <v>469</v>
      </c>
    </row>
    <row r="325" spans="1:33" ht="20.100000000000001" hidden="1" customHeight="1">
      <c r="A325" s="16" t="s">
        <v>26</v>
      </c>
      <c r="B325" s="16">
        <v>2023</v>
      </c>
      <c r="C325" s="14" t="s">
        <v>62</v>
      </c>
      <c r="D325" s="27" t="s">
        <v>446</v>
      </c>
      <c r="E325" s="17"/>
      <c r="F325" s="17"/>
      <c r="G325" s="227">
        <f t="shared" si="35"/>
        <v>9.0869999999999997</v>
      </c>
      <c r="H325" s="170">
        <f t="shared" si="34"/>
        <v>9.8254880176472312</v>
      </c>
      <c r="I325" s="227">
        <f>(G325/'Total Revenue (Millions)'!$D$123)*100</f>
        <v>9.7962483829236724E-2</v>
      </c>
      <c r="J325" s="227"/>
      <c r="Z325" s="35"/>
      <c r="AB325" s="77"/>
      <c r="AD325" s="29">
        <v>1.3</v>
      </c>
      <c r="AG325" s="114" t="s">
        <v>469</v>
      </c>
    </row>
    <row r="326" spans="1:33" ht="20.100000000000001" hidden="1" customHeight="1">
      <c r="A326" s="16" t="s">
        <v>26</v>
      </c>
      <c r="B326" s="16">
        <v>2023</v>
      </c>
      <c r="C326" s="14" t="s">
        <v>62</v>
      </c>
      <c r="D326" s="27" t="s">
        <v>451</v>
      </c>
      <c r="E326" s="17"/>
      <c r="F326" s="17"/>
      <c r="G326" s="227">
        <f t="shared" si="35"/>
        <v>9.0869999999999997</v>
      </c>
      <c r="H326" s="170">
        <f t="shared" si="34"/>
        <v>9.8254880176472312</v>
      </c>
      <c r="I326" s="227">
        <f>(G326/'Total Revenue (Millions)'!$D$123)*100</f>
        <v>9.7962483829236724E-2</v>
      </c>
      <c r="J326" s="227"/>
      <c r="Z326" s="35"/>
      <c r="AB326" s="77"/>
      <c r="AD326" s="29">
        <v>1.3</v>
      </c>
      <c r="AG326" s="114" t="s">
        <v>469</v>
      </c>
    </row>
    <row r="327" spans="1:33" ht="20.100000000000001" hidden="1" customHeight="1">
      <c r="A327" s="16" t="s">
        <v>26</v>
      </c>
      <c r="B327" s="16">
        <v>2023</v>
      </c>
      <c r="C327" s="14" t="s">
        <v>62</v>
      </c>
      <c r="D327" s="27" t="s">
        <v>470</v>
      </c>
      <c r="E327" s="17"/>
      <c r="F327" s="17"/>
      <c r="G327" s="227">
        <f t="shared" si="35"/>
        <v>7.6890000000000009</v>
      </c>
      <c r="H327" s="170">
        <f t="shared" si="34"/>
        <v>8.3138744764707369</v>
      </c>
      <c r="I327" s="227">
        <f>(G327/'Total Revenue (Millions)'!$D$123)*100</f>
        <v>8.2891332470892629E-2</v>
      </c>
      <c r="J327" s="227"/>
      <c r="Z327" s="35"/>
      <c r="AB327" s="77"/>
      <c r="AD327" s="29">
        <v>1.1000000000000001</v>
      </c>
      <c r="AG327" s="114" t="s">
        <v>469</v>
      </c>
    </row>
    <row r="328" spans="1:33" ht="20.100000000000001" hidden="1" customHeight="1">
      <c r="A328" s="16" t="s">
        <v>26</v>
      </c>
      <c r="B328" s="16">
        <v>2023</v>
      </c>
      <c r="C328" s="14" t="s">
        <v>62</v>
      </c>
      <c r="D328" s="27" t="s">
        <v>202</v>
      </c>
      <c r="E328" s="17"/>
      <c r="F328" s="17"/>
      <c r="G328" s="227">
        <f>699-SUM(G317:G327)</f>
        <v>482.31000000000006</v>
      </c>
      <c r="H328" s="170">
        <f t="shared" si="34"/>
        <v>521.50667170589168</v>
      </c>
      <c r="I328" s="227">
        <f>(G328/'Total Revenue (Millions)'!$D$123)*100</f>
        <v>5.1995472186287204</v>
      </c>
      <c r="J328" s="227"/>
      <c r="Z328" s="35"/>
      <c r="AB328" s="77"/>
      <c r="AD328" s="29">
        <v>22.5</v>
      </c>
      <c r="AG328" s="114" t="s">
        <v>469</v>
      </c>
    </row>
    <row r="329" spans="1:33" ht="20.100000000000001" hidden="1" customHeight="1">
      <c r="A329" s="16" t="s">
        <v>26</v>
      </c>
      <c r="B329" s="54">
        <v>2019</v>
      </c>
      <c r="C329" s="28" t="s">
        <v>68</v>
      </c>
      <c r="D329" s="35" t="s">
        <v>471</v>
      </c>
      <c r="E329" s="35" t="s">
        <v>472</v>
      </c>
      <c r="F329" s="109" t="s">
        <v>471</v>
      </c>
      <c r="G329" s="226"/>
      <c r="H329" s="170">
        <f t="shared" ref="H329:H339" si="36">G329/0.893276257067409</f>
        <v>0</v>
      </c>
      <c r="I329" s="226"/>
      <c r="J329" s="226"/>
      <c r="Z329" s="35"/>
      <c r="AB329" s="77"/>
      <c r="AD329" s="29"/>
      <c r="AF329" s="142"/>
      <c r="AG329" s="147"/>
    </row>
    <row r="330" spans="1:33" ht="20.100000000000001" customHeight="1">
      <c r="A330" s="16" t="s">
        <v>26</v>
      </c>
      <c r="B330" s="54">
        <v>2019</v>
      </c>
      <c r="C330" s="28" t="s">
        <v>68</v>
      </c>
      <c r="D330" s="35" t="s">
        <v>404</v>
      </c>
      <c r="E330" s="35" t="s">
        <v>404</v>
      </c>
      <c r="F330" s="109" t="s">
        <v>473</v>
      </c>
      <c r="G330" s="226"/>
      <c r="H330" s="170">
        <f t="shared" si="36"/>
        <v>0</v>
      </c>
      <c r="I330" s="226"/>
      <c r="J330" s="226"/>
      <c r="Z330" s="35"/>
      <c r="AB330" s="77"/>
      <c r="AD330" s="29"/>
      <c r="AF330" s="142"/>
      <c r="AG330" s="143"/>
    </row>
    <row r="331" spans="1:33" ht="20.100000000000001" hidden="1" customHeight="1">
      <c r="A331" s="16" t="s">
        <v>26</v>
      </c>
      <c r="B331" s="54">
        <v>2019</v>
      </c>
      <c r="C331" s="28" t="s">
        <v>68</v>
      </c>
      <c r="D331" s="27" t="s">
        <v>202</v>
      </c>
      <c r="E331" s="35" t="s">
        <v>474</v>
      </c>
      <c r="F331" s="109" t="s">
        <v>474</v>
      </c>
      <c r="G331" s="226"/>
      <c r="H331" s="170">
        <f t="shared" si="36"/>
        <v>0</v>
      </c>
      <c r="I331" s="226"/>
      <c r="J331" s="226"/>
      <c r="Z331" s="35"/>
      <c r="AB331" s="77"/>
      <c r="AD331" s="29"/>
      <c r="AF331" s="142"/>
      <c r="AG331" s="143"/>
    </row>
    <row r="332" spans="1:33" ht="20.100000000000001" hidden="1" customHeight="1">
      <c r="A332" s="16" t="s">
        <v>26</v>
      </c>
      <c r="B332" s="54">
        <v>2019</v>
      </c>
      <c r="C332" s="28" t="s">
        <v>68</v>
      </c>
      <c r="D332" s="35" t="s">
        <v>475</v>
      </c>
      <c r="E332" s="35" t="s">
        <v>476</v>
      </c>
      <c r="F332" s="109" t="s">
        <v>477</v>
      </c>
      <c r="G332" s="226"/>
      <c r="H332" s="170">
        <f t="shared" si="36"/>
        <v>0</v>
      </c>
      <c r="I332" s="226"/>
      <c r="J332" s="226"/>
      <c r="Z332" s="35"/>
      <c r="AB332" s="77"/>
      <c r="AD332" s="29"/>
      <c r="AF332" s="142"/>
      <c r="AG332" s="143"/>
    </row>
    <row r="333" spans="1:33" ht="20.100000000000001" hidden="1" customHeight="1">
      <c r="A333" s="16" t="s">
        <v>26</v>
      </c>
      <c r="B333" s="54">
        <v>2019</v>
      </c>
      <c r="C333" s="28" t="s">
        <v>68</v>
      </c>
      <c r="D333" s="35" t="s">
        <v>478</v>
      </c>
      <c r="E333" s="35" t="s">
        <v>479</v>
      </c>
      <c r="F333" s="109" t="s">
        <v>480</v>
      </c>
      <c r="G333" s="226"/>
      <c r="H333" s="170">
        <f t="shared" si="36"/>
        <v>0</v>
      </c>
      <c r="I333" s="226"/>
      <c r="J333" s="226"/>
      <c r="Z333" s="35"/>
      <c r="AB333" s="77"/>
      <c r="AD333" s="29"/>
      <c r="AF333" s="142"/>
      <c r="AG333" s="143"/>
    </row>
    <row r="334" spans="1:33" ht="20.100000000000001" hidden="1" customHeight="1">
      <c r="A334" s="16" t="s">
        <v>26</v>
      </c>
      <c r="B334" s="54">
        <v>2019</v>
      </c>
      <c r="C334" s="28" t="s">
        <v>68</v>
      </c>
      <c r="D334" s="27" t="s">
        <v>202</v>
      </c>
      <c r="E334" s="35" t="s">
        <v>481</v>
      </c>
      <c r="F334" s="109" t="s">
        <v>481</v>
      </c>
      <c r="G334" s="226"/>
      <c r="H334" s="170">
        <f t="shared" si="36"/>
        <v>0</v>
      </c>
      <c r="I334" s="226"/>
      <c r="J334" s="226"/>
      <c r="Z334" s="35"/>
      <c r="AB334" s="77"/>
      <c r="AD334" s="29"/>
      <c r="AF334" s="142"/>
      <c r="AG334" s="143"/>
    </row>
    <row r="335" spans="1:33" ht="20.100000000000001" hidden="1" customHeight="1">
      <c r="A335" s="16" t="s">
        <v>26</v>
      </c>
      <c r="B335" s="54">
        <v>2019</v>
      </c>
      <c r="C335" s="28" t="s">
        <v>68</v>
      </c>
      <c r="D335" s="35" t="s">
        <v>482</v>
      </c>
      <c r="E335" s="35" t="s">
        <v>483</v>
      </c>
      <c r="F335" s="109" t="s">
        <v>483</v>
      </c>
      <c r="G335" s="226"/>
      <c r="H335" s="170">
        <f t="shared" si="36"/>
        <v>0</v>
      </c>
      <c r="I335" s="226"/>
      <c r="J335" s="226"/>
      <c r="Z335" s="35"/>
      <c r="AB335" s="77"/>
      <c r="AD335" s="29"/>
      <c r="AF335" s="142"/>
      <c r="AG335" s="143"/>
    </row>
    <row r="336" spans="1:33" ht="20.100000000000001" hidden="1" customHeight="1">
      <c r="A336" s="16" t="s">
        <v>26</v>
      </c>
      <c r="B336" s="54">
        <v>2019</v>
      </c>
      <c r="C336" s="28" t="s">
        <v>68</v>
      </c>
      <c r="D336" s="35" t="s">
        <v>484</v>
      </c>
      <c r="E336" s="35" t="s">
        <v>485</v>
      </c>
      <c r="F336" s="109" t="s">
        <v>486</v>
      </c>
      <c r="G336" s="226"/>
      <c r="H336" s="170">
        <f t="shared" si="36"/>
        <v>0</v>
      </c>
      <c r="I336" s="226"/>
      <c r="J336" s="226"/>
      <c r="Z336" s="35"/>
      <c r="AB336" s="77"/>
      <c r="AD336" s="29"/>
      <c r="AF336" s="142"/>
      <c r="AG336" s="143"/>
    </row>
    <row r="337" spans="1:33" ht="20.100000000000001" hidden="1" customHeight="1">
      <c r="A337" s="16" t="s">
        <v>26</v>
      </c>
      <c r="B337" s="54">
        <v>2019</v>
      </c>
      <c r="C337" s="28" t="s">
        <v>68</v>
      </c>
      <c r="D337" s="35" t="s">
        <v>487</v>
      </c>
      <c r="E337" s="35" t="s">
        <v>488</v>
      </c>
      <c r="F337" s="109" t="s">
        <v>488</v>
      </c>
      <c r="G337" s="226"/>
      <c r="H337" s="170">
        <f t="shared" si="36"/>
        <v>0</v>
      </c>
      <c r="I337" s="226"/>
      <c r="J337" s="226"/>
      <c r="Z337" s="35"/>
      <c r="AB337" s="77"/>
      <c r="AD337" s="29"/>
      <c r="AF337" s="142"/>
      <c r="AG337" s="143"/>
    </row>
    <row r="338" spans="1:33" ht="20.100000000000001" hidden="1" customHeight="1">
      <c r="A338" s="16" t="s">
        <v>26</v>
      </c>
      <c r="B338" s="54">
        <v>2019</v>
      </c>
      <c r="C338" s="28" t="s">
        <v>68</v>
      </c>
      <c r="D338" s="35" t="s">
        <v>489</v>
      </c>
      <c r="E338" s="35" t="s">
        <v>490</v>
      </c>
      <c r="F338" s="109" t="s">
        <v>491</v>
      </c>
      <c r="G338" s="226"/>
      <c r="H338" s="170">
        <f t="shared" si="36"/>
        <v>0</v>
      </c>
      <c r="I338" s="226"/>
      <c r="J338" s="226"/>
      <c r="Z338" s="35"/>
      <c r="AB338" s="77"/>
      <c r="AD338" s="29"/>
      <c r="AF338" s="142"/>
      <c r="AG338" s="143"/>
    </row>
    <row r="339" spans="1:33" ht="20.100000000000001" hidden="1" customHeight="1">
      <c r="A339" s="16" t="s">
        <v>26</v>
      </c>
      <c r="B339" s="54">
        <v>2019</v>
      </c>
      <c r="C339" s="28" t="s">
        <v>68</v>
      </c>
      <c r="D339" s="27" t="s">
        <v>202</v>
      </c>
      <c r="E339" s="35" t="s">
        <v>202</v>
      </c>
      <c r="F339" s="109" t="s">
        <v>202</v>
      </c>
      <c r="G339" s="226"/>
      <c r="H339" s="170">
        <f t="shared" si="36"/>
        <v>0</v>
      </c>
      <c r="I339" s="226"/>
      <c r="J339" s="226"/>
      <c r="Z339" s="35"/>
      <c r="AB339" s="77"/>
      <c r="AD339" s="29"/>
      <c r="AF339" s="142"/>
      <c r="AG339" s="143"/>
    </row>
    <row r="340" spans="1:33" ht="20.100000000000001" hidden="1" customHeight="1">
      <c r="A340" s="16" t="s">
        <v>26</v>
      </c>
      <c r="B340" s="54">
        <v>2020</v>
      </c>
      <c r="C340" s="28" t="s">
        <v>68</v>
      </c>
      <c r="D340" s="35" t="s">
        <v>471</v>
      </c>
      <c r="E340" s="35" t="s">
        <v>472</v>
      </c>
      <c r="F340" s="109" t="s">
        <v>471</v>
      </c>
      <c r="G340" s="226"/>
      <c r="H340" s="170">
        <f t="shared" ref="H340:H350" si="37">G340/0.875506396987998</f>
        <v>0</v>
      </c>
      <c r="I340" s="226"/>
      <c r="J340" s="226"/>
      <c r="Z340" s="35"/>
      <c r="AB340" s="77"/>
      <c r="AD340" s="29"/>
      <c r="AF340" s="142"/>
      <c r="AG340" s="143"/>
    </row>
    <row r="341" spans="1:33" ht="20.100000000000001" customHeight="1">
      <c r="A341" s="16" t="s">
        <v>26</v>
      </c>
      <c r="B341" s="54">
        <v>2020</v>
      </c>
      <c r="C341" s="28" t="s">
        <v>68</v>
      </c>
      <c r="D341" s="35" t="s">
        <v>404</v>
      </c>
      <c r="E341" s="35" t="s">
        <v>404</v>
      </c>
      <c r="F341" s="109" t="s">
        <v>473</v>
      </c>
      <c r="G341" s="226"/>
      <c r="H341" s="170">
        <f t="shared" si="37"/>
        <v>0</v>
      </c>
      <c r="I341" s="226"/>
      <c r="J341" s="226"/>
      <c r="Z341" s="35"/>
      <c r="AB341" s="77"/>
      <c r="AD341" s="29"/>
      <c r="AF341" s="142"/>
      <c r="AG341" s="143"/>
    </row>
    <row r="342" spans="1:33" ht="20.100000000000001" hidden="1" customHeight="1">
      <c r="A342" s="16" t="s">
        <v>26</v>
      </c>
      <c r="B342" s="54">
        <v>2020</v>
      </c>
      <c r="C342" s="28" t="s">
        <v>68</v>
      </c>
      <c r="D342" s="27" t="s">
        <v>202</v>
      </c>
      <c r="E342" s="35" t="s">
        <v>474</v>
      </c>
      <c r="F342" s="109" t="s">
        <v>474</v>
      </c>
      <c r="G342" s="226"/>
      <c r="H342" s="170">
        <f t="shared" si="37"/>
        <v>0</v>
      </c>
      <c r="I342" s="226"/>
      <c r="J342" s="226"/>
      <c r="Z342" s="35"/>
      <c r="AB342" s="77"/>
      <c r="AD342" s="29"/>
      <c r="AF342" s="142"/>
      <c r="AG342" s="143"/>
    </row>
    <row r="343" spans="1:33" ht="20.100000000000001" hidden="1" customHeight="1">
      <c r="A343" s="16" t="s">
        <v>26</v>
      </c>
      <c r="B343" s="54">
        <v>2020</v>
      </c>
      <c r="C343" s="28" t="s">
        <v>68</v>
      </c>
      <c r="D343" s="35" t="s">
        <v>475</v>
      </c>
      <c r="E343" s="35" t="s">
        <v>476</v>
      </c>
      <c r="F343" s="109" t="s">
        <v>477</v>
      </c>
      <c r="G343" s="226"/>
      <c r="H343" s="170">
        <f t="shared" si="37"/>
        <v>0</v>
      </c>
      <c r="I343" s="226"/>
      <c r="J343" s="226"/>
      <c r="Z343" s="35"/>
      <c r="AB343" s="77"/>
      <c r="AD343" s="29"/>
      <c r="AF343" s="142"/>
      <c r="AG343" s="143"/>
    </row>
    <row r="344" spans="1:33" ht="20.100000000000001" hidden="1" customHeight="1">
      <c r="A344" s="16" t="s">
        <v>26</v>
      </c>
      <c r="B344" s="54">
        <v>2020</v>
      </c>
      <c r="C344" s="28" t="s">
        <v>68</v>
      </c>
      <c r="D344" s="35" t="s">
        <v>478</v>
      </c>
      <c r="E344" s="35" t="s">
        <v>479</v>
      </c>
      <c r="F344" s="109" t="s">
        <v>480</v>
      </c>
      <c r="G344" s="226"/>
      <c r="H344" s="170">
        <f t="shared" si="37"/>
        <v>0</v>
      </c>
      <c r="I344" s="226"/>
      <c r="J344" s="226"/>
      <c r="Z344" s="35"/>
      <c r="AB344" s="77"/>
      <c r="AD344" s="29"/>
      <c r="AF344" s="142"/>
      <c r="AG344" s="143"/>
    </row>
    <row r="345" spans="1:33" ht="20.100000000000001" hidden="1" customHeight="1">
      <c r="A345" s="16" t="s">
        <v>26</v>
      </c>
      <c r="B345" s="54">
        <v>2020</v>
      </c>
      <c r="C345" s="28" t="s">
        <v>68</v>
      </c>
      <c r="D345" s="27" t="s">
        <v>202</v>
      </c>
      <c r="E345" s="35" t="s">
        <v>481</v>
      </c>
      <c r="F345" s="109" t="s">
        <v>481</v>
      </c>
      <c r="G345" s="226"/>
      <c r="H345" s="170">
        <f t="shared" si="37"/>
        <v>0</v>
      </c>
      <c r="I345" s="226"/>
      <c r="J345" s="226"/>
      <c r="Z345" s="35"/>
      <c r="AB345" s="77"/>
      <c r="AD345" s="29"/>
      <c r="AF345" s="142"/>
      <c r="AG345" s="143"/>
    </row>
    <row r="346" spans="1:33" ht="20.100000000000001" hidden="1" customHeight="1">
      <c r="A346" s="16" t="s">
        <v>26</v>
      </c>
      <c r="B346" s="54">
        <v>2020</v>
      </c>
      <c r="C346" s="28" t="s">
        <v>68</v>
      </c>
      <c r="D346" s="35" t="s">
        <v>482</v>
      </c>
      <c r="E346" s="35" t="s">
        <v>483</v>
      </c>
      <c r="F346" s="109" t="s">
        <v>483</v>
      </c>
      <c r="G346" s="226"/>
      <c r="H346" s="170">
        <f t="shared" si="37"/>
        <v>0</v>
      </c>
      <c r="I346" s="226"/>
      <c r="J346" s="226"/>
      <c r="Z346" s="35"/>
      <c r="AB346" s="77"/>
      <c r="AD346" s="29"/>
      <c r="AF346" s="142"/>
      <c r="AG346" s="143"/>
    </row>
    <row r="347" spans="1:33" ht="20.100000000000001" hidden="1" customHeight="1">
      <c r="A347" s="16" t="s">
        <v>26</v>
      </c>
      <c r="B347" s="54">
        <v>2020</v>
      </c>
      <c r="C347" s="28" t="s">
        <v>68</v>
      </c>
      <c r="D347" s="35" t="s">
        <v>484</v>
      </c>
      <c r="E347" s="35" t="s">
        <v>485</v>
      </c>
      <c r="F347" s="109" t="s">
        <v>486</v>
      </c>
      <c r="G347" s="226"/>
      <c r="H347" s="170">
        <f t="shared" si="37"/>
        <v>0</v>
      </c>
      <c r="I347" s="226"/>
      <c r="J347" s="226"/>
      <c r="Z347" s="35"/>
      <c r="AB347" s="77"/>
      <c r="AD347" s="29"/>
      <c r="AF347" s="142"/>
      <c r="AG347" s="143"/>
    </row>
    <row r="348" spans="1:33" ht="20.100000000000001" hidden="1" customHeight="1">
      <c r="A348" s="16" t="s">
        <v>26</v>
      </c>
      <c r="B348" s="54">
        <v>2020</v>
      </c>
      <c r="C348" s="28" t="s">
        <v>68</v>
      </c>
      <c r="D348" s="35" t="s">
        <v>487</v>
      </c>
      <c r="E348" s="35" t="s">
        <v>488</v>
      </c>
      <c r="F348" s="109" t="s">
        <v>488</v>
      </c>
      <c r="G348" s="226"/>
      <c r="H348" s="170">
        <f t="shared" si="37"/>
        <v>0</v>
      </c>
      <c r="I348" s="226"/>
      <c r="J348" s="226"/>
      <c r="Z348" s="35"/>
      <c r="AB348" s="77"/>
      <c r="AD348" s="29"/>
      <c r="AF348" s="142"/>
      <c r="AG348" s="143"/>
    </row>
    <row r="349" spans="1:33" ht="20.100000000000001" hidden="1" customHeight="1">
      <c r="A349" s="16" t="s">
        <v>26</v>
      </c>
      <c r="B349" s="54">
        <v>2020</v>
      </c>
      <c r="C349" s="28" t="s">
        <v>68</v>
      </c>
      <c r="D349" s="35" t="s">
        <v>489</v>
      </c>
      <c r="E349" s="35" t="s">
        <v>490</v>
      </c>
      <c r="F349" s="109" t="s">
        <v>491</v>
      </c>
      <c r="G349" s="226"/>
      <c r="H349" s="170">
        <f t="shared" si="37"/>
        <v>0</v>
      </c>
      <c r="I349" s="226"/>
      <c r="J349" s="226"/>
      <c r="Z349" s="35"/>
      <c r="AB349" s="77"/>
      <c r="AD349" s="29"/>
      <c r="AF349" s="142"/>
      <c r="AG349" s="143"/>
    </row>
    <row r="350" spans="1:33" ht="20.100000000000001" hidden="1" customHeight="1">
      <c r="A350" s="16" t="s">
        <v>26</v>
      </c>
      <c r="B350" s="54">
        <v>2020</v>
      </c>
      <c r="C350" s="28" t="s">
        <v>68</v>
      </c>
      <c r="D350" s="27" t="s">
        <v>202</v>
      </c>
      <c r="E350" s="35" t="s">
        <v>202</v>
      </c>
      <c r="F350" s="109" t="s">
        <v>202</v>
      </c>
      <c r="G350" s="226"/>
      <c r="H350" s="170">
        <f t="shared" si="37"/>
        <v>0</v>
      </c>
      <c r="I350" s="226"/>
      <c r="J350" s="226"/>
      <c r="Z350" s="35"/>
      <c r="AB350" s="77"/>
      <c r="AD350" s="29"/>
      <c r="AF350" s="142"/>
      <c r="AG350" s="143"/>
    </row>
    <row r="351" spans="1:33" ht="20.100000000000001" hidden="1" customHeight="1">
      <c r="A351" s="16" t="s">
        <v>26</v>
      </c>
      <c r="B351" s="16">
        <v>2021</v>
      </c>
      <c r="C351" s="14" t="s">
        <v>68</v>
      </c>
      <c r="D351" s="35" t="s">
        <v>471</v>
      </c>
      <c r="E351" s="35" t="s">
        <v>472</v>
      </c>
      <c r="F351" s="109" t="s">
        <v>471</v>
      </c>
      <c r="G351" s="226"/>
      <c r="H351" s="170">
        <f t="shared" ref="H351:H361" si="38">G351/0.84549413889045</f>
        <v>0</v>
      </c>
      <c r="I351" s="226"/>
      <c r="J351" s="226"/>
      <c r="Z351" s="35"/>
      <c r="AB351" s="77"/>
      <c r="AD351" s="29"/>
      <c r="AF351" s="142"/>
      <c r="AG351" s="143"/>
    </row>
    <row r="352" spans="1:33" ht="20.100000000000001" customHeight="1">
      <c r="A352" s="16" t="s">
        <v>26</v>
      </c>
      <c r="B352" s="16">
        <v>2021</v>
      </c>
      <c r="C352" s="14" t="s">
        <v>68</v>
      </c>
      <c r="D352" s="35" t="s">
        <v>404</v>
      </c>
      <c r="E352" s="35" t="s">
        <v>404</v>
      </c>
      <c r="F352" s="109" t="s">
        <v>473</v>
      </c>
      <c r="G352" s="226"/>
      <c r="H352" s="170">
        <f t="shared" si="38"/>
        <v>0</v>
      </c>
      <c r="I352" s="226"/>
      <c r="J352" s="226"/>
      <c r="Z352" s="35"/>
      <c r="AB352" s="77"/>
      <c r="AD352" s="29"/>
      <c r="AF352" s="142"/>
      <c r="AG352" s="143"/>
    </row>
    <row r="353" spans="1:33" ht="20.100000000000001" hidden="1" customHeight="1">
      <c r="A353" s="16" t="s">
        <v>26</v>
      </c>
      <c r="B353" s="16">
        <v>2021</v>
      </c>
      <c r="C353" s="14" t="s">
        <v>68</v>
      </c>
      <c r="D353" s="27" t="s">
        <v>202</v>
      </c>
      <c r="E353" s="35" t="s">
        <v>474</v>
      </c>
      <c r="F353" s="109" t="s">
        <v>474</v>
      </c>
      <c r="G353" s="226"/>
      <c r="H353" s="170">
        <f t="shared" si="38"/>
        <v>0</v>
      </c>
      <c r="I353" s="226"/>
      <c r="J353" s="226"/>
      <c r="Z353" s="35"/>
      <c r="AB353" s="77"/>
      <c r="AD353" s="29"/>
      <c r="AF353" s="142"/>
      <c r="AG353" s="143"/>
    </row>
    <row r="354" spans="1:33" ht="20.100000000000001" hidden="1" customHeight="1">
      <c r="A354" s="16" t="s">
        <v>26</v>
      </c>
      <c r="B354" s="16">
        <v>2021</v>
      </c>
      <c r="C354" s="14" t="s">
        <v>68</v>
      </c>
      <c r="D354" s="35" t="s">
        <v>475</v>
      </c>
      <c r="E354" s="35" t="s">
        <v>476</v>
      </c>
      <c r="F354" s="109" t="s">
        <v>477</v>
      </c>
      <c r="G354" s="226"/>
      <c r="H354" s="170">
        <f t="shared" si="38"/>
        <v>0</v>
      </c>
      <c r="I354" s="226"/>
      <c r="J354" s="226"/>
      <c r="Z354" s="35"/>
      <c r="AB354" s="77"/>
      <c r="AD354" s="29"/>
      <c r="AF354" s="142"/>
      <c r="AG354" s="143"/>
    </row>
    <row r="355" spans="1:33" ht="20.100000000000001" hidden="1" customHeight="1">
      <c r="A355" s="16" t="s">
        <v>26</v>
      </c>
      <c r="B355" s="16">
        <v>2021</v>
      </c>
      <c r="C355" s="14" t="s">
        <v>68</v>
      </c>
      <c r="D355" s="35" t="s">
        <v>478</v>
      </c>
      <c r="E355" s="35" t="s">
        <v>479</v>
      </c>
      <c r="F355" s="109" t="s">
        <v>480</v>
      </c>
      <c r="G355" s="226"/>
      <c r="H355" s="170">
        <f t="shared" si="38"/>
        <v>0</v>
      </c>
      <c r="I355" s="226"/>
      <c r="J355" s="226"/>
      <c r="Z355" s="35"/>
      <c r="AB355" s="77"/>
      <c r="AD355" s="29"/>
      <c r="AF355" s="142"/>
      <c r="AG355" s="143"/>
    </row>
    <row r="356" spans="1:33" ht="20.100000000000001" hidden="1" customHeight="1">
      <c r="A356" s="16" t="s">
        <v>26</v>
      </c>
      <c r="B356" s="16">
        <v>2021</v>
      </c>
      <c r="C356" s="14" t="s">
        <v>68</v>
      </c>
      <c r="D356" s="27" t="s">
        <v>202</v>
      </c>
      <c r="E356" s="35" t="s">
        <v>481</v>
      </c>
      <c r="F356" s="109" t="s">
        <v>481</v>
      </c>
      <c r="G356" s="226"/>
      <c r="H356" s="170">
        <f t="shared" si="38"/>
        <v>0</v>
      </c>
      <c r="I356" s="226"/>
      <c r="J356" s="226"/>
      <c r="Z356" s="35"/>
      <c r="AB356" s="77"/>
      <c r="AD356" s="29"/>
      <c r="AF356" s="142"/>
      <c r="AG356" s="143"/>
    </row>
    <row r="357" spans="1:33" ht="20.100000000000001" hidden="1" customHeight="1">
      <c r="A357" s="16" t="s">
        <v>26</v>
      </c>
      <c r="B357" s="16">
        <v>2021</v>
      </c>
      <c r="C357" s="14" t="s">
        <v>68</v>
      </c>
      <c r="D357" s="35" t="s">
        <v>482</v>
      </c>
      <c r="E357" s="35" t="s">
        <v>483</v>
      </c>
      <c r="F357" s="109" t="s">
        <v>483</v>
      </c>
      <c r="G357" s="226"/>
      <c r="H357" s="170">
        <f t="shared" si="38"/>
        <v>0</v>
      </c>
      <c r="I357" s="226"/>
      <c r="J357" s="226"/>
      <c r="Z357" s="35"/>
      <c r="AB357" s="77"/>
      <c r="AD357" s="29"/>
      <c r="AF357" s="142"/>
      <c r="AG357" s="143"/>
    </row>
    <row r="358" spans="1:33" ht="20.100000000000001" hidden="1" customHeight="1">
      <c r="A358" s="16" t="s">
        <v>26</v>
      </c>
      <c r="B358" s="16">
        <v>2021</v>
      </c>
      <c r="C358" s="14" t="s">
        <v>68</v>
      </c>
      <c r="D358" s="35" t="s">
        <v>484</v>
      </c>
      <c r="E358" s="35" t="s">
        <v>485</v>
      </c>
      <c r="F358" s="109" t="s">
        <v>486</v>
      </c>
      <c r="G358" s="226"/>
      <c r="H358" s="170">
        <f t="shared" si="38"/>
        <v>0</v>
      </c>
      <c r="I358" s="226"/>
      <c r="J358" s="226"/>
      <c r="Z358" s="35"/>
      <c r="AB358" s="77"/>
      <c r="AD358" s="29"/>
      <c r="AF358" s="142"/>
      <c r="AG358" s="143"/>
    </row>
    <row r="359" spans="1:33" ht="20.100000000000001" hidden="1" customHeight="1">
      <c r="A359" s="16" t="s">
        <v>26</v>
      </c>
      <c r="B359" s="16">
        <v>2021</v>
      </c>
      <c r="C359" s="14" t="s">
        <v>68</v>
      </c>
      <c r="D359" s="35" t="s">
        <v>487</v>
      </c>
      <c r="E359" s="35" t="s">
        <v>488</v>
      </c>
      <c r="F359" s="109" t="s">
        <v>488</v>
      </c>
      <c r="G359" s="226"/>
      <c r="H359" s="170">
        <f t="shared" si="38"/>
        <v>0</v>
      </c>
      <c r="I359" s="226"/>
      <c r="J359" s="226"/>
      <c r="Z359" s="35"/>
      <c r="AB359" s="77"/>
      <c r="AD359" s="29"/>
      <c r="AF359" s="142"/>
      <c r="AG359" s="143"/>
    </row>
    <row r="360" spans="1:33" ht="20.100000000000001" hidden="1" customHeight="1">
      <c r="A360" s="16" t="s">
        <v>26</v>
      </c>
      <c r="B360" s="16">
        <v>2021</v>
      </c>
      <c r="C360" s="14" t="s">
        <v>68</v>
      </c>
      <c r="D360" s="35" t="s">
        <v>489</v>
      </c>
      <c r="E360" s="35" t="s">
        <v>490</v>
      </c>
      <c r="F360" s="109" t="s">
        <v>491</v>
      </c>
      <c r="G360" s="226"/>
      <c r="H360" s="170">
        <f t="shared" si="38"/>
        <v>0</v>
      </c>
      <c r="I360" s="226"/>
      <c r="J360" s="226"/>
      <c r="Z360" s="35"/>
      <c r="AB360" s="77"/>
      <c r="AD360" s="29"/>
      <c r="AF360" s="142"/>
      <c r="AG360" s="143"/>
    </row>
    <row r="361" spans="1:33" ht="20.100000000000001" hidden="1" customHeight="1">
      <c r="A361" s="16" t="s">
        <v>26</v>
      </c>
      <c r="B361" s="16">
        <v>2021</v>
      </c>
      <c r="C361" s="14" t="s">
        <v>68</v>
      </c>
      <c r="D361" s="27" t="s">
        <v>202</v>
      </c>
      <c r="E361" s="35" t="s">
        <v>202</v>
      </c>
      <c r="F361" s="109" t="s">
        <v>202</v>
      </c>
      <c r="G361" s="226"/>
      <c r="H361" s="170">
        <f t="shared" si="38"/>
        <v>0</v>
      </c>
      <c r="I361" s="226"/>
      <c r="J361" s="226"/>
      <c r="Z361" s="35"/>
      <c r="AB361" s="77"/>
      <c r="AD361" s="29"/>
      <c r="AF361" s="142"/>
      <c r="AG361" s="143"/>
    </row>
    <row r="362" spans="1:33" ht="20.100000000000001" hidden="1" customHeight="1">
      <c r="A362" s="16" t="s">
        <v>26</v>
      </c>
      <c r="B362" s="16">
        <v>2022</v>
      </c>
      <c r="C362" s="14" t="s">
        <v>68</v>
      </c>
      <c r="D362" s="35" t="s">
        <v>471</v>
      </c>
      <c r="E362" s="35" t="s">
        <v>472</v>
      </c>
      <c r="F362" s="109" t="s">
        <v>471</v>
      </c>
      <c r="G362" s="226"/>
      <c r="H362" s="170">
        <f t="shared" ref="H362:H372" si="39">G362/0.949623753156941</f>
        <v>0</v>
      </c>
      <c r="I362" s="226"/>
      <c r="J362" s="226"/>
      <c r="Z362" s="35"/>
      <c r="AB362" s="77"/>
      <c r="AD362" s="29"/>
      <c r="AF362" s="142"/>
      <c r="AG362" s="143"/>
    </row>
    <row r="363" spans="1:33" ht="20.100000000000001" customHeight="1">
      <c r="A363" s="16" t="s">
        <v>26</v>
      </c>
      <c r="B363" s="16">
        <v>2022</v>
      </c>
      <c r="C363" s="14" t="s">
        <v>68</v>
      </c>
      <c r="D363" s="35" t="s">
        <v>404</v>
      </c>
      <c r="E363" s="35" t="s">
        <v>404</v>
      </c>
      <c r="F363" s="109" t="s">
        <v>473</v>
      </c>
      <c r="G363" s="226"/>
      <c r="H363" s="170">
        <f t="shared" si="39"/>
        <v>0</v>
      </c>
      <c r="I363" s="226"/>
      <c r="J363" s="226"/>
      <c r="Z363" s="35"/>
      <c r="AB363" s="77"/>
      <c r="AD363" s="29"/>
      <c r="AF363" s="142"/>
      <c r="AG363" s="143"/>
    </row>
    <row r="364" spans="1:33" ht="20.100000000000001" hidden="1" customHeight="1">
      <c r="A364" s="16" t="s">
        <v>26</v>
      </c>
      <c r="B364" s="16">
        <v>2022</v>
      </c>
      <c r="C364" s="14" t="s">
        <v>68</v>
      </c>
      <c r="D364" s="27" t="s">
        <v>202</v>
      </c>
      <c r="E364" s="35" t="s">
        <v>474</v>
      </c>
      <c r="F364" s="109" t="s">
        <v>474</v>
      </c>
      <c r="G364" s="226"/>
      <c r="H364" s="170">
        <f t="shared" si="39"/>
        <v>0</v>
      </c>
      <c r="I364" s="226"/>
      <c r="J364" s="226"/>
      <c r="Z364" s="35"/>
      <c r="AB364" s="77"/>
      <c r="AD364" s="29"/>
      <c r="AF364" s="142"/>
      <c r="AG364" s="143"/>
    </row>
    <row r="365" spans="1:33" ht="20.100000000000001" hidden="1" customHeight="1">
      <c r="A365" s="16" t="s">
        <v>26</v>
      </c>
      <c r="B365" s="16">
        <v>2022</v>
      </c>
      <c r="C365" s="14" t="s">
        <v>68</v>
      </c>
      <c r="D365" s="35" t="s">
        <v>475</v>
      </c>
      <c r="E365" s="35" t="s">
        <v>476</v>
      </c>
      <c r="F365" s="109" t="s">
        <v>477</v>
      </c>
      <c r="G365" s="226"/>
      <c r="H365" s="170">
        <f t="shared" si="39"/>
        <v>0</v>
      </c>
      <c r="I365" s="226"/>
      <c r="J365" s="226"/>
      <c r="Z365" s="35"/>
      <c r="AB365" s="77"/>
      <c r="AD365" s="29"/>
      <c r="AF365" s="142"/>
      <c r="AG365" s="143"/>
    </row>
    <row r="366" spans="1:33" ht="20.100000000000001" hidden="1" customHeight="1">
      <c r="A366" s="16" t="s">
        <v>26</v>
      </c>
      <c r="B366" s="16">
        <v>2022</v>
      </c>
      <c r="C366" s="14" t="s">
        <v>68</v>
      </c>
      <c r="D366" s="35" t="s">
        <v>478</v>
      </c>
      <c r="E366" s="35" t="s">
        <v>479</v>
      </c>
      <c r="F366" s="109" t="s">
        <v>480</v>
      </c>
      <c r="G366" s="226"/>
      <c r="H366" s="170">
        <f t="shared" si="39"/>
        <v>0</v>
      </c>
      <c r="I366" s="226"/>
      <c r="J366" s="226"/>
      <c r="Z366" s="35"/>
      <c r="AB366" s="77"/>
      <c r="AD366" s="29"/>
      <c r="AF366" s="142"/>
      <c r="AG366" s="143"/>
    </row>
    <row r="367" spans="1:33" ht="20.100000000000001" hidden="1" customHeight="1">
      <c r="A367" s="16" t="s">
        <v>26</v>
      </c>
      <c r="B367" s="16">
        <v>2022</v>
      </c>
      <c r="C367" s="14" t="s">
        <v>68</v>
      </c>
      <c r="D367" s="27" t="s">
        <v>202</v>
      </c>
      <c r="E367" s="35" t="s">
        <v>481</v>
      </c>
      <c r="F367" s="109" t="s">
        <v>481</v>
      </c>
      <c r="G367" s="226"/>
      <c r="H367" s="170">
        <f t="shared" si="39"/>
        <v>0</v>
      </c>
      <c r="I367" s="226"/>
      <c r="J367" s="226"/>
      <c r="Z367" s="35"/>
      <c r="AB367" s="77"/>
      <c r="AD367" s="29"/>
      <c r="AF367" s="142"/>
      <c r="AG367" s="143"/>
    </row>
    <row r="368" spans="1:33" ht="20.100000000000001" hidden="1" customHeight="1">
      <c r="A368" s="16" t="s">
        <v>26</v>
      </c>
      <c r="B368" s="16">
        <v>2022</v>
      </c>
      <c r="C368" s="14" t="s">
        <v>68</v>
      </c>
      <c r="D368" s="35" t="s">
        <v>482</v>
      </c>
      <c r="E368" s="35" t="s">
        <v>483</v>
      </c>
      <c r="F368" s="109" t="s">
        <v>483</v>
      </c>
      <c r="G368" s="226"/>
      <c r="H368" s="170">
        <f t="shared" si="39"/>
        <v>0</v>
      </c>
      <c r="I368" s="226"/>
      <c r="J368" s="226"/>
      <c r="Z368" s="35"/>
      <c r="AB368" s="77"/>
      <c r="AD368" s="29"/>
      <c r="AF368" s="142"/>
      <c r="AG368" s="143"/>
    </row>
    <row r="369" spans="1:33" ht="20.100000000000001" hidden="1" customHeight="1">
      <c r="A369" s="16" t="s">
        <v>26</v>
      </c>
      <c r="B369" s="16">
        <v>2022</v>
      </c>
      <c r="C369" s="14" t="s">
        <v>68</v>
      </c>
      <c r="D369" s="35" t="s">
        <v>484</v>
      </c>
      <c r="E369" s="35" t="s">
        <v>485</v>
      </c>
      <c r="F369" s="109" t="s">
        <v>486</v>
      </c>
      <c r="G369" s="226"/>
      <c r="H369" s="170">
        <f t="shared" si="39"/>
        <v>0</v>
      </c>
      <c r="I369" s="226"/>
      <c r="J369" s="226"/>
      <c r="Z369" s="35"/>
      <c r="AB369" s="77"/>
      <c r="AD369" s="29"/>
      <c r="AF369" s="142"/>
      <c r="AG369" s="143"/>
    </row>
    <row r="370" spans="1:33" ht="20.100000000000001" hidden="1" customHeight="1">
      <c r="A370" s="16" t="s">
        <v>26</v>
      </c>
      <c r="B370" s="16">
        <v>2022</v>
      </c>
      <c r="C370" s="14" t="s">
        <v>68</v>
      </c>
      <c r="D370" s="35" t="s">
        <v>487</v>
      </c>
      <c r="E370" s="35" t="s">
        <v>488</v>
      </c>
      <c r="F370" s="109" t="s">
        <v>488</v>
      </c>
      <c r="G370" s="226"/>
      <c r="H370" s="170">
        <f t="shared" si="39"/>
        <v>0</v>
      </c>
      <c r="I370" s="226"/>
      <c r="J370" s="226"/>
      <c r="Z370" s="35"/>
      <c r="AB370" s="77"/>
      <c r="AD370" s="29"/>
      <c r="AF370" s="142"/>
      <c r="AG370" s="143"/>
    </row>
    <row r="371" spans="1:33" ht="20.100000000000001" hidden="1" customHeight="1">
      <c r="A371" s="16" t="s">
        <v>26</v>
      </c>
      <c r="B371" s="16">
        <v>2022</v>
      </c>
      <c r="C371" s="14" t="s">
        <v>68</v>
      </c>
      <c r="D371" s="35" t="s">
        <v>489</v>
      </c>
      <c r="E371" s="35" t="s">
        <v>490</v>
      </c>
      <c r="F371" s="109" t="s">
        <v>491</v>
      </c>
      <c r="G371" s="226"/>
      <c r="H371" s="170">
        <f t="shared" si="39"/>
        <v>0</v>
      </c>
      <c r="I371" s="226"/>
      <c r="J371" s="226"/>
      <c r="Z371" s="35"/>
      <c r="AB371" s="77"/>
      <c r="AD371" s="29"/>
      <c r="AF371" s="142"/>
      <c r="AG371" s="143"/>
    </row>
    <row r="372" spans="1:33" ht="20.100000000000001" hidden="1" customHeight="1">
      <c r="A372" s="16" t="s">
        <v>26</v>
      </c>
      <c r="B372" s="16">
        <v>2022</v>
      </c>
      <c r="C372" s="14" t="s">
        <v>68</v>
      </c>
      <c r="D372" s="27" t="s">
        <v>202</v>
      </c>
      <c r="E372" s="35" t="s">
        <v>202</v>
      </c>
      <c r="F372" s="109" t="s">
        <v>202</v>
      </c>
      <c r="G372" s="226"/>
      <c r="H372" s="170">
        <f t="shared" si="39"/>
        <v>0</v>
      </c>
      <c r="I372" s="226"/>
      <c r="J372" s="226"/>
      <c r="Z372" s="35"/>
      <c r="AB372" s="77"/>
      <c r="AD372" s="29"/>
      <c r="AF372" s="142"/>
      <c r="AG372" s="143"/>
    </row>
    <row r="373" spans="1:33" ht="20.100000000000001" hidden="1" customHeight="1">
      <c r="A373" s="16" t="s">
        <v>26</v>
      </c>
      <c r="B373" s="16">
        <v>2023</v>
      </c>
      <c r="C373" s="14" t="s">
        <v>68</v>
      </c>
      <c r="D373" s="35" t="s">
        <v>471</v>
      </c>
      <c r="E373" s="35" t="s">
        <v>472</v>
      </c>
      <c r="F373" s="109" t="s">
        <v>471</v>
      </c>
      <c r="G373" s="226"/>
      <c r="H373" s="170">
        <f t="shared" ref="H373:H383" si="40">G373/0.924839558470698</f>
        <v>0</v>
      </c>
      <c r="I373" s="226"/>
      <c r="J373" s="226"/>
      <c r="Z373" s="35"/>
      <c r="AB373" s="77"/>
      <c r="AD373" s="29"/>
      <c r="AF373" s="142"/>
      <c r="AG373" s="143"/>
    </row>
    <row r="374" spans="1:33" ht="20.100000000000001" customHeight="1">
      <c r="A374" s="16" t="s">
        <v>26</v>
      </c>
      <c r="B374" s="16">
        <v>2023</v>
      </c>
      <c r="C374" s="14" t="s">
        <v>68</v>
      </c>
      <c r="D374" s="35" t="s">
        <v>404</v>
      </c>
      <c r="E374" s="35" t="s">
        <v>404</v>
      </c>
      <c r="F374" s="109" t="s">
        <v>473</v>
      </c>
      <c r="G374" s="226"/>
      <c r="H374" s="170">
        <f t="shared" si="40"/>
        <v>0</v>
      </c>
      <c r="I374" s="226"/>
      <c r="J374" s="226"/>
      <c r="Z374" s="35"/>
      <c r="AB374" s="77"/>
      <c r="AD374" s="29"/>
      <c r="AF374" s="142"/>
      <c r="AG374" s="143"/>
    </row>
    <row r="375" spans="1:33" ht="20.100000000000001" hidden="1" customHeight="1">
      <c r="A375" s="16" t="s">
        <v>26</v>
      </c>
      <c r="B375" s="16">
        <v>2023</v>
      </c>
      <c r="C375" s="14" t="s">
        <v>68</v>
      </c>
      <c r="D375" s="27" t="s">
        <v>202</v>
      </c>
      <c r="E375" s="35" t="s">
        <v>474</v>
      </c>
      <c r="F375" s="109" t="s">
        <v>474</v>
      </c>
      <c r="G375" s="226"/>
      <c r="H375" s="170">
        <f t="shared" si="40"/>
        <v>0</v>
      </c>
      <c r="I375" s="226"/>
      <c r="J375" s="226"/>
      <c r="Z375" s="35"/>
      <c r="AB375" s="77"/>
      <c r="AD375" s="29"/>
      <c r="AF375" s="142"/>
      <c r="AG375" s="143"/>
    </row>
    <row r="376" spans="1:33" ht="20.100000000000001" hidden="1" customHeight="1">
      <c r="A376" s="16" t="s">
        <v>26</v>
      </c>
      <c r="B376" s="16">
        <v>2023</v>
      </c>
      <c r="C376" s="14" t="s">
        <v>68</v>
      </c>
      <c r="D376" s="35" t="s">
        <v>475</v>
      </c>
      <c r="E376" s="35" t="s">
        <v>476</v>
      </c>
      <c r="F376" s="109" t="s">
        <v>477</v>
      </c>
      <c r="G376" s="226"/>
      <c r="H376" s="170">
        <f t="shared" si="40"/>
        <v>0</v>
      </c>
      <c r="I376" s="226"/>
      <c r="J376" s="226"/>
      <c r="Z376" s="35"/>
      <c r="AB376" s="77"/>
      <c r="AD376" s="29"/>
      <c r="AF376" s="142"/>
      <c r="AG376" s="143"/>
    </row>
    <row r="377" spans="1:33" ht="20.100000000000001" hidden="1" customHeight="1">
      <c r="A377" s="16" t="s">
        <v>26</v>
      </c>
      <c r="B377" s="16">
        <v>2023</v>
      </c>
      <c r="C377" s="14" t="s">
        <v>68</v>
      </c>
      <c r="D377" s="35" t="s">
        <v>478</v>
      </c>
      <c r="E377" s="35" t="s">
        <v>479</v>
      </c>
      <c r="F377" s="109" t="s">
        <v>480</v>
      </c>
      <c r="G377" s="226"/>
      <c r="H377" s="170">
        <f t="shared" si="40"/>
        <v>0</v>
      </c>
      <c r="I377" s="226"/>
      <c r="J377" s="226"/>
      <c r="Z377" s="35"/>
      <c r="AB377" s="77"/>
      <c r="AD377" s="29"/>
      <c r="AF377" s="142"/>
      <c r="AG377" s="143"/>
    </row>
    <row r="378" spans="1:33" ht="20.100000000000001" hidden="1" customHeight="1">
      <c r="A378" s="16" t="s">
        <v>26</v>
      </c>
      <c r="B378" s="16">
        <v>2023</v>
      </c>
      <c r="C378" s="14" t="s">
        <v>68</v>
      </c>
      <c r="D378" s="27" t="s">
        <v>202</v>
      </c>
      <c r="E378" s="35" t="s">
        <v>481</v>
      </c>
      <c r="F378" s="109" t="s">
        <v>481</v>
      </c>
      <c r="G378" s="226"/>
      <c r="H378" s="170">
        <f t="shared" si="40"/>
        <v>0</v>
      </c>
      <c r="I378" s="226"/>
      <c r="J378" s="226"/>
      <c r="Z378" s="35"/>
      <c r="AB378" s="77"/>
      <c r="AD378" s="29"/>
      <c r="AF378" s="142"/>
      <c r="AG378" s="143"/>
    </row>
    <row r="379" spans="1:33" ht="20.100000000000001" hidden="1" customHeight="1">
      <c r="A379" s="16" t="s">
        <v>26</v>
      </c>
      <c r="B379" s="16">
        <v>2023</v>
      </c>
      <c r="C379" s="14" t="s">
        <v>68</v>
      </c>
      <c r="D379" s="35" t="s">
        <v>482</v>
      </c>
      <c r="E379" s="35" t="s">
        <v>483</v>
      </c>
      <c r="F379" s="109" t="s">
        <v>483</v>
      </c>
      <c r="G379" s="226"/>
      <c r="H379" s="170">
        <f t="shared" si="40"/>
        <v>0</v>
      </c>
      <c r="I379" s="226"/>
      <c r="J379" s="226"/>
      <c r="Z379" s="35"/>
      <c r="AB379" s="77"/>
      <c r="AD379" s="29"/>
      <c r="AF379" s="142"/>
      <c r="AG379" s="143"/>
    </row>
    <row r="380" spans="1:33" ht="20.100000000000001" hidden="1" customHeight="1">
      <c r="A380" s="16" t="s">
        <v>26</v>
      </c>
      <c r="B380" s="16">
        <v>2023</v>
      </c>
      <c r="C380" s="14" t="s">
        <v>68</v>
      </c>
      <c r="D380" s="35" t="s">
        <v>484</v>
      </c>
      <c r="E380" s="35" t="s">
        <v>485</v>
      </c>
      <c r="F380" s="109" t="s">
        <v>486</v>
      </c>
      <c r="G380" s="226"/>
      <c r="H380" s="170">
        <f t="shared" si="40"/>
        <v>0</v>
      </c>
      <c r="I380" s="226"/>
      <c r="J380" s="226"/>
      <c r="Z380" s="35"/>
      <c r="AB380" s="77"/>
      <c r="AD380" s="29"/>
      <c r="AF380" s="142"/>
      <c r="AG380" s="143"/>
    </row>
    <row r="381" spans="1:33" ht="20.100000000000001" hidden="1" customHeight="1">
      <c r="A381" s="16" t="s">
        <v>26</v>
      </c>
      <c r="B381" s="16">
        <v>2023</v>
      </c>
      <c r="C381" s="14" t="s">
        <v>68</v>
      </c>
      <c r="D381" s="35" t="s">
        <v>487</v>
      </c>
      <c r="E381" s="35" t="s">
        <v>488</v>
      </c>
      <c r="F381" s="109" t="s">
        <v>488</v>
      </c>
      <c r="G381" s="226"/>
      <c r="H381" s="170">
        <f t="shared" si="40"/>
        <v>0</v>
      </c>
      <c r="I381" s="226"/>
      <c r="J381" s="226"/>
      <c r="Z381" s="35"/>
      <c r="AB381" s="77"/>
      <c r="AD381" s="29"/>
      <c r="AF381" s="142"/>
      <c r="AG381" s="143"/>
    </row>
    <row r="382" spans="1:33" ht="20.100000000000001" hidden="1" customHeight="1">
      <c r="A382" s="16" t="s">
        <v>26</v>
      </c>
      <c r="B382" s="16">
        <v>2023</v>
      </c>
      <c r="C382" s="14" t="s">
        <v>68</v>
      </c>
      <c r="D382" s="35" t="s">
        <v>489</v>
      </c>
      <c r="E382" s="35" t="s">
        <v>490</v>
      </c>
      <c r="F382" s="109" t="s">
        <v>491</v>
      </c>
      <c r="G382" s="226"/>
      <c r="H382" s="170">
        <f t="shared" si="40"/>
        <v>0</v>
      </c>
      <c r="I382" s="226"/>
      <c r="J382" s="226"/>
      <c r="Z382" s="35"/>
      <c r="AB382" s="77"/>
      <c r="AD382" s="29"/>
      <c r="AF382" s="142"/>
      <c r="AG382" s="143"/>
    </row>
    <row r="383" spans="1:33" ht="20.100000000000001" hidden="1" customHeight="1">
      <c r="A383" s="16" t="s">
        <v>26</v>
      </c>
      <c r="B383" s="16">
        <v>2023</v>
      </c>
      <c r="C383" s="14" t="s">
        <v>68</v>
      </c>
      <c r="D383" s="27" t="s">
        <v>202</v>
      </c>
      <c r="E383" s="35" t="s">
        <v>202</v>
      </c>
      <c r="F383" s="109" t="s">
        <v>202</v>
      </c>
      <c r="G383" s="226"/>
      <c r="H383" s="170">
        <f t="shared" si="40"/>
        <v>0</v>
      </c>
      <c r="I383" s="226"/>
      <c r="J383" s="226"/>
      <c r="Z383" s="35"/>
      <c r="AB383" s="77"/>
      <c r="AD383" s="29"/>
      <c r="AF383" s="142"/>
      <c r="AG383" s="143"/>
    </row>
    <row r="384" spans="1:33" ht="20.100000000000001" hidden="1" customHeight="1">
      <c r="A384" s="16" t="s">
        <v>26</v>
      </c>
      <c r="B384" s="16">
        <v>1989</v>
      </c>
      <c r="C384" s="14" t="s">
        <v>70</v>
      </c>
      <c r="D384" s="27" t="s">
        <v>492</v>
      </c>
      <c r="E384" s="17"/>
      <c r="F384" s="17"/>
      <c r="G384" s="234"/>
      <c r="H384" s="234"/>
      <c r="I384" s="226">
        <v>26.7</v>
      </c>
      <c r="J384" s="226"/>
      <c r="Y384" s="27"/>
      <c r="Z384" s="35"/>
      <c r="AB384" s="77"/>
      <c r="AD384" s="29"/>
      <c r="AG384" s="279" t="s">
        <v>493</v>
      </c>
    </row>
    <row r="385" spans="1:33" ht="20.100000000000001" hidden="1" customHeight="1">
      <c r="A385" s="16" t="s">
        <v>26</v>
      </c>
      <c r="B385" s="140">
        <v>1989</v>
      </c>
      <c r="C385" s="104" t="s">
        <v>70</v>
      </c>
      <c r="D385" s="90" t="s">
        <v>494</v>
      </c>
      <c r="E385" s="45" t="s">
        <v>495</v>
      </c>
      <c r="G385" s="169"/>
      <c r="H385" s="169"/>
      <c r="I385" s="229">
        <v>6</v>
      </c>
      <c r="J385" s="229"/>
      <c r="Y385" s="27"/>
      <c r="Z385" s="35"/>
      <c r="AB385" s="77"/>
      <c r="AD385" s="29"/>
      <c r="AG385" s="86" t="s">
        <v>496</v>
      </c>
    </row>
    <row r="386" spans="1:33" ht="20.100000000000001" hidden="1" customHeight="1">
      <c r="A386" s="16" t="s">
        <v>26</v>
      </c>
      <c r="B386" s="140">
        <v>1989</v>
      </c>
      <c r="C386" s="104" t="s">
        <v>70</v>
      </c>
      <c r="D386" s="77" t="s">
        <v>497</v>
      </c>
      <c r="E386" s="45" t="s">
        <v>498</v>
      </c>
      <c r="G386" s="169"/>
      <c r="H386" s="169"/>
      <c r="I386" s="229">
        <v>3.6</v>
      </c>
      <c r="J386" s="229"/>
      <c r="Y386" s="27"/>
      <c r="Z386" s="35"/>
      <c r="AB386" s="77"/>
      <c r="AD386" s="29"/>
      <c r="AF386" s="142"/>
      <c r="AG386" s="149"/>
    </row>
    <row r="387" spans="1:33" ht="20.100000000000001" hidden="1" customHeight="1">
      <c r="A387" s="16" t="s">
        <v>26</v>
      </c>
      <c r="B387" s="140">
        <v>1989</v>
      </c>
      <c r="C387" s="104" t="s">
        <v>70</v>
      </c>
      <c r="D387" s="77" t="s">
        <v>499</v>
      </c>
      <c r="G387" s="169"/>
      <c r="H387" s="169"/>
      <c r="I387" s="229">
        <v>3.3</v>
      </c>
      <c r="J387" s="229"/>
      <c r="Y387" s="27"/>
      <c r="AB387" s="77"/>
      <c r="AD387" s="29"/>
      <c r="AF387" s="142"/>
      <c r="AG387" s="149"/>
    </row>
    <row r="388" spans="1:33" ht="20.100000000000001" hidden="1" customHeight="1">
      <c r="A388" s="16" t="s">
        <v>26</v>
      </c>
      <c r="B388" s="140">
        <v>1989</v>
      </c>
      <c r="C388" s="104" t="s">
        <v>70</v>
      </c>
      <c r="D388" s="45" t="s">
        <v>500</v>
      </c>
      <c r="E388" s="45" t="s">
        <v>500</v>
      </c>
      <c r="F388" s="45" t="s">
        <v>500</v>
      </c>
      <c r="G388" s="169"/>
      <c r="H388" s="169"/>
      <c r="I388" s="229">
        <v>3.2</v>
      </c>
      <c r="J388" s="229"/>
      <c r="Y388" s="27"/>
      <c r="AB388" s="77"/>
      <c r="AD388" s="29"/>
      <c r="AG388" s="86" t="s">
        <v>501</v>
      </c>
    </row>
    <row r="389" spans="1:33" ht="20.100000000000001" hidden="1" customHeight="1">
      <c r="A389" s="16" t="s">
        <v>26</v>
      </c>
      <c r="B389" s="140">
        <v>1989</v>
      </c>
      <c r="C389" s="104" t="s">
        <v>70</v>
      </c>
      <c r="D389" s="77" t="s">
        <v>502</v>
      </c>
      <c r="G389" s="169"/>
      <c r="H389" s="169"/>
      <c r="I389" s="229">
        <v>3</v>
      </c>
      <c r="J389" s="229"/>
      <c r="Y389" s="27"/>
      <c r="AB389" s="77"/>
      <c r="AD389" s="29"/>
      <c r="AF389" s="142"/>
      <c r="AG389" s="149"/>
    </row>
    <row r="390" spans="1:33" ht="20.100000000000001" hidden="1" customHeight="1">
      <c r="A390" s="16" t="s">
        <v>26</v>
      </c>
      <c r="B390" s="140">
        <v>1989</v>
      </c>
      <c r="C390" s="104" t="s">
        <v>70</v>
      </c>
      <c r="D390" s="77" t="s">
        <v>503</v>
      </c>
      <c r="G390" s="169"/>
      <c r="H390" s="169"/>
      <c r="I390" s="229">
        <v>2.4</v>
      </c>
      <c r="J390" s="229"/>
      <c r="Y390" s="27"/>
      <c r="AB390" s="77"/>
      <c r="AD390" s="29"/>
      <c r="AF390" s="142"/>
      <c r="AG390" s="149"/>
    </row>
    <row r="391" spans="1:33" ht="20.100000000000001" hidden="1" customHeight="1">
      <c r="A391" s="16" t="s">
        <v>26</v>
      </c>
      <c r="B391" s="140">
        <v>1989</v>
      </c>
      <c r="C391" s="104" t="s">
        <v>70</v>
      </c>
      <c r="D391" s="27" t="s">
        <v>451</v>
      </c>
      <c r="G391" s="169"/>
      <c r="H391" s="169"/>
      <c r="I391" s="229">
        <v>1.9</v>
      </c>
      <c r="J391" s="229"/>
      <c r="Y391" s="27"/>
      <c r="AB391" s="77"/>
      <c r="AD391" s="29"/>
      <c r="AF391" s="142"/>
      <c r="AG391" s="149"/>
    </row>
    <row r="392" spans="1:33" ht="20.100000000000001" hidden="1" customHeight="1">
      <c r="A392" s="16" t="s">
        <v>26</v>
      </c>
      <c r="B392" s="140">
        <v>1989</v>
      </c>
      <c r="C392" s="104" t="s">
        <v>70</v>
      </c>
      <c r="D392" s="27" t="s">
        <v>202</v>
      </c>
      <c r="G392" s="169"/>
      <c r="H392" s="169"/>
      <c r="I392" s="229">
        <v>49.9</v>
      </c>
      <c r="J392" s="229"/>
      <c r="Y392" s="27"/>
      <c r="AB392" s="77"/>
      <c r="AD392" s="29"/>
      <c r="AF392" s="142"/>
      <c r="AG392" s="149"/>
    </row>
    <row r="393" spans="1:33" ht="20.100000000000001" hidden="1" customHeight="1">
      <c r="A393" s="16" t="s">
        <v>26</v>
      </c>
      <c r="B393" s="140">
        <v>1993</v>
      </c>
      <c r="C393" s="104" t="s">
        <v>70</v>
      </c>
      <c r="D393" s="77" t="s">
        <v>504</v>
      </c>
      <c r="G393" s="169"/>
      <c r="H393" s="169"/>
      <c r="I393" s="229">
        <v>22.8</v>
      </c>
      <c r="J393" s="229"/>
      <c r="Y393" s="27"/>
      <c r="AB393" s="77"/>
      <c r="AD393" s="29"/>
      <c r="AF393" s="142"/>
      <c r="AG393" s="149"/>
    </row>
    <row r="394" spans="1:33" ht="20.100000000000001" hidden="1" customHeight="1">
      <c r="A394" s="16" t="s">
        <v>26</v>
      </c>
      <c r="B394" s="140">
        <v>1993</v>
      </c>
      <c r="C394" s="104" t="s">
        <v>70</v>
      </c>
      <c r="D394" s="45" t="s">
        <v>500</v>
      </c>
      <c r="E394" s="45" t="s">
        <v>500</v>
      </c>
      <c r="F394" s="45" t="s">
        <v>500</v>
      </c>
      <c r="G394" s="169"/>
      <c r="H394" s="169"/>
      <c r="I394" s="229">
        <v>5.2</v>
      </c>
      <c r="J394" s="229"/>
      <c r="Y394" s="27"/>
      <c r="AB394" s="77"/>
      <c r="AD394" s="29"/>
      <c r="AF394" s="142"/>
      <c r="AG394" s="149"/>
    </row>
    <row r="395" spans="1:33" ht="20.100000000000001" hidden="1" customHeight="1">
      <c r="A395" s="16" t="s">
        <v>26</v>
      </c>
      <c r="B395" s="140">
        <v>1993</v>
      </c>
      <c r="C395" s="104" t="s">
        <v>70</v>
      </c>
      <c r="D395" s="77" t="s">
        <v>497</v>
      </c>
      <c r="E395" s="45" t="s">
        <v>498</v>
      </c>
      <c r="G395" s="169"/>
      <c r="H395" s="169"/>
      <c r="I395" s="229">
        <v>3.3</v>
      </c>
      <c r="J395" s="229"/>
      <c r="Y395" s="27"/>
      <c r="AB395" s="77"/>
      <c r="AD395" s="29"/>
      <c r="AF395" s="142"/>
      <c r="AG395" s="149"/>
    </row>
    <row r="396" spans="1:33" ht="20.100000000000001" hidden="1" customHeight="1">
      <c r="A396" s="16" t="s">
        <v>26</v>
      </c>
      <c r="B396" s="140">
        <v>1993</v>
      </c>
      <c r="C396" s="104" t="s">
        <v>70</v>
      </c>
      <c r="D396" s="90" t="s">
        <v>494</v>
      </c>
      <c r="E396" s="45" t="s">
        <v>495</v>
      </c>
      <c r="G396" s="169"/>
      <c r="H396" s="169"/>
      <c r="I396" s="229">
        <v>5.6</v>
      </c>
      <c r="J396" s="229"/>
      <c r="Y396" s="27"/>
      <c r="AB396" s="77"/>
      <c r="AD396" s="29"/>
      <c r="AG396" s="86" t="s">
        <v>496</v>
      </c>
    </row>
    <row r="397" spans="1:33" ht="20.100000000000001" hidden="1" customHeight="1">
      <c r="A397" s="16" t="s">
        <v>26</v>
      </c>
      <c r="B397" s="140">
        <v>1993</v>
      </c>
      <c r="C397" s="104" t="s">
        <v>70</v>
      </c>
      <c r="D397" s="77" t="s">
        <v>499</v>
      </c>
      <c r="G397" s="169"/>
      <c r="H397" s="169"/>
      <c r="I397" s="229">
        <v>4.5</v>
      </c>
      <c r="J397" s="229"/>
      <c r="Y397" s="27"/>
      <c r="AB397" s="77"/>
      <c r="AD397" s="29"/>
      <c r="AF397" s="142"/>
      <c r="AG397" s="149"/>
    </row>
    <row r="398" spans="1:33" ht="20.100000000000001" hidden="1" customHeight="1">
      <c r="A398" s="16" t="s">
        <v>26</v>
      </c>
      <c r="B398" s="140">
        <v>1993</v>
      </c>
      <c r="C398" s="104" t="s">
        <v>70</v>
      </c>
      <c r="D398" s="77" t="s">
        <v>502</v>
      </c>
      <c r="G398" s="169"/>
      <c r="H398" s="169"/>
      <c r="I398" s="229">
        <v>2.7</v>
      </c>
      <c r="J398" s="229"/>
      <c r="Y398" s="27"/>
      <c r="AB398" s="77"/>
      <c r="AD398" s="29"/>
      <c r="AF398" s="142"/>
      <c r="AG398" s="149"/>
    </row>
    <row r="399" spans="1:33" ht="20.100000000000001" hidden="1" customHeight="1">
      <c r="A399" s="16" t="s">
        <v>26</v>
      </c>
      <c r="B399" s="140">
        <v>1993</v>
      </c>
      <c r="C399" s="104" t="s">
        <v>70</v>
      </c>
      <c r="D399" s="9" t="s">
        <v>505</v>
      </c>
      <c r="G399" s="169"/>
      <c r="H399" s="169"/>
      <c r="I399" s="229">
        <v>2.5</v>
      </c>
      <c r="J399" s="229"/>
      <c r="Y399" s="27"/>
      <c r="AB399" s="77"/>
      <c r="AD399" s="29"/>
      <c r="AF399" s="142"/>
      <c r="AG399" s="149"/>
    </row>
    <row r="400" spans="1:33" ht="20.100000000000001" hidden="1" customHeight="1">
      <c r="A400" s="16" t="s">
        <v>26</v>
      </c>
      <c r="B400" s="140">
        <v>1993</v>
      </c>
      <c r="C400" s="104" t="s">
        <v>70</v>
      </c>
      <c r="D400" s="77" t="s">
        <v>503</v>
      </c>
      <c r="G400" s="169"/>
      <c r="H400" s="169"/>
      <c r="I400" s="229">
        <v>3.1</v>
      </c>
      <c r="J400" s="229"/>
      <c r="Y400" s="27"/>
      <c r="AB400" s="77"/>
      <c r="AD400" s="29"/>
      <c r="AF400" s="142"/>
      <c r="AG400" s="149"/>
    </row>
    <row r="401" spans="1:33" ht="20.100000000000001" hidden="1" customHeight="1">
      <c r="A401" s="16" t="s">
        <v>26</v>
      </c>
      <c r="B401" s="140">
        <v>1993</v>
      </c>
      <c r="C401" s="104" t="s">
        <v>70</v>
      </c>
      <c r="D401" s="27" t="s">
        <v>451</v>
      </c>
      <c r="G401" s="169"/>
      <c r="H401" s="169"/>
      <c r="I401" s="229">
        <v>2.1</v>
      </c>
      <c r="J401" s="229"/>
      <c r="Y401" s="27"/>
      <c r="AB401" s="77"/>
      <c r="AD401" s="29"/>
      <c r="AF401" s="142"/>
      <c r="AG401" s="149"/>
    </row>
    <row r="402" spans="1:33" ht="20.100000000000001" hidden="1" customHeight="1">
      <c r="A402" s="16" t="s">
        <v>26</v>
      </c>
      <c r="B402" s="140">
        <v>1993</v>
      </c>
      <c r="C402" s="104" t="s">
        <v>70</v>
      </c>
      <c r="D402" s="77" t="s">
        <v>482</v>
      </c>
      <c r="E402" s="45" t="s">
        <v>506</v>
      </c>
      <c r="G402" s="169"/>
      <c r="H402" s="169"/>
      <c r="I402" s="229">
        <v>3.8</v>
      </c>
      <c r="J402" s="229"/>
      <c r="Y402" s="27"/>
      <c r="AB402" s="77"/>
      <c r="AD402" s="29"/>
      <c r="AG402" s="86" t="s">
        <v>507</v>
      </c>
    </row>
    <row r="403" spans="1:33" ht="20.100000000000001" hidden="1" customHeight="1">
      <c r="A403" s="16" t="s">
        <v>26</v>
      </c>
      <c r="B403" s="140">
        <v>1993</v>
      </c>
      <c r="C403" s="104" t="s">
        <v>70</v>
      </c>
      <c r="D403" s="27" t="s">
        <v>202</v>
      </c>
      <c r="G403" s="169"/>
      <c r="H403" s="169"/>
      <c r="I403" s="229">
        <v>44.4</v>
      </c>
      <c r="J403" s="229"/>
      <c r="Y403" s="27"/>
      <c r="AB403" s="77"/>
      <c r="AD403" s="29"/>
      <c r="AF403" s="142"/>
      <c r="AG403" s="149"/>
    </row>
    <row r="404" spans="1:33" ht="20.100000000000001" hidden="1" customHeight="1">
      <c r="A404" s="16" t="s">
        <v>26</v>
      </c>
      <c r="B404" s="140">
        <v>1997</v>
      </c>
      <c r="C404" s="104" t="s">
        <v>70</v>
      </c>
      <c r="D404" s="77" t="s">
        <v>504</v>
      </c>
      <c r="G404" s="169"/>
      <c r="H404" s="169"/>
      <c r="I404" s="229">
        <v>23.7</v>
      </c>
      <c r="J404" s="229"/>
      <c r="Y404" s="27"/>
      <c r="AB404" s="77"/>
      <c r="AD404" s="29"/>
      <c r="AF404" s="142"/>
      <c r="AG404" s="149"/>
    </row>
    <row r="405" spans="1:33" ht="20.100000000000001" hidden="1" customHeight="1">
      <c r="A405" s="16" t="s">
        <v>26</v>
      </c>
      <c r="B405" s="140">
        <v>1997</v>
      </c>
      <c r="C405" s="104" t="s">
        <v>70</v>
      </c>
      <c r="D405" s="45" t="s">
        <v>500</v>
      </c>
      <c r="E405" s="45" t="s">
        <v>500</v>
      </c>
      <c r="F405" s="45" t="s">
        <v>500</v>
      </c>
      <c r="G405" s="169"/>
      <c r="H405" s="169"/>
      <c r="I405" s="229">
        <v>5</v>
      </c>
      <c r="J405" s="229"/>
      <c r="Y405" s="27"/>
      <c r="AB405" s="77"/>
      <c r="AD405" s="34"/>
      <c r="AF405" s="142"/>
      <c r="AG405" s="149"/>
    </row>
    <row r="406" spans="1:33" ht="20.100000000000001" hidden="1" customHeight="1">
      <c r="A406" s="16" t="s">
        <v>26</v>
      </c>
      <c r="B406" s="140">
        <v>1997</v>
      </c>
      <c r="C406" s="104" t="s">
        <v>70</v>
      </c>
      <c r="D406" s="77" t="s">
        <v>497</v>
      </c>
      <c r="E406" s="45" t="s">
        <v>498</v>
      </c>
      <c r="G406" s="169"/>
      <c r="H406" s="169"/>
      <c r="I406" s="229">
        <v>3.2</v>
      </c>
      <c r="J406" s="229"/>
      <c r="Y406" s="27"/>
      <c r="AB406" s="77"/>
      <c r="AD406" s="34"/>
      <c r="AF406" s="142"/>
      <c r="AG406" s="149"/>
    </row>
    <row r="407" spans="1:33" ht="20.100000000000001" hidden="1" customHeight="1">
      <c r="A407" s="16" t="s">
        <v>26</v>
      </c>
      <c r="B407" s="140">
        <v>1997</v>
      </c>
      <c r="C407" s="104" t="s">
        <v>70</v>
      </c>
      <c r="D407" s="90" t="s">
        <v>494</v>
      </c>
      <c r="E407" s="45" t="s">
        <v>495</v>
      </c>
      <c r="G407" s="169"/>
      <c r="H407" s="169"/>
      <c r="I407" s="229">
        <v>5.9</v>
      </c>
      <c r="J407" s="229"/>
      <c r="Y407" s="27"/>
      <c r="AB407" s="77"/>
      <c r="AD407" s="34"/>
      <c r="AG407" s="86" t="s">
        <v>496</v>
      </c>
    </row>
    <row r="408" spans="1:33" ht="20.100000000000001" hidden="1" customHeight="1">
      <c r="A408" s="16" t="s">
        <v>26</v>
      </c>
      <c r="B408" s="140">
        <v>1997</v>
      </c>
      <c r="C408" s="104" t="s">
        <v>70</v>
      </c>
      <c r="D408" s="77" t="s">
        <v>499</v>
      </c>
      <c r="G408" s="169"/>
      <c r="H408" s="169"/>
      <c r="I408" s="229">
        <v>4</v>
      </c>
      <c r="J408" s="229"/>
      <c r="Y408" s="27"/>
      <c r="AB408" s="77"/>
      <c r="AD408" s="34"/>
      <c r="AF408" s="142"/>
      <c r="AG408" s="149"/>
    </row>
    <row r="409" spans="1:33" ht="20.100000000000001" hidden="1" customHeight="1">
      <c r="A409" s="16" t="s">
        <v>26</v>
      </c>
      <c r="B409" s="140">
        <v>1997</v>
      </c>
      <c r="C409" s="104" t="s">
        <v>70</v>
      </c>
      <c r="D409" s="77" t="s">
        <v>502</v>
      </c>
      <c r="G409" s="169"/>
      <c r="H409" s="169"/>
      <c r="I409" s="229">
        <v>2.7</v>
      </c>
      <c r="J409" s="229"/>
      <c r="Y409" s="27"/>
      <c r="AB409" s="77"/>
      <c r="AD409" s="34"/>
      <c r="AF409" s="142"/>
      <c r="AG409" s="149"/>
    </row>
    <row r="410" spans="1:33" ht="20.100000000000001" hidden="1" customHeight="1">
      <c r="A410" s="16" t="s">
        <v>26</v>
      </c>
      <c r="B410" s="140">
        <v>1997</v>
      </c>
      <c r="C410" s="104" t="s">
        <v>70</v>
      </c>
      <c r="D410" s="9" t="s">
        <v>505</v>
      </c>
      <c r="G410" s="169"/>
      <c r="H410" s="169"/>
      <c r="I410" s="229">
        <v>2.5</v>
      </c>
      <c r="J410" s="229"/>
      <c r="Y410" s="27"/>
      <c r="AB410" s="77"/>
      <c r="AD410" s="34"/>
      <c r="AF410" s="142"/>
      <c r="AG410" s="149"/>
    </row>
    <row r="411" spans="1:33" ht="20.100000000000001" hidden="1" customHeight="1">
      <c r="A411" s="16" t="s">
        <v>26</v>
      </c>
      <c r="B411" s="140">
        <v>1997</v>
      </c>
      <c r="C411" s="104" t="s">
        <v>70</v>
      </c>
      <c r="D411" s="77" t="s">
        <v>503</v>
      </c>
      <c r="G411" s="169"/>
      <c r="H411" s="169"/>
      <c r="I411" s="229">
        <v>3</v>
      </c>
      <c r="J411" s="229"/>
      <c r="Y411" s="27"/>
      <c r="AB411" s="77"/>
      <c r="AD411" s="34"/>
      <c r="AF411" s="142"/>
      <c r="AG411" s="149"/>
    </row>
    <row r="412" spans="1:33" ht="20.100000000000001" hidden="1" customHeight="1">
      <c r="A412" s="16" t="s">
        <v>26</v>
      </c>
      <c r="B412" s="140">
        <v>1997</v>
      </c>
      <c r="C412" s="104" t="s">
        <v>70</v>
      </c>
      <c r="D412" s="27" t="s">
        <v>451</v>
      </c>
      <c r="G412" s="169"/>
      <c r="H412" s="169"/>
      <c r="I412" s="229">
        <v>2.2999999999999998</v>
      </c>
      <c r="J412" s="229"/>
      <c r="Y412" s="27"/>
      <c r="AB412" s="77"/>
      <c r="AD412" s="34"/>
      <c r="AF412" s="142"/>
      <c r="AG412" s="149"/>
    </row>
    <row r="413" spans="1:33" ht="20.100000000000001" hidden="1" customHeight="1">
      <c r="A413" s="16" t="s">
        <v>26</v>
      </c>
      <c r="B413" s="140">
        <v>1997</v>
      </c>
      <c r="C413" s="104" t="s">
        <v>70</v>
      </c>
      <c r="D413" s="77" t="s">
        <v>482</v>
      </c>
      <c r="E413" s="45" t="s">
        <v>506</v>
      </c>
      <c r="G413" s="169"/>
      <c r="H413" s="169"/>
      <c r="I413" s="229">
        <v>3.4</v>
      </c>
      <c r="J413" s="229"/>
      <c r="Y413" s="27"/>
      <c r="AB413" s="77"/>
      <c r="AD413" s="34"/>
      <c r="AF413" s="142"/>
      <c r="AG413" s="149"/>
    </row>
    <row r="414" spans="1:33" ht="20.100000000000001" hidden="1" customHeight="1">
      <c r="A414" s="16" t="s">
        <v>26</v>
      </c>
      <c r="B414" s="140">
        <v>1997</v>
      </c>
      <c r="C414" s="104" t="s">
        <v>70</v>
      </c>
      <c r="D414" s="27" t="s">
        <v>202</v>
      </c>
      <c r="E414" s="45" t="s">
        <v>287</v>
      </c>
      <c r="G414" s="169"/>
      <c r="H414" s="169"/>
      <c r="I414" s="229">
        <v>44.3</v>
      </c>
      <c r="J414" s="229"/>
      <c r="Y414" s="27"/>
      <c r="AB414" s="77"/>
      <c r="AD414" s="34"/>
      <c r="AF414" s="142"/>
      <c r="AG414" s="149"/>
    </row>
    <row r="415" spans="1:33" ht="20.100000000000001" hidden="1" customHeight="1">
      <c r="A415" s="16" t="s">
        <v>26</v>
      </c>
      <c r="B415" s="140">
        <v>2000</v>
      </c>
      <c r="C415" s="104" t="s">
        <v>70</v>
      </c>
      <c r="D415" s="77" t="s">
        <v>504</v>
      </c>
      <c r="G415" s="168">
        <v>2414.2800000000002</v>
      </c>
      <c r="H415" s="168">
        <f>G415/1.08270508132602</f>
        <v>2229.8593048470434</v>
      </c>
      <c r="I415" s="170">
        <v>23.6</v>
      </c>
      <c r="Y415" s="27"/>
      <c r="AB415" s="77"/>
      <c r="AD415" s="34"/>
      <c r="AF415" s="142"/>
      <c r="AG415" s="149"/>
    </row>
    <row r="416" spans="1:33" ht="20.100000000000001" hidden="1" customHeight="1">
      <c r="A416" s="16" t="s">
        <v>26</v>
      </c>
      <c r="B416" s="140">
        <v>2000</v>
      </c>
      <c r="C416" s="104" t="s">
        <v>70</v>
      </c>
      <c r="D416" s="45" t="s">
        <v>500</v>
      </c>
      <c r="E416" s="45" t="s">
        <v>500</v>
      </c>
      <c r="F416" s="45" t="s">
        <v>500</v>
      </c>
      <c r="G416" s="168">
        <v>511.5</v>
      </c>
      <c r="H416" s="168">
        <f t="shared" ref="H416:H425" si="41">G416/1.08270508132602</f>
        <v>472.42781882352608</v>
      </c>
      <c r="I416" s="170">
        <v>5</v>
      </c>
      <c r="Y416" s="27"/>
      <c r="AB416" s="77"/>
      <c r="AD416" s="34"/>
      <c r="AF416" s="142"/>
      <c r="AG416" s="149"/>
    </row>
    <row r="417" spans="1:33" ht="20.100000000000001" hidden="1" customHeight="1">
      <c r="A417" s="16" t="s">
        <v>26</v>
      </c>
      <c r="B417" s="140">
        <v>2000</v>
      </c>
      <c r="C417" s="104" t="s">
        <v>70</v>
      </c>
      <c r="D417" s="77" t="s">
        <v>497</v>
      </c>
      <c r="E417" s="45" t="s">
        <v>498</v>
      </c>
      <c r="G417" s="168">
        <v>337.59000000000003</v>
      </c>
      <c r="H417" s="168">
        <f t="shared" si="41"/>
        <v>311.8023604235272</v>
      </c>
      <c r="I417" s="170">
        <v>3.3</v>
      </c>
      <c r="Y417" s="27"/>
      <c r="AB417" s="77"/>
      <c r="AD417" s="34"/>
      <c r="AF417" s="142"/>
      <c r="AG417" s="149"/>
    </row>
    <row r="418" spans="1:33" ht="20.100000000000001" hidden="1" customHeight="1">
      <c r="A418" s="16" t="s">
        <v>26</v>
      </c>
      <c r="B418" s="140">
        <v>2000</v>
      </c>
      <c r="C418" s="104" t="s">
        <v>70</v>
      </c>
      <c r="D418" s="90" t="s">
        <v>494</v>
      </c>
      <c r="E418" s="45" t="s">
        <v>495</v>
      </c>
      <c r="G418" s="168">
        <v>613.79999999999995</v>
      </c>
      <c r="H418" s="168">
        <f t="shared" si="41"/>
        <v>566.91338258823123</v>
      </c>
      <c r="I418" s="170">
        <v>6</v>
      </c>
      <c r="Y418" s="27"/>
      <c r="AB418" s="77"/>
      <c r="AD418" s="34"/>
      <c r="AG418" s="86" t="s">
        <v>508</v>
      </c>
    </row>
    <row r="419" spans="1:33" ht="20.100000000000001" hidden="1" customHeight="1">
      <c r="A419" s="16" t="s">
        <v>26</v>
      </c>
      <c r="B419" s="140">
        <v>2000</v>
      </c>
      <c r="C419" s="104" t="s">
        <v>70</v>
      </c>
      <c r="D419" s="77" t="s">
        <v>499</v>
      </c>
      <c r="G419" s="168">
        <v>450.12000000000006</v>
      </c>
      <c r="H419" s="168">
        <f t="shared" si="41"/>
        <v>415.73648056470302</v>
      </c>
      <c r="I419" s="170">
        <v>4.4000000000000004</v>
      </c>
      <c r="Y419" s="27"/>
      <c r="AB419" s="77"/>
      <c r="AD419" s="34"/>
      <c r="AF419" s="142"/>
      <c r="AG419" s="149"/>
    </row>
    <row r="420" spans="1:33" ht="20.100000000000001" hidden="1" customHeight="1">
      <c r="A420" s="16" t="s">
        <v>26</v>
      </c>
      <c r="B420" s="140">
        <v>2000</v>
      </c>
      <c r="C420" s="104" t="s">
        <v>70</v>
      </c>
      <c r="D420" s="77" t="s">
        <v>502</v>
      </c>
      <c r="G420" s="168">
        <v>296.66999999999996</v>
      </c>
      <c r="H420" s="168">
        <f t="shared" si="41"/>
        <v>274.00813491764507</v>
      </c>
      <c r="I420" s="170">
        <v>2.9</v>
      </c>
      <c r="Y420" s="27"/>
      <c r="AB420" s="77"/>
      <c r="AD420" s="34"/>
      <c r="AF420" s="142"/>
      <c r="AG420" s="149"/>
    </row>
    <row r="421" spans="1:33" ht="20.100000000000001" hidden="1" customHeight="1">
      <c r="A421" s="16" t="s">
        <v>26</v>
      </c>
      <c r="B421" s="140">
        <v>2000</v>
      </c>
      <c r="C421" s="104" t="s">
        <v>70</v>
      </c>
      <c r="D421" s="9" t="s">
        <v>505</v>
      </c>
      <c r="G421" s="168">
        <v>255.75</v>
      </c>
      <c r="H421" s="168">
        <f t="shared" si="41"/>
        <v>236.21390941176304</v>
      </c>
      <c r="I421" s="170">
        <v>2.5</v>
      </c>
      <c r="Y421" s="27"/>
      <c r="AB421" s="77"/>
      <c r="AD421" s="34"/>
      <c r="AF421" s="142"/>
      <c r="AG421" s="149"/>
    </row>
    <row r="422" spans="1:33" ht="20.100000000000001" hidden="1" customHeight="1">
      <c r="A422" s="16" t="s">
        <v>26</v>
      </c>
      <c r="B422" s="140">
        <v>2000</v>
      </c>
      <c r="C422" s="104" t="s">
        <v>70</v>
      </c>
      <c r="D422" s="77" t="s">
        <v>503</v>
      </c>
      <c r="G422" s="168">
        <v>306.89999999999998</v>
      </c>
      <c r="H422" s="168">
        <f t="shared" si="41"/>
        <v>283.45669129411561</v>
      </c>
      <c r="I422" s="170">
        <v>3</v>
      </c>
      <c r="Y422" s="27"/>
      <c r="AB422" s="77"/>
      <c r="AD422" s="34"/>
      <c r="AF422" s="142"/>
      <c r="AG422" s="149"/>
    </row>
    <row r="423" spans="1:33" ht="20.100000000000001" hidden="1" customHeight="1">
      <c r="A423" s="16" t="s">
        <v>26</v>
      </c>
      <c r="B423" s="140">
        <v>2000</v>
      </c>
      <c r="C423" s="104" t="s">
        <v>70</v>
      </c>
      <c r="D423" s="27" t="s">
        <v>451</v>
      </c>
      <c r="G423" s="168">
        <v>245.52</v>
      </c>
      <c r="H423" s="168">
        <f t="shared" si="41"/>
        <v>226.76535303529252</v>
      </c>
      <c r="I423" s="170">
        <v>2.4</v>
      </c>
      <c r="Y423" s="27"/>
      <c r="AB423" s="77"/>
      <c r="AD423" s="34"/>
      <c r="AF423" s="142"/>
      <c r="AG423" s="149"/>
    </row>
    <row r="424" spans="1:33" ht="20.100000000000001" hidden="1" customHeight="1">
      <c r="A424" s="16" t="s">
        <v>26</v>
      </c>
      <c r="B424" s="140">
        <v>2000</v>
      </c>
      <c r="C424" s="104" t="s">
        <v>70</v>
      </c>
      <c r="D424" s="77" t="s">
        <v>482</v>
      </c>
      <c r="E424" s="45" t="s">
        <v>506</v>
      </c>
      <c r="G424" s="168">
        <v>286.44</v>
      </c>
      <c r="H424" s="168">
        <f t="shared" si="41"/>
        <v>264.55957854117457</v>
      </c>
      <c r="I424" s="170">
        <v>2.8</v>
      </c>
      <c r="Y424" s="27"/>
      <c r="AB424" s="77"/>
      <c r="AD424" s="34"/>
      <c r="AF424" s="142"/>
      <c r="AG424" s="149"/>
    </row>
    <row r="425" spans="1:33" ht="20.100000000000001" hidden="1" customHeight="1">
      <c r="A425" s="16" t="s">
        <v>26</v>
      </c>
      <c r="B425" s="140">
        <v>2000</v>
      </c>
      <c r="C425" s="104" t="s">
        <v>70</v>
      </c>
      <c r="D425" s="27" t="s">
        <v>202</v>
      </c>
      <c r="G425" s="168">
        <v>4511.43</v>
      </c>
      <c r="H425" s="168">
        <f t="shared" si="41"/>
        <v>4166.8133620235003</v>
      </c>
      <c r="I425" s="170">
        <v>44.1</v>
      </c>
      <c r="Y425" s="27"/>
      <c r="AB425" s="77"/>
      <c r="AD425" s="34"/>
      <c r="AF425" s="142"/>
      <c r="AG425" s="149"/>
    </row>
    <row r="426" spans="1:33" ht="20.100000000000001" hidden="1" customHeight="1">
      <c r="A426" s="16" t="s">
        <v>26</v>
      </c>
      <c r="B426" s="140">
        <v>2004</v>
      </c>
      <c r="C426" s="104" t="s">
        <v>70</v>
      </c>
      <c r="D426" s="77" t="s">
        <v>504</v>
      </c>
      <c r="G426" s="168"/>
      <c r="H426" s="235">
        <v>945.00099999999986</v>
      </c>
      <c r="I426" s="170">
        <v>22.7</v>
      </c>
      <c r="Y426" s="27"/>
      <c r="AB426" s="77"/>
      <c r="AD426" s="34"/>
      <c r="AF426" s="142"/>
      <c r="AG426" s="149"/>
    </row>
    <row r="427" spans="1:33" ht="20.100000000000001" hidden="1" customHeight="1">
      <c r="A427" s="16" t="s">
        <v>26</v>
      </c>
      <c r="B427" s="140">
        <v>2004</v>
      </c>
      <c r="C427" s="104" t="s">
        <v>70</v>
      </c>
      <c r="D427" s="45" t="s">
        <v>500</v>
      </c>
      <c r="E427" s="45" t="s">
        <v>500</v>
      </c>
      <c r="F427" s="45" t="s">
        <v>500</v>
      </c>
      <c r="G427" s="168"/>
      <c r="H427" s="235">
        <v>208.15</v>
      </c>
      <c r="I427" s="170">
        <v>5</v>
      </c>
      <c r="Y427" s="27"/>
      <c r="AB427" s="77"/>
      <c r="AD427" s="34"/>
      <c r="AF427" s="142"/>
      <c r="AG427" s="149"/>
    </row>
    <row r="428" spans="1:33" ht="20.100000000000001" hidden="1" customHeight="1">
      <c r="A428" s="16" t="s">
        <v>26</v>
      </c>
      <c r="B428" s="140">
        <v>2004</v>
      </c>
      <c r="C428" s="104" t="s">
        <v>70</v>
      </c>
      <c r="D428" s="77" t="s">
        <v>497</v>
      </c>
      <c r="E428" s="45" t="s">
        <v>498</v>
      </c>
      <c r="G428" s="168"/>
      <c r="H428" s="235">
        <v>104.075</v>
      </c>
      <c r="I428" s="170">
        <v>2.5</v>
      </c>
      <c r="Y428" s="27"/>
      <c r="AB428" s="77"/>
      <c r="AD428" s="34"/>
      <c r="AF428" s="142"/>
      <c r="AG428" s="149"/>
    </row>
    <row r="429" spans="1:33" ht="20.100000000000001" hidden="1" customHeight="1">
      <c r="A429" s="16" t="s">
        <v>26</v>
      </c>
      <c r="B429" s="140">
        <v>2004</v>
      </c>
      <c r="C429" s="104" t="s">
        <v>70</v>
      </c>
      <c r="D429" s="90" t="s">
        <v>494</v>
      </c>
      <c r="E429" s="45" t="s">
        <v>495</v>
      </c>
      <c r="G429" s="168"/>
      <c r="H429" s="235">
        <v>249.78</v>
      </c>
      <c r="I429" s="170">
        <v>6</v>
      </c>
      <c r="Y429" s="27"/>
      <c r="AB429" s="77"/>
      <c r="AD429" s="34"/>
      <c r="AG429" s="86" t="s">
        <v>508</v>
      </c>
    </row>
    <row r="430" spans="1:33" ht="20.100000000000001" hidden="1" customHeight="1">
      <c r="A430" s="16" t="s">
        <v>26</v>
      </c>
      <c r="B430" s="140">
        <v>2004</v>
      </c>
      <c r="C430" s="104" t="s">
        <v>70</v>
      </c>
      <c r="D430" s="77" t="s">
        <v>499</v>
      </c>
      <c r="G430" s="168"/>
      <c r="H430" s="235">
        <v>166.52</v>
      </c>
      <c r="I430" s="170">
        <v>4</v>
      </c>
      <c r="Y430" s="27"/>
      <c r="AB430" s="77"/>
      <c r="AD430" s="34"/>
      <c r="AF430" s="142"/>
      <c r="AG430" s="149"/>
    </row>
    <row r="431" spans="1:33" ht="20.100000000000001" hidden="1" customHeight="1">
      <c r="A431" s="16" t="s">
        <v>26</v>
      </c>
      <c r="B431" s="140">
        <v>2004</v>
      </c>
      <c r="C431" s="104" t="s">
        <v>70</v>
      </c>
      <c r="D431" s="77" t="s">
        <v>502</v>
      </c>
      <c r="G431" s="168"/>
      <c r="H431" s="235">
        <v>162.357</v>
      </c>
      <c r="I431" s="170">
        <v>3.9</v>
      </c>
      <c r="Y431" s="27"/>
      <c r="AB431" s="77"/>
      <c r="AD431" s="34"/>
      <c r="AF431" s="142"/>
      <c r="AG431" s="149"/>
    </row>
    <row r="432" spans="1:33" ht="20.100000000000001" hidden="1" customHeight="1">
      <c r="A432" s="16" t="s">
        <v>26</v>
      </c>
      <c r="B432" s="140">
        <v>2004</v>
      </c>
      <c r="C432" s="104" t="s">
        <v>70</v>
      </c>
      <c r="D432" s="9" t="s">
        <v>505</v>
      </c>
      <c r="G432" s="168"/>
      <c r="H432" s="235">
        <v>149.86800000000002</v>
      </c>
      <c r="I432" s="170">
        <v>3.6</v>
      </c>
      <c r="Y432" s="27">
        <v>979100</v>
      </c>
      <c r="AB432" s="77"/>
      <c r="AD432" s="34"/>
      <c r="AF432" s="142"/>
      <c r="AG432" s="149"/>
    </row>
    <row r="433" spans="1:33" ht="20.100000000000001" hidden="1" customHeight="1">
      <c r="A433" s="16" t="s">
        <v>26</v>
      </c>
      <c r="B433" s="140">
        <v>2004</v>
      </c>
      <c r="C433" s="104" t="s">
        <v>70</v>
      </c>
      <c r="D433" s="77" t="s">
        <v>503</v>
      </c>
      <c r="F433" s="45" t="s">
        <v>509</v>
      </c>
      <c r="G433" s="168"/>
      <c r="H433" s="235">
        <v>129.053</v>
      </c>
      <c r="I433" s="170">
        <v>3.1</v>
      </c>
      <c r="Y433" s="27"/>
      <c r="AB433" s="77"/>
      <c r="AD433" s="34"/>
      <c r="AG433" s="86" t="s">
        <v>510</v>
      </c>
    </row>
    <row r="434" spans="1:33" ht="20.100000000000001" hidden="1" customHeight="1">
      <c r="A434" s="16" t="s">
        <v>26</v>
      </c>
      <c r="B434" s="140">
        <v>2004</v>
      </c>
      <c r="C434" s="104" t="s">
        <v>70</v>
      </c>
      <c r="D434" s="27" t="s">
        <v>451</v>
      </c>
      <c r="G434" s="168"/>
      <c r="H434" s="235">
        <v>104.075</v>
      </c>
      <c r="I434" s="170">
        <v>2.5</v>
      </c>
      <c r="Y434" s="27"/>
      <c r="AB434" s="77"/>
      <c r="AD434" s="34"/>
      <c r="AF434" s="142"/>
      <c r="AG434" s="149"/>
    </row>
    <row r="435" spans="1:33" ht="20.100000000000001" hidden="1" customHeight="1">
      <c r="A435" s="16" t="s">
        <v>26</v>
      </c>
      <c r="B435" s="140">
        <v>2004</v>
      </c>
      <c r="C435" s="104" t="s">
        <v>70</v>
      </c>
      <c r="D435" s="77" t="s">
        <v>482</v>
      </c>
      <c r="E435" s="45" t="s">
        <v>506</v>
      </c>
      <c r="F435" s="45" t="s">
        <v>511</v>
      </c>
      <c r="G435" s="168"/>
      <c r="H435" s="235">
        <v>116.56399999999999</v>
      </c>
      <c r="I435" s="170">
        <v>2.8</v>
      </c>
      <c r="Y435" s="27"/>
      <c r="AB435" s="77"/>
      <c r="AD435" s="34"/>
      <c r="AG435" s="86" t="s">
        <v>512</v>
      </c>
    </row>
    <row r="436" spans="1:33" ht="20.100000000000001" hidden="1" customHeight="1">
      <c r="A436" s="16" t="s">
        <v>26</v>
      </c>
      <c r="B436" s="140">
        <v>2004</v>
      </c>
      <c r="C436" s="104" t="s">
        <v>70</v>
      </c>
      <c r="D436" s="27" t="s">
        <v>202</v>
      </c>
      <c r="G436" s="169"/>
      <c r="H436" s="169">
        <v>1827.557</v>
      </c>
      <c r="I436" s="170">
        <v>43.9</v>
      </c>
      <c r="Y436" s="27"/>
      <c r="AB436" s="77"/>
      <c r="AD436" s="34"/>
      <c r="AF436" s="142"/>
      <c r="AG436" s="149"/>
    </row>
    <row r="437" spans="1:33" ht="20.100000000000001" hidden="1" customHeight="1">
      <c r="A437" s="16" t="s">
        <v>26</v>
      </c>
      <c r="B437" s="140">
        <v>2006</v>
      </c>
      <c r="C437" s="104" t="s">
        <v>70</v>
      </c>
      <c r="D437" s="77" t="s">
        <v>504</v>
      </c>
      <c r="E437" s="45" t="s">
        <v>513</v>
      </c>
      <c r="G437" s="169"/>
      <c r="H437" s="169"/>
      <c r="I437" s="229">
        <v>22.5</v>
      </c>
      <c r="J437" s="229"/>
      <c r="Y437" s="27"/>
      <c r="AB437" s="77"/>
      <c r="AD437" s="34"/>
      <c r="AF437" s="142"/>
      <c r="AG437" s="149"/>
    </row>
    <row r="438" spans="1:33" ht="20.100000000000001" hidden="1" customHeight="1">
      <c r="A438" s="16" t="s">
        <v>26</v>
      </c>
      <c r="B438" s="140">
        <v>2006</v>
      </c>
      <c r="C438" s="104" t="s">
        <v>70</v>
      </c>
      <c r="D438" s="77" t="s">
        <v>514</v>
      </c>
      <c r="E438" s="45" t="s">
        <v>500</v>
      </c>
      <c r="G438" s="169"/>
      <c r="H438" s="169"/>
      <c r="I438" s="229">
        <v>5.2</v>
      </c>
      <c r="J438" s="229"/>
      <c r="Y438" s="27"/>
      <c r="AB438" s="77"/>
      <c r="AD438" s="34"/>
      <c r="AF438" s="142"/>
      <c r="AG438" s="149"/>
    </row>
    <row r="439" spans="1:33" ht="20.100000000000001" hidden="1" customHeight="1">
      <c r="A439" s="16" t="s">
        <v>26</v>
      </c>
      <c r="B439" s="140">
        <v>2006</v>
      </c>
      <c r="C439" s="104" t="s">
        <v>70</v>
      </c>
      <c r="D439" s="77" t="s">
        <v>497</v>
      </c>
      <c r="E439" s="45" t="s">
        <v>498</v>
      </c>
      <c r="F439" s="45" t="s">
        <v>515</v>
      </c>
      <c r="G439" s="169"/>
      <c r="H439" s="169"/>
      <c r="I439" s="229">
        <v>2.6</v>
      </c>
      <c r="J439" s="229"/>
      <c r="Y439" s="27"/>
      <c r="AB439" s="77"/>
      <c r="AD439" s="34"/>
      <c r="AG439" s="86" t="s">
        <v>510</v>
      </c>
    </row>
    <row r="440" spans="1:33" ht="20.100000000000001" hidden="1" customHeight="1">
      <c r="A440" s="16" t="s">
        <v>26</v>
      </c>
      <c r="B440" s="140">
        <v>2006</v>
      </c>
      <c r="C440" s="104" t="s">
        <v>70</v>
      </c>
      <c r="D440" s="90" t="s">
        <v>494</v>
      </c>
      <c r="E440" s="45" t="s">
        <v>495</v>
      </c>
      <c r="G440" s="169"/>
      <c r="H440" s="169"/>
      <c r="I440" s="229">
        <v>5.6</v>
      </c>
      <c r="J440" s="229"/>
      <c r="Y440" s="27"/>
      <c r="AB440" s="77"/>
      <c r="AD440" s="34"/>
      <c r="AG440" s="86" t="s">
        <v>508</v>
      </c>
    </row>
    <row r="441" spans="1:33" ht="20.100000000000001" hidden="1" customHeight="1">
      <c r="A441" s="16" t="s">
        <v>26</v>
      </c>
      <c r="B441" s="140">
        <v>2006</v>
      </c>
      <c r="C441" s="104" t="s">
        <v>70</v>
      </c>
      <c r="D441" s="77" t="s">
        <v>499</v>
      </c>
      <c r="G441" s="169"/>
      <c r="H441" s="169"/>
      <c r="I441" s="229">
        <v>3.9</v>
      </c>
      <c r="J441" s="229"/>
      <c r="Y441" s="27"/>
      <c r="AB441" s="77"/>
      <c r="AD441" s="34"/>
      <c r="AF441" s="142"/>
      <c r="AG441" s="149"/>
    </row>
    <row r="442" spans="1:33" ht="20.100000000000001" hidden="1" customHeight="1">
      <c r="A442" s="16" t="s">
        <v>26</v>
      </c>
      <c r="B442" s="140">
        <v>2006</v>
      </c>
      <c r="C442" s="104" t="s">
        <v>70</v>
      </c>
      <c r="D442" s="77" t="s">
        <v>502</v>
      </c>
      <c r="G442" s="169"/>
      <c r="H442" s="169"/>
      <c r="I442" s="229">
        <v>4.0999999999999996</v>
      </c>
      <c r="J442" s="229"/>
      <c r="Y442" s="27"/>
      <c r="AB442" s="77"/>
      <c r="AD442" s="34"/>
      <c r="AF442" s="142"/>
      <c r="AG442" s="149"/>
    </row>
    <row r="443" spans="1:33" ht="20.100000000000001" hidden="1" customHeight="1">
      <c r="A443" s="16" t="s">
        <v>26</v>
      </c>
      <c r="B443" s="140">
        <v>2006</v>
      </c>
      <c r="C443" s="104" t="s">
        <v>70</v>
      </c>
      <c r="D443" s="9" t="s">
        <v>505</v>
      </c>
      <c r="G443" s="169"/>
      <c r="H443" s="169"/>
      <c r="I443" s="229">
        <v>3.7</v>
      </c>
      <c r="J443" s="229"/>
      <c r="Y443" s="27">
        <v>949500</v>
      </c>
      <c r="AB443" s="77"/>
      <c r="AD443" s="34"/>
      <c r="AF443" s="142"/>
      <c r="AG443" s="149"/>
    </row>
    <row r="444" spans="1:33" ht="20.100000000000001" hidden="1" customHeight="1">
      <c r="A444" s="16" t="s">
        <v>26</v>
      </c>
      <c r="B444" s="140">
        <v>2006</v>
      </c>
      <c r="C444" s="104" t="s">
        <v>70</v>
      </c>
      <c r="D444" s="77" t="s">
        <v>503</v>
      </c>
      <c r="G444" s="169"/>
      <c r="H444" s="169"/>
      <c r="I444" s="229">
        <v>3</v>
      </c>
      <c r="J444" s="229"/>
      <c r="Y444" s="27"/>
      <c r="AB444" s="77"/>
      <c r="AD444" s="34"/>
      <c r="AF444" s="142"/>
      <c r="AG444" s="149"/>
    </row>
    <row r="445" spans="1:33" ht="20.100000000000001" hidden="1" customHeight="1">
      <c r="A445" s="16" t="s">
        <v>26</v>
      </c>
      <c r="B445" s="140">
        <v>2006</v>
      </c>
      <c r="C445" s="104" t="s">
        <v>70</v>
      </c>
      <c r="D445" s="27" t="s">
        <v>451</v>
      </c>
      <c r="G445" s="169"/>
      <c r="H445" s="169"/>
      <c r="I445" s="229">
        <v>2.5</v>
      </c>
      <c r="J445" s="229"/>
      <c r="Y445" s="27"/>
      <c r="AB445" s="77"/>
      <c r="AD445" s="34"/>
      <c r="AF445" s="142"/>
      <c r="AG445" s="149"/>
    </row>
    <row r="446" spans="1:33" ht="20.100000000000001" hidden="1" customHeight="1">
      <c r="A446" s="16" t="s">
        <v>26</v>
      </c>
      <c r="B446" s="140">
        <v>2006</v>
      </c>
      <c r="C446" s="104" t="s">
        <v>70</v>
      </c>
      <c r="D446" s="77" t="s">
        <v>516</v>
      </c>
      <c r="G446" s="169"/>
      <c r="H446" s="169"/>
      <c r="I446" s="229">
        <v>2.2000000000000002</v>
      </c>
      <c r="J446" s="229"/>
      <c r="Y446" s="27">
        <v>1402000</v>
      </c>
      <c r="AB446" s="77"/>
      <c r="AD446" s="34"/>
      <c r="AF446" s="142"/>
      <c r="AG446" s="149"/>
    </row>
    <row r="447" spans="1:33" ht="20.100000000000001" hidden="1" customHeight="1">
      <c r="A447" s="16" t="s">
        <v>26</v>
      </c>
      <c r="B447" s="140">
        <v>2006</v>
      </c>
      <c r="C447" s="104" t="s">
        <v>70</v>
      </c>
      <c r="D447" s="27" t="s">
        <v>202</v>
      </c>
      <c r="G447" s="169"/>
      <c r="H447" s="169"/>
      <c r="I447" s="229">
        <v>44.7</v>
      </c>
      <c r="J447" s="229"/>
      <c r="Y447" s="27"/>
      <c r="AB447" s="77"/>
      <c r="AD447" s="34"/>
      <c r="AF447" s="142"/>
      <c r="AG447" s="149"/>
    </row>
    <row r="448" spans="1:33" ht="20.100000000000001" hidden="1" customHeight="1">
      <c r="A448" s="16" t="s">
        <v>26</v>
      </c>
      <c r="B448" s="140">
        <v>2008</v>
      </c>
      <c r="C448" s="104" t="s">
        <v>70</v>
      </c>
      <c r="D448" s="77" t="s">
        <v>504</v>
      </c>
      <c r="E448" s="45" t="s">
        <v>513</v>
      </c>
      <c r="F448" s="45" t="s">
        <v>517</v>
      </c>
      <c r="G448" s="168">
        <v>1887.3400000000001</v>
      </c>
      <c r="H448" s="235">
        <f>G448/0.679922680042729</f>
        <v>2775.8156263906244</v>
      </c>
      <c r="I448" s="170">
        <v>22.1</v>
      </c>
      <c r="Y448" s="27">
        <v>4859000</v>
      </c>
      <c r="AB448" s="77"/>
      <c r="AD448" s="34"/>
      <c r="AG448" s="86" t="s">
        <v>518</v>
      </c>
    </row>
    <row r="449" spans="1:33" ht="20.100000000000001" hidden="1" customHeight="1">
      <c r="A449" s="16" t="s">
        <v>26</v>
      </c>
      <c r="B449" s="140">
        <v>2008</v>
      </c>
      <c r="C449" s="104" t="s">
        <v>70</v>
      </c>
      <c r="D449" s="77" t="s">
        <v>519</v>
      </c>
      <c r="E449" s="45" t="s">
        <v>520</v>
      </c>
      <c r="F449" s="45" t="s">
        <v>521</v>
      </c>
      <c r="G449" s="168">
        <v>725.90000000000009</v>
      </c>
      <c r="H449" s="235">
        <f t="shared" ref="H449:H458" si="42">G449/0.679922680042729</f>
        <v>1067.6213947656249</v>
      </c>
      <c r="I449" s="170">
        <v>8.5</v>
      </c>
      <c r="Y449" s="27">
        <v>1898300</v>
      </c>
      <c r="AB449" s="77"/>
      <c r="AD449" s="34"/>
      <c r="AG449" s="86" t="s">
        <v>522</v>
      </c>
    </row>
    <row r="450" spans="1:33" ht="20.100000000000001" hidden="1" customHeight="1">
      <c r="A450" s="16" t="s">
        <v>26</v>
      </c>
      <c r="B450" s="140">
        <v>2008</v>
      </c>
      <c r="C450" s="104" t="s">
        <v>70</v>
      </c>
      <c r="D450" s="90" t="s">
        <v>494</v>
      </c>
      <c r="E450" s="45" t="s">
        <v>495</v>
      </c>
      <c r="G450" s="168">
        <v>512.4</v>
      </c>
      <c r="H450" s="235">
        <f t="shared" si="42"/>
        <v>753.61510218749982</v>
      </c>
      <c r="I450" s="170">
        <v>6</v>
      </c>
      <c r="Y450" s="27">
        <v>1404100</v>
      </c>
      <c r="AB450" s="77"/>
      <c r="AD450" s="34"/>
      <c r="AG450" s="86" t="s">
        <v>508</v>
      </c>
    </row>
    <row r="451" spans="1:33" ht="20.100000000000001" hidden="1" customHeight="1">
      <c r="A451" s="16" t="s">
        <v>26</v>
      </c>
      <c r="B451" s="140">
        <v>2008</v>
      </c>
      <c r="C451" s="104" t="s">
        <v>70</v>
      </c>
      <c r="D451" s="77" t="s">
        <v>499</v>
      </c>
      <c r="G451" s="168">
        <v>358.68</v>
      </c>
      <c r="H451" s="235">
        <f t="shared" si="42"/>
        <v>527.53057153124985</v>
      </c>
      <c r="I451" s="170">
        <v>4.2</v>
      </c>
      <c r="Y451" s="27">
        <v>964200</v>
      </c>
      <c r="AB451" s="77"/>
      <c r="AD451" s="34"/>
      <c r="AF451" s="142"/>
      <c r="AG451" s="149"/>
    </row>
    <row r="452" spans="1:33" ht="20.100000000000001" hidden="1" customHeight="1">
      <c r="A452" s="16" t="s">
        <v>26</v>
      </c>
      <c r="B452" s="140">
        <v>2008</v>
      </c>
      <c r="C452" s="104" t="s">
        <v>70</v>
      </c>
      <c r="D452" s="77" t="s">
        <v>502</v>
      </c>
      <c r="G452" s="168">
        <v>341.6</v>
      </c>
      <c r="H452" s="235">
        <f t="shared" si="42"/>
        <v>502.4100681249999</v>
      </c>
      <c r="I452" s="170">
        <v>4</v>
      </c>
      <c r="Y452" s="27">
        <v>908900</v>
      </c>
      <c r="AB452" s="77"/>
      <c r="AD452" s="34"/>
      <c r="AF452" s="142"/>
      <c r="AG452" s="149"/>
    </row>
    <row r="453" spans="1:33" ht="20.100000000000001" hidden="1" customHeight="1">
      <c r="A453" s="16" t="s">
        <v>26</v>
      </c>
      <c r="B453" s="140">
        <v>2008</v>
      </c>
      <c r="C453" s="104" t="s">
        <v>70</v>
      </c>
      <c r="D453" s="9" t="s">
        <v>505</v>
      </c>
      <c r="G453" s="168">
        <v>324.52</v>
      </c>
      <c r="H453" s="235">
        <f t="shared" si="42"/>
        <v>477.28956471874989</v>
      </c>
      <c r="I453" s="170">
        <v>3.8</v>
      </c>
      <c r="Y453" s="27">
        <v>931400</v>
      </c>
      <c r="AB453" s="77"/>
      <c r="AD453" s="34"/>
      <c r="AG453" s="86" t="s">
        <v>523</v>
      </c>
    </row>
    <row r="454" spans="1:33" ht="20.100000000000001" hidden="1" customHeight="1">
      <c r="A454" s="16" t="s">
        <v>26</v>
      </c>
      <c r="B454" s="140">
        <v>2008</v>
      </c>
      <c r="C454" s="104" t="s">
        <v>70</v>
      </c>
      <c r="D454" s="77" t="s">
        <v>503</v>
      </c>
      <c r="G454" s="168">
        <v>256.2</v>
      </c>
      <c r="H454" s="235">
        <f t="shared" si="42"/>
        <v>376.80755109374991</v>
      </c>
      <c r="I454" s="170">
        <v>3</v>
      </c>
      <c r="Y454" s="27">
        <v>622700</v>
      </c>
      <c r="AB454" s="77"/>
      <c r="AD454" s="34"/>
      <c r="AF454" s="142"/>
      <c r="AG454" s="149"/>
    </row>
    <row r="455" spans="1:33" ht="20.100000000000001" hidden="1" customHeight="1">
      <c r="A455" s="16" t="s">
        <v>26</v>
      </c>
      <c r="B455" s="140">
        <v>2008</v>
      </c>
      <c r="C455" s="104" t="s">
        <v>70</v>
      </c>
      <c r="D455" s="27" t="s">
        <v>451</v>
      </c>
      <c r="G455" s="168">
        <v>213.5</v>
      </c>
      <c r="H455" s="235">
        <f t="shared" si="42"/>
        <v>314.00629257812494</v>
      </c>
      <c r="I455" s="170">
        <v>2.5</v>
      </c>
      <c r="Y455" s="27">
        <v>1042800</v>
      </c>
      <c r="AB455" s="77"/>
      <c r="AD455" s="34"/>
      <c r="AF455" s="142"/>
      <c r="AG455" s="149"/>
    </row>
    <row r="456" spans="1:33" ht="20.100000000000001" hidden="1" customHeight="1">
      <c r="A456" s="16" t="s">
        <v>26</v>
      </c>
      <c r="B456" s="140">
        <v>2008</v>
      </c>
      <c r="C456" s="104" t="s">
        <v>70</v>
      </c>
      <c r="D456" s="77" t="s">
        <v>516</v>
      </c>
      <c r="G456" s="168">
        <v>204.96</v>
      </c>
      <c r="H456" s="235">
        <f t="shared" si="42"/>
        <v>301.44604087499994</v>
      </c>
      <c r="I456" s="170">
        <v>2.4</v>
      </c>
      <c r="Y456" s="27">
        <v>1402000</v>
      </c>
      <c r="AB456" s="77"/>
      <c r="AD456" s="34"/>
      <c r="AF456" s="142"/>
      <c r="AG456" s="149"/>
    </row>
    <row r="457" spans="1:33" ht="20.100000000000001" hidden="1" customHeight="1">
      <c r="A457" s="16" t="s">
        <v>26</v>
      </c>
      <c r="B457" s="140">
        <v>2008</v>
      </c>
      <c r="C457" s="104" t="s">
        <v>70</v>
      </c>
      <c r="D457" s="77" t="s">
        <v>524</v>
      </c>
      <c r="E457" s="45" t="s">
        <v>525</v>
      </c>
      <c r="F457" s="45" t="s">
        <v>526</v>
      </c>
      <c r="G457" s="168">
        <v>170.8</v>
      </c>
      <c r="H457" s="235">
        <f t="shared" si="42"/>
        <v>251.20503406249995</v>
      </c>
      <c r="I457" s="170">
        <v>2</v>
      </c>
      <c r="Y457" s="27"/>
      <c r="AB457" s="77"/>
      <c r="AF457" s="142"/>
      <c r="AG457" s="149"/>
    </row>
    <row r="458" spans="1:33" ht="20.100000000000001" hidden="1" customHeight="1">
      <c r="A458" s="16" t="s">
        <v>26</v>
      </c>
      <c r="B458" s="140">
        <v>2008</v>
      </c>
      <c r="C458" s="104" t="s">
        <v>70</v>
      </c>
      <c r="D458" s="27" t="s">
        <v>202</v>
      </c>
      <c r="G458" s="168">
        <v>3544.1000000000004</v>
      </c>
      <c r="H458" s="235">
        <f t="shared" si="42"/>
        <v>5212.5044567968744</v>
      </c>
      <c r="I458" s="170">
        <v>41.5</v>
      </c>
      <c r="Y458" s="27"/>
      <c r="AB458" s="77"/>
      <c r="AF458" s="142"/>
      <c r="AG458" s="149"/>
    </row>
    <row r="459" spans="1:33" ht="20.100000000000001" hidden="1" customHeight="1">
      <c r="A459" s="16" t="s">
        <v>26</v>
      </c>
      <c r="B459" s="140">
        <v>2010</v>
      </c>
      <c r="C459" s="104" t="s">
        <v>70</v>
      </c>
      <c r="D459" s="77" t="s">
        <v>504</v>
      </c>
      <c r="E459" s="45" t="s">
        <v>513</v>
      </c>
      <c r="F459" s="45" t="s">
        <v>527</v>
      </c>
      <c r="G459" s="168">
        <v>1570.1559999999999</v>
      </c>
      <c r="H459" s="168">
        <f>G459/0.754308990105961</f>
        <v>2081.5819784667201</v>
      </c>
      <c r="I459" s="170">
        <v>19.600000000000001</v>
      </c>
      <c r="Y459" s="27">
        <v>3845500</v>
      </c>
      <c r="AB459" s="77"/>
      <c r="AF459" s="142"/>
      <c r="AG459" s="149"/>
    </row>
    <row r="460" spans="1:33" ht="20.100000000000001" hidden="1" customHeight="1">
      <c r="A460" s="16" t="s">
        <v>26</v>
      </c>
      <c r="B460" s="140">
        <v>2010</v>
      </c>
      <c r="C460" s="104" t="s">
        <v>70</v>
      </c>
      <c r="D460" s="77" t="s">
        <v>519</v>
      </c>
      <c r="E460" s="45" t="s">
        <v>520</v>
      </c>
      <c r="G460" s="168">
        <v>688.94599999999991</v>
      </c>
      <c r="H460" s="168">
        <f t="shared" ref="H460:H469" si="43">G460/0.754308990105961</f>
        <v>913.34719463335671</v>
      </c>
      <c r="I460" s="170">
        <v>8.6</v>
      </c>
      <c r="Y460" s="27">
        <v>1832900</v>
      </c>
      <c r="AB460" s="77"/>
      <c r="AF460" s="142"/>
      <c r="AG460" s="149"/>
    </row>
    <row r="461" spans="1:33" ht="20.100000000000001" hidden="1" customHeight="1">
      <c r="A461" s="16" t="s">
        <v>26</v>
      </c>
      <c r="B461" s="140">
        <v>2010</v>
      </c>
      <c r="C461" s="104" t="s">
        <v>70</v>
      </c>
      <c r="D461" s="77" t="s">
        <v>494</v>
      </c>
      <c r="E461" s="45" t="s">
        <v>495</v>
      </c>
      <c r="G461" s="168">
        <v>464.63799999999998</v>
      </c>
      <c r="H461" s="168">
        <f t="shared" si="43"/>
        <v>615.9783405666825</v>
      </c>
      <c r="I461" s="170">
        <v>5.8</v>
      </c>
      <c r="Y461" s="27">
        <v>1270500</v>
      </c>
      <c r="AB461" s="77"/>
      <c r="AF461" s="142"/>
      <c r="AG461" s="149"/>
    </row>
    <row r="462" spans="1:33" ht="20.100000000000001" hidden="1" customHeight="1">
      <c r="A462" s="16" t="s">
        <v>26</v>
      </c>
      <c r="B462" s="140">
        <v>2010</v>
      </c>
      <c r="C462" s="104" t="s">
        <v>70</v>
      </c>
      <c r="D462" s="77" t="s">
        <v>499</v>
      </c>
      <c r="G462" s="168">
        <v>440.60500000000002</v>
      </c>
      <c r="H462" s="168">
        <f t="shared" si="43"/>
        <v>584.11739191668175</v>
      </c>
      <c r="I462" s="170">
        <v>5.5</v>
      </c>
      <c r="Y462" s="27">
        <v>1292900</v>
      </c>
      <c r="AB462" s="77"/>
      <c r="AF462" s="142"/>
      <c r="AG462" s="149"/>
    </row>
    <row r="463" spans="1:33" ht="20.100000000000001" hidden="1" customHeight="1">
      <c r="A463" s="16" t="s">
        <v>26</v>
      </c>
      <c r="B463" s="140">
        <v>2010</v>
      </c>
      <c r="C463" s="104" t="s">
        <v>70</v>
      </c>
      <c r="D463" s="77" t="s">
        <v>502</v>
      </c>
      <c r="G463" s="168">
        <v>336.46200000000005</v>
      </c>
      <c r="H463" s="168">
        <f t="shared" si="43"/>
        <v>446.05328110001153</v>
      </c>
      <c r="I463" s="170">
        <v>4.2</v>
      </c>
      <c r="Y463" s="27">
        <v>890000</v>
      </c>
      <c r="AB463" s="77"/>
      <c r="AF463" s="142"/>
      <c r="AG463" s="149"/>
    </row>
    <row r="464" spans="1:33" ht="20.100000000000001" hidden="1" customHeight="1">
      <c r="A464" s="16" t="s">
        <v>26</v>
      </c>
      <c r="B464" s="140">
        <v>2010</v>
      </c>
      <c r="C464" s="104" t="s">
        <v>70</v>
      </c>
      <c r="D464" s="27" t="s">
        <v>451</v>
      </c>
      <c r="G464" s="168">
        <v>320.44</v>
      </c>
      <c r="H464" s="168">
        <f t="shared" si="43"/>
        <v>424.8126486666776</v>
      </c>
      <c r="I464" s="170">
        <v>4</v>
      </c>
      <c r="Y464" s="27">
        <v>1011200</v>
      </c>
      <c r="AB464" s="77"/>
      <c r="AF464" s="142"/>
      <c r="AG464" s="149"/>
    </row>
    <row r="465" spans="1:33" ht="20.100000000000001" hidden="1" customHeight="1">
      <c r="A465" s="16" t="s">
        <v>26</v>
      </c>
      <c r="B465" s="140">
        <v>2010</v>
      </c>
      <c r="C465" s="104" t="s">
        <v>70</v>
      </c>
      <c r="D465" s="77" t="s">
        <v>503</v>
      </c>
      <c r="G465" s="168">
        <v>248.34100000000004</v>
      </c>
      <c r="H465" s="168">
        <f t="shared" si="43"/>
        <v>329.22980271667518</v>
      </c>
      <c r="I465" s="170">
        <v>3.1</v>
      </c>
      <c r="Y465" s="27">
        <v>612900</v>
      </c>
      <c r="AB465" s="77"/>
      <c r="AF465" s="142"/>
      <c r="AG465" s="149"/>
    </row>
    <row r="466" spans="1:33" ht="20.100000000000001" hidden="1" customHeight="1">
      <c r="A466" s="16" t="s">
        <v>26</v>
      </c>
      <c r="B466" s="140">
        <v>2010</v>
      </c>
      <c r="C466" s="104" t="s">
        <v>70</v>
      </c>
      <c r="D466" s="77" t="s">
        <v>516</v>
      </c>
      <c r="G466" s="168">
        <v>240.32999999999998</v>
      </c>
      <c r="H466" s="168">
        <f t="shared" si="43"/>
        <v>318.60948650000819</v>
      </c>
      <c r="I466" s="170">
        <v>3</v>
      </c>
      <c r="Y466" s="27">
        <v>1646598</v>
      </c>
      <c r="AB466" s="77"/>
      <c r="AF466" s="142"/>
      <c r="AG466" s="149"/>
    </row>
    <row r="467" spans="1:33" ht="20.100000000000001" hidden="1" customHeight="1">
      <c r="A467" s="16" t="s">
        <v>26</v>
      </c>
      <c r="B467" s="140">
        <v>2010</v>
      </c>
      <c r="C467" s="104" t="s">
        <v>70</v>
      </c>
      <c r="D467" s="9" t="s">
        <v>505</v>
      </c>
      <c r="G467" s="168">
        <v>184.25299999999999</v>
      </c>
      <c r="H467" s="168">
        <f t="shared" si="43"/>
        <v>244.26727298333961</v>
      </c>
      <c r="I467" s="170">
        <v>2.2999999999999998</v>
      </c>
      <c r="Y467" s="27"/>
      <c r="AB467" s="77"/>
      <c r="AF467" s="142"/>
      <c r="AG467" s="149"/>
    </row>
    <row r="468" spans="1:33" ht="20.100000000000001" hidden="1" customHeight="1">
      <c r="A468" s="16" t="s">
        <v>26</v>
      </c>
      <c r="B468" s="140">
        <v>2010</v>
      </c>
      <c r="C468" s="104" t="s">
        <v>70</v>
      </c>
      <c r="D468" s="77" t="s">
        <v>528</v>
      </c>
      <c r="G468" s="168">
        <v>160.22</v>
      </c>
      <c r="H468" s="168">
        <f t="shared" si="43"/>
        <v>212.4063243333388</v>
      </c>
      <c r="I468" s="170">
        <v>2</v>
      </c>
      <c r="Y468" s="27">
        <v>485600</v>
      </c>
      <c r="AB468" s="77"/>
      <c r="AF468" s="142"/>
      <c r="AG468" s="149"/>
    </row>
    <row r="469" spans="1:33" ht="20.100000000000001" hidden="1" customHeight="1">
      <c r="A469" s="16" t="s">
        <v>26</v>
      </c>
      <c r="B469" s="140">
        <v>2010</v>
      </c>
      <c r="C469" s="104" t="s">
        <v>70</v>
      </c>
      <c r="D469" s="27" t="s">
        <v>202</v>
      </c>
      <c r="G469" s="168">
        <v>3356.6089999999999</v>
      </c>
      <c r="H469" s="168">
        <f t="shared" si="43"/>
        <v>4449.912494783448</v>
      </c>
      <c r="I469" s="170">
        <v>41.9</v>
      </c>
      <c r="Y469" s="27"/>
      <c r="AB469" s="77"/>
      <c r="AF469" s="142"/>
      <c r="AG469" s="149"/>
    </row>
    <row r="470" spans="1:33" ht="20.100000000000001" hidden="1" customHeight="1">
      <c r="A470" s="16" t="s">
        <v>26</v>
      </c>
      <c r="B470" s="140">
        <v>2012</v>
      </c>
      <c r="C470" s="104" t="s">
        <v>70</v>
      </c>
      <c r="D470" s="77" t="s">
        <v>504</v>
      </c>
      <c r="E470" s="45" t="s">
        <v>513</v>
      </c>
      <c r="F470" s="45" t="s">
        <v>527</v>
      </c>
      <c r="G470" s="168">
        <v>1454.18</v>
      </c>
      <c r="H470" s="168">
        <f>G470/0.778338120416812</f>
        <v>1868.3139908671881</v>
      </c>
      <c r="I470" s="170">
        <v>18.8</v>
      </c>
      <c r="Y470" s="7">
        <v>3420884</v>
      </c>
      <c r="AB470" s="77"/>
      <c r="AF470" s="142"/>
      <c r="AG470" s="149"/>
    </row>
    <row r="471" spans="1:33" ht="20.100000000000001" hidden="1" customHeight="1">
      <c r="A471" s="16" t="s">
        <v>26</v>
      </c>
      <c r="B471" s="140">
        <v>2012</v>
      </c>
      <c r="C471" s="104" t="s">
        <v>70</v>
      </c>
      <c r="D471" s="77" t="s">
        <v>519</v>
      </c>
      <c r="E471" s="45" t="s">
        <v>520</v>
      </c>
      <c r="G471" s="168">
        <v>711.62</v>
      </c>
      <c r="H471" s="168">
        <f t="shared" ref="H471:H480" si="44">G471/0.778338120416812</f>
        <v>914.28131467968774</v>
      </c>
      <c r="I471" s="170">
        <v>9.1999999999999993</v>
      </c>
      <c r="Y471" s="7">
        <v>1818977</v>
      </c>
      <c r="AB471" s="77"/>
      <c r="AF471" s="142"/>
      <c r="AG471" s="149"/>
    </row>
    <row r="472" spans="1:33" ht="20.100000000000001" hidden="1" customHeight="1">
      <c r="A472" s="16" t="s">
        <v>26</v>
      </c>
      <c r="B472" s="140">
        <v>2012</v>
      </c>
      <c r="C472" s="104" t="s">
        <v>70</v>
      </c>
      <c r="D472" s="77" t="s">
        <v>494</v>
      </c>
      <c r="E472" s="45" t="s">
        <v>495</v>
      </c>
      <c r="G472" s="168">
        <v>440.89500000000004</v>
      </c>
      <c r="H472" s="168">
        <f t="shared" si="44"/>
        <v>566.45690148632832</v>
      </c>
      <c r="I472" s="170">
        <v>5.7</v>
      </c>
      <c r="Y472" s="27">
        <v>1177273</v>
      </c>
      <c r="AB472" s="77"/>
      <c r="AF472" s="142"/>
      <c r="AG472" s="149"/>
    </row>
    <row r="473" spans="1:33" ht="20.100000000000001" hidden="1" customHeight="1">
      <c r="A473" s="16" t="s">
        <v>26</v>
      </c>
      <c r="B473" s="140">
        <v>2012</v>
      </c>
      <c r="C473" s="104" t="s">
        <v>70</v>
      </c>
      <c r="D473" s="77" t="s">
        <v>499</v>
      </c>
      <c r="G473" s="168">
        <v>425.42500000000001</v>
      </c>
      <c r="H473" s="168">
        <f t="shared" si="44"/>
        <v>546.58122073242203</v>
      </c>
      <c r="I473" s="170">
        <v>5.5</v>
      </c>
      <c r="Y473" s="27">
        <v>1182110</v>
      </c>
      <c r="AB473" s="77"/>
      <c r="AF473" s="142"/>
      <c r="AG473" s="149"/>
    </row>
    <row r="474" spans="1:33" ht="20.100000000000001" hidden="1" customHeight="1">
      <c r="A474" s="16" t="s">
        <v>26</v>
      </c>
      <c r="B474" s="140">
        <v>2012</v>
      </c>
      <c r="C474" s="104" t="s">
        <v>70</v>
      </c>
      <c r="D474" s="27" t="s">
        <v>451</v>
      </c>
      <c r="G474" s="168">
        <v>402.22</v>
      </c>
      <c r="H474" s="168">
        <f t="shared" si="44"/>
        <v>516.76769960156264</v>
      </c>
      <c r="I474" s="170">
        <v>5.2</v>
      </c>
      <c r="Y474" s="27">
        <v>1118637</v>
      </c>
      <c r="AB474" s="77"/>
      <c r="AF474" s="142"/>
      <c r="AG474" s="149"/>
    </row>
    <row r="475" spans="1:33" ht="20.100000000000001" hidden="1" customHeight="1">
      <c r="A475" s="16" t="s">
        <v>26</v>
      </c>
      <c r="B475" s="140">
        <v>2012</v>
      </c>
      <c r="C475" s="104" t="s">
        <v>70</v>
      </c>
      <c r="D475" s="77" t="s">
        <v>502</v>
      </c>
      <c r="G475" s="168">
        <v>324.87</v>
      </c>
      <c r="H475" s="168">
        <f t="shared" si="44"/>
        <v>417.38929583203134</v>
      </c>
      <c r="I475" s="170">
        <v>4.2</v>
      </c>
      <c r="Y475" s="27">
        <v>863150</v>
      </c>
      <c r="AB475" s="77"/>
      <c r="AF475" s="142"/>
      <c r="AG475" s="149"/>
    </row>
    <row r="476" spans="1:33" ht="20.100000000000001" hidden="1" customHeight="1">
      <c r="A476" s="16" t="s">
        <v>26</v>
      </c>
      <c r="B476" s="140">
        <v>2012</v>
      </c>
      <c r="C476" s="104" t="s">
        <v>70</v>
      </c>
      <c r="D476" s="77" t="s">
        <v>516</v>
      </c>
      <c r="G476" s="168">
        <v>239.78500000000003</v>
      </c>
      <c r="H476" s="168">
        <f t="shared" si="44"/>
        <v>308.073051685547</v>
      </c>
      <c r="I476" s="170">
        <v>3.1</v>
      </c>
      <c r="Y476" s="27">
        <v>1704848</v>
      </c>
      <c r="AB476" s="77"/>
      <c r="AF476" s="142"/>
      <c r="AG476" s="149"/>
    </row>
    <row r="477" spans="1:33" ht="20.100000000000001" hidden="1" customHeight="1">
      <c r="A477" s="16" t="s">
        <v>26</v>
      </c>
      <c r="B477" s="140">
        <v>2012</v>
      </c>
      <c r="C477" s="104" t="s">
        <v>70</v>
      </c>
      <c r="D477" s="77" t="s">
        <v>529</v>
      </c>
      <c r="G477" s="168">
        <v>216.57999999999998</v>
      </c>
      <c r="H477" s="168">
        <f t="shared" si="44"/>
        <v>278.25953055468756</v>
      </c>
      <c r="I477" s="170">
        <v>2.8</v>
      </c>
      <c r="Y477" s="27">
        <v>678422</v>
      </c>
      <c r="AB477" s="77"/>
      <c r="AG477" s="86" t="s">
        <v>530</v>
      </c>
    </row>
    <row r="478" spans="1:33" ht="20.100000000000001" hidden="1" customHeight="1">
      <c r="A478" s="16" t="s">
        <v>26</v>
      </c>
      <c r="B478" s="140">
        <v>2012</v>
      </c>
      <c r="C478" s="104" t="s">
        <v>70</v>
      </c>
      <c r="D478" s="77" t="s">
        <v>503</v>
      </c>
      <c r="G478" s="168">
        <v>193.375</v>
      </c>
      <c r="H478" s="168">
        <f t="shared" si="44"/>
        <v>248.44600942382817</v>
      </c>
      <c r="I478" s="170">
        <v>2.5</v>
      </c>
      <c r="Y478" s="27">
        <v>455260</v>
      </c>
      <c r="AB478" s="77"/>
      <c r="AF478" s="142"/>
      <c r="AG478" s="149"/>
    </row>
    <row r="479" spans="1:33" ht="20.100000000000001" hidden="1" customHeight="1">
      <c r="A479" s="16" t="s">
        <v>26</v>
      </c>
      <c r="B479" s="140">
        <v>2012</v>
      </c>
      <c r="C479" s="104" t="s">
        <v>70</v>
      </c>
      <c r="D479" s="77" t="s">
        <v>531</v>
      </c>
      <c r="G479" s="168">
        <v>154.70000000000002</v>
      </c>
      <c r="H479" s="168">
        <f t="shared" si="44"/>
        <v>198.75680753906258</v>
      </c>
      <c r="I479" s="170">
        <v>2</v>
      </c>
      <c r="Y479" s="27">
        <v>463855</v>
      </c>
      <c r="AB479" s="77"/>
      <c r="AF479" s="142"/>
      <c r="AG479" s="149"/>
    </row>
    <row r="480" spans="1:33" ht="20.100000000000001" hidden="1" customHeight="1">
      <c r="A480" s="16" t="s">
        <v>26</v>
      </c>
      <c r="B480" s="140">
        <v>2012</v>
      </c>
      <c r="C480" s="104" t="s">
        <v>70</v>
      </c>
      <c r="D480" s="27" t="s">
        <v>202</v>
      </c>
      <c r="G480" s="168">
        <v>3171.3500000000004</v>
      </c>
      <c r="H480" s="168">
        <f t="shared" si="44"/>
        <v>4074.5145545507826</v>
      </c>
      <c r="I480" s="170">
        <v>41</v>
      </c>
      <c r="Y480" s="27"/>
      <c r="AB480" s="77"/>
      <c r="AF480" s="142"/>
      <c r="AG480" s="149"/>
    </row>
    <row r="481" spans="1:33" ht="20.100000000000001" hidden="1" customHeight="1">
      <c r="A481" s="16" t="s">
        <v>26</v>
      </c>
      <c r="B481" s="140">
        <v>2014</v>
      </c>
      <c r="C481" s="104" t="s">
        <v>70</v>
      </c>
      <c r="D481" s="77" t="s">
        <v>504</v>
      </c>
      <c r="E481" s="45" t="s">
        <v>513</v>
      </c>
      <c r="F481" s="45" t="s">
        <v>527</v>
      </c>
      <c r="G481" s="168">
        <v>1145.915</v>
      </c>
      <c r="H481" s="168">
        <f>G481/0.752728196932603</f>
        <v>1522.3489762568331</v>
      </c>
      <c r="I481" s="170">
        <v>15.5</v>
      </c>
      <c r="Y481" s="7">
        <v>2650040</v>
      </c>
      <c r="AB481" s="77"/>
      <c r="AF481" s="142"/>
      <c r="AG481" s="141"/>
    </row>
    <row r="482" spans="1:33" ht="20.100000000000001" hidden="1" customHeight="1">
      <c r="A482" s="16" t="s">
        <v>26</v>
      </c>
      <c r="B482" s="140">
        <v>2014</v>
      </c>
      <c r="C482" s="104" t="s">
        <v>70</v>
      </c>
      <c r="D482" s="77" t="s">
        <v>519</v>
      </c>
      <c r="G482" s="168">
        <v>702.33500000000004</v>
      </c>
      <c r="H482" s="168">
        <f t="shared" ref="H482:H491" si="45">G482/0.752728196932603</f>
        <v>933.05259835096228</v>
      </c>
      <c r="I482" s="170">
        <v>9.5</v>
      </c>
      <c r="Y482" s="7">
        <v>1760848</v>
      </c>
      <c r="AB482" s="77"/>
      <c r="AF482" s="142"/>
      <c r="AG482" s="141"/>
    </row>
    <row r="483" spans="1:33" ht="20.100000000000001" hidden="1" customHeight="1">
      <c r="A483" s="16" t="s">
        <v>26</v>
      </c>
      <c r="B483" s="140">
        <v>2014</v>
      </c>
      <c r="C483" s="104" t="s">
        <v>70</v>
      </c>
      <c r="D483" s="77" t="s">
        <v>532</v>
      </c>
      <c r="E483" s="45" t="s">
        <v>533</v>
      </c>
      <c r="G483" s="168">
        <v>569.26099999999997</v>
      </c>
      <c r="H483" s="168">
        <f t="shared" si="45"/>
        <v>756.26368497920089</v>
      </c>
      <c r="I483" s="170">
        <v>7.7</v>
      </c>
      <c r="Y483" s="27">
        <v>1364395</v>
      </c>
      <c r="AB483" s="77"/>
      <c r="AF483" s="142"/>
      <c r="AG483" s="141"/>
    </row>
    <row r="484" spans="1:33" ht="20.100000000000001" hidden="1" customHeight="1">
      <c r="A484" s="16" t="s">
        <v>26</v>
      </c>
      <c r="B484" s="140">
        <v>2014</v>
      </c>
      <c r="C484" s="104" t="s">
        <v>70</v>
      </c>
      <c r="D484" s="27" t="s">
        <v>451</v>
      </c>
      <c r="G484" s="168">
        <v>384.43600000000004</v>
      </c>
      <c r="H484" s="168">
        <f t="shared" si="45"/>
        <v>510.72352751842146</v>
      </c>
      <c r="I484" s="170">
        <v>5.2</v>
      </c>
      <c r="Y484" s="27">
        <v>1059233</v>
      </c>
      <c r="AB484" s="77"/>
      <c r="AF484" s="142"/>
      <c r="AG484" s="141"/>
    </row>
    <row r="485" spans="1:33" ht="20.100000000000001" hidden="1" customHeight="1">
      <c r="A485" s="16" t="s">
        <v>26</v>
      </c>
      <c r="B485" s="140">
        <v>2014</v>
      </c>
      <c r="C485" s="104" t="s">
        <v>70</v>
      </c>
      <c r="D485" s="77" t="s">
        <v>499</v>
      </c>
      <c r="G485" s="168">
        <v>369.65000000000003</v>
      </c>
      <c r="H485" s="168">
        <f t="shared" si="45"/>
        <v>491.08031492155914</v>
      </c>
      <c r="I485" s="170">
        <v>5</v>
      </c>
      <c r="Y485" s="27">
        <v>970626</v>
      </c>
      <c r="AB485" s="77"/>
      <c r="AF485" s="142"/>
      <c r="AG485" s="141"/>
    </row>
    <row r="486" spans="1:33" ht="20.100000000000001" hidden="1" customHeight="1">
      <c r="A486" s="16" t="s">
        <v>26</v>
      </c>
      <c r="B486" s="140">
        <v>2014</v>
      </c>
      <c r="C486" s="104" t="s">
        <v>70</v>
      </c>
      <c r="D486" s="77" t="s">
        <v>502</v>
      </c>
      <c r="G486" s="168">
        <v>317.899</v>
      </c>
      <c r="H486" s="168">
        <f t="shared" si="45"/>
        <v>422.32907083254082</v>
      </c>
      <c r="I486" s="170">
        <v>4.3</v>
      </c>
      <c r="Y486" s="27">
        <v>839329</v>
      </c>
      <c r="AB486" s="77"/>
      <c r="AF486" s="142"/>
      <c r="AG486" s="141"/>
    </row>
    <row r="487" spans="1:33" ht="20.100000000000001" hidden="1" customHeight="1">
      <c r="A487" s="16" t="s">
        <v>26</v>
      </c>
      <c r="B487" s="140">
        <v>2014</v>
      </c>
      <c r="C487" s="104" t="s">
        <v>70</v>
      </c>
      <c r="D487" s="77" t="s">
        <v>529</v>
      </c>
      <c r="G487" s="168">
        <v>243.96900000000002</v>
      </c>
      <c r="H487" s="168">
        <f t="shared" si="45"/>
        <v>324.11300784822902</v>
      </c>
      <c r="I487" s="170">
        <v>3.3</v>
      </c>
      <c r="Y487" s="27">
        <v>663953</v>
      </c>
      <c r="AB487" s="77"/>
      <c r="AF487" s="142"/>
      <c r="AG487" s="141"/>
    </row>
    <row r="488" spans="1:33" ht="20.100000000000001" hidden="1" customHeight="1">
      <c r="A488" s="16" t="s">
        <v>26</v>
      </c>
      <c r="B488" s="140">
        <v>2014</v>
      </c>
      <c r="C488" s="104" t="s">
        <v>70</v>
      </c>
      <c r="D488" s="77" t="s">
        <v>516</v>
      </c>
      <c r="G488" s="168">
        <v>221.79</v>
      </c>
      <c r="H488" s="168">
        <f t="shared" si="45"/>
        <v>294.64818895293541</v>
      </c>
      <c r="I488" s="170">
        <v>3</v>
      </c>
      <c r="Y488" s="27">
        <v>1556302</v>
      </c>
      <c r="AB488" s="77"/>
      <c r="AF488" s="142"/>
      <c r="AG488" s="141"/>
    </row>
    <row r="489" spans="1:33" ht="20.100000000000001" hidden="1" customHeight="1">
      <c r="A489" s="16" t="s">
        <v>26</v>
      </c>
      <c r="B489" s="140">
        <v>2014</v>
      </c>
      <c r="C489" s="104" t="s">
        <v>70</v>
      </c>
      <c r="D489" s="77" t="s">
        <v>531</v>
      </c>
      <c r="G489" s="168">
        <v>221.79</v>
      </c>
      <c r="H489" s="168">
        <f t="shared" si="45"/>
        <v>294.64818895293541</v>
      </c>
      <c r="I489" s="170">
        <v>3</v>
      </c>
      <c r="Y489" s="27">
        <v>745135</v>
      </c>
      <c r="AB489" s="77"/>
      <c r="AF489" s="142"/>
      <c r="AG489" s="141"/>
    </row>
    <row r="490" spans="1:33" ht="20.100000000000001" hidden="1" customHeight="1">
      <c r="A490" s="16" t="s">
        <v>26</v>
      </c>
      <c r="B490" s="140">
        <v>2014</v>
      </c>
      <c r="C490" s="104" t="s">
        <v>70</v>
      </c>
      <c r="D490" s="77" t="s">
        <v>534</v>
      </c>
      <c r="G490" s="168">
        <v>207.00399999999999</v>
      </c>
      <c r="H490" s="168">
        <f t="shared" si="45"/>
        <v>275.00497635607309</v>
      </c>
      <c r="I490" s="170">
        <v>2.8</v>
      </c>
      <c r="Y490" s="27">
        <v>471224</v>
      </c>
      <c r="AB490" s="77"/>
      <c r="AF490" s="142"/>
      <c r="AG490" s="141"/>
    </row>
    <row r="491" spans="1:33" ht="20.100000000000001" hidden="1" customHeight="1">
      <c r="A491" s="16" t="s">
        <v>26</v>
      </c>
      <c r="B491" s="140">
        <v>2014</v>
      </c>
      <c r="C491" s="104" t="s">
        <v>70</v>
      </c>
      <c r="D491" s="27" t="s">
        <v>202</v>
      </c>
      <c r="G491" s="168">
        <v>3008.951</v>
      </c>
      <c r="H491" s="168">
        <f t="shared" si="45"/>
        <v>3997.3937634614908</v>
      </c>
      <c r="I491" s="170">
        <v>40.700000000000003</v>
      </c>
      <c r="Y491" s="27"/>
      <c r="AB491" s="77"/>
      <c r="AF491" s="142"/>
      <c r="AG491" s="141"/>
    </row>
    <row r="492" spans="1:33" ht="20.100000000000001" hidden="1" customHeight="1">
      <c r="A492" s="16" t="s">
        <v>26</v>
      </c>
      <c r="B492" s="140">
        <v>2016</v>
      </c>
      <c r="C492" s="104" t="s">
        <v>70</v>
      </c>
      <c r="D492" s="77" t="s">
        <v>504</v>
      </c>
      <c r="E492" s="45" t="s">
        <v>513</v>
      </c>
      <c r="F492" s="45" t="s">
        <v>527</v>
      </c>
      <c r="G492" s="168">
        <v>1010.8000000000001</v>
      </c>
      <c r="H492" s="168">
        <f>G492/0.903421436257263</f>
        <v>1118.8576664591778</v>
      </c>
      <c r="I492" s="170">
        <v>14</v>
      </c>
      <c r="Y492" s="7">
        <v>2176057</v>
      </c>
      <c r="AB492" s="77"/>
      <c r="AG492" s="32" t="s">
        <v>535</v>
      </c>
    </row>
    <row r="493" spans="1:33" ht="20.100000000000001" hidden="1" customHeight="1">
      <c r="A493" s="16" t="s">
        <v>26</v>
      </c>
      <c r="B493" s="140">
        <v>2016</v>
      </c>
      <c r="C493" s="104" t="s">
        <v>70</v>
      </c>
      <c r="D493" s="77" t="s">
        <v>519</v>
      </c>
      <c r="E493" s="45" t="s">
        <v>520</v>
      </c>
      <c r="G493" s="168">
        <v>714.78000000000009</v>
      </c>
      <c r="H493" s="168">
        <f t="shared" ref="H493:H502" si="46">G493/0.903421436257263</f>
        <v>791.19220699613288</v>
      </c>
      <c r="I493" s="170">
        <v>9.9</v>
      </c>
      <c r="Y493" s="7">
        <v>1662100</v>
      </c>
      <c r="AB493" s="77"/>
      <c r="AF493" s="142"/>
      <c r="AG493" s="141"/>
    </row>
    <row r="494" spans="1:33" ht="20.100000000000001" hidden="1" customHeight="1">
      <c r="A494" s="16" t="s">
        <v>26</v>
      </c>
      <c r="B494" s="140">
        <v>2016</v>
      </c>
      <c r="C494" s="104" t="s">
        <v>70</v>
      </c>
      <c r="D494" s="77" t="s">
        <v>532</v>
      </c>
      <c r="E494" s="45" t="s">
        <v>533</v>
      </c>
      <c r="G494" s="168">
        <v>563.16</v>
      </c>
      <c r="H494" s="168">
        <f t="shared" si="46"/>
        <v>623.36355702725609</v>
      </c>
      <c r="I494" s="170">
        <v>7.8</v>
      </c>
      <c r="Y494" s="27">
        <v>1230749</v>
      </c>
      <c r="AB494" s="77"/>
      <c r="AG494" s="32" t="s">
        <v>536</v>
      </c>
    </row>
    <row r="495" spans="1:33" ht="20.100000000000001" hidden="1" customHeight="1">
      <c r="A495" s="16" t="s">
        <v>26</v>
      </c>
      <c r="B495" s="140">
        <v>2016</v>
      </c>
      <c r="C495" s="104" t="s">
        <v>70</v>
      </c>
      <c r="D495" s="77" t="s">
        <v>502</v>
      </c>
      <c r="G495" s="168">
        <v>324.89999999999998</v>
      </c>
      <c r="H495" s="168">
        <f t="shared" si="46"/>
        <v>359.63282136187848</v>
      </c>
      <c r="I495" s="170">
        <v>4.5</v>
      </c>
      <c r="Y495" s="27">
        <v>804595</v>
      </c>
      <c r="AB495" s="77"/>
      <c r="AF495" s="142"/>
      <c r="AG495" s="141"/>
    </row>
    <row r="496" spans="1:33" ht="20.100000000000001" hidden="1" customHeight="1">
      <c r="A496" s="16" t="s">
        <v>26</v>
      </c>
      <c r="B496" s="140">
        <v>2016</v>
      </c>
      <c r="C496" s="104" t="s">
        <v>70</v>
      </c>
      <c r="D496" s="27" t="s">
        <v>451</v>
      </c>
      <c r="G496" s="168">
        <v>382.65999999999997</v>
      </c>
      <c r="H496" s="168">
        <f t="shared" si="46"/>
        <v>423.56754515954577</v>
      </c>
      <c r="I496" s="170">
        <v>5.3</v>
      </c>
      <c r="Y496" s="27">
        <v>937304</v>
      </c>
      <c r="AB496" s="77"/>
      <c r="AF496" s="142"/>
      <c r="AG496" s="141"/>
    </row>
    <row r="497" spans="1:33" ht="20.100000000000001" hidden="1" customHeight="1">
      <c r="A497" s="16" t="s">
        <v>26</v>
      </c>
      <c r="B497" s="140">
        <v>2016</v>
      </c>
      <c r="C497" s="104" t="s">
        <v>70</v>
      </c>
      <c r="D497" s="77" t="s">
        <v>499</v>
      </c>
      <c r="G497" s="168">
        <v>382.65999999999997</v>
      </c>
      <c r="H497" s="168">
        <f t="shared" si="46"/>
        <v>423.56754515954577</v>
      </c>
      <c r="I497" s="170">
        <v>5.3</v>
      </c>
      <c r="Y497" s="27">
        <v>851948</v>
      </c>
      <c r="AB497" s="77"/>
      <c r="AF497" s="142"/>
      <c r="AG497" s="141"/>
    </row>
    <row r="498" spans="1:33" ht="20.100000000000001" hidden="1" customHeight="1">
      <c r="A498" s="16" t="s">
        <v>26</v>
      </c>
      <c r="B498" s="140">
        <v>2016</v>
      </c>
      <c r="C498" s="104" t="s">
        <v>70</v>
      </c>
      <c r="D498" s="77" t="s">
        <v>529</v>
      </c>
      <c r="G498" s="168">
        <v>252.70000000000002</v>
      </c>
      <c r="H498" s="168">
        <f t="shared" si="46"/>
        <v>279.71441661479446</v>
      </c>
      <c r="I498" s="170">
        <v>3.5</v>
      </c>
      <c r="Y498" s="27">
        <v>636768</v>
      </c>
      <c r="AB498" s="77"/>
      <c r="AF498" s="142"/>
      <c r="AG498" s="141"/>
    </row>
    <row r="499" spans="1:33" ht="20.100000000000001" hidden="1" customHeight="1">
      <c r="A499" s="16" t="s">
        <v>26</v>
      </c>
      <c r="B499" s="140">
        <v>2016</v>
      </c>
      <c r="C499" s="104" t="s">
        <v>70</v>
      </c>
      <c r="D499" s="77" t="s">
        <v>516</v>
      </c>
      <c r="G499" s="168">
        <v>245.48000000000002</v>
      </c>
      <c r="H499" s="168">
        <f t="shared" si="46"/>
        <v>271.72257614008601</v>
      </c>
      <c r="I499" s="170">
        <v>3.4</v>
      </c>
      <c r="Y499" s="27">
        <v>1437372</v>
      </c>
      <c r="AB499" s="77"/>
      <c r="AF499" s="142"/>
      <c r="AG499" s="141"/>
    </row>
    <row r="500" spans="1:33" ht="20.100000000000001" hidden="1" customHeight="1">
      <c r="A500" s="16" t="s">
        <v>26</v>
      </c>
      <c r="B500" s="140">
        <v>2016</v>
      </c>
      <c r="C500" s="104" t="s">
        <v>70</v>
      </c>
      <c r="D500" s="77" t="s">
        <v>531</v>
      </c>
      <c r="G500" s="168">
        <v>231.04</v>
      </c>
      <c r="H500" s="168">
        <f t="shared" si="46"/>
        <v>255.73889519066915</v>
      </c>
      <c r="I500" s="170">
        <v>3.2</v>
      </c>
      <c r="Y500" s="27">
        <v>707254</v>
      </c>
      <c r="AB500" s="77"/>
      <c r="AF500" s="142"/>
      <c r="AG500" s="141"/>
    </row>
    <row r="501" spans="1:33" ht="20.100000000000001" hidden="1" customHeight="1">
      <c r="A501" s="16" t="s">
        <v>26</v>
      </c>
      <c r="B501" s="140">
        <v>2016</v>
      </c>
      <c r="C501" s="104" t="s">
        <v>70</v>
      </c>
      <c r="D501" s="77" t="s">
        <v>537</v>
      </c>
      <c r="G501" s="168">
        <v>209.38</v>
      </c>
      <c r="H501" s="168">
        <f t="shared" si="46"/>
        <v>231.76337376654394</v>
      </c>
      <c r="I501" s="170">
        <v>2.9</v>
      </c>
      <c r="Y501" s="27">
        <v>460504</v>
      </c>
      <c r="AB501" s="77"/>
      <c r="AF501" s="142"/>
      <c r="AG501" s="141"/>
    </row>
    <row r="502" spans="1:33" ht="20.100000000000001" hidden="1" customHeight="1">
      <c r="A502" s="16" t="s">
        <v>26</v>
      </c>
      <c r="B502" s="140">
        <v>2016</v>
      </c>
      <c r="C502" s="104" t="s">
        <v>70</v>
      </c>
      <c r="D502" s="27" t="s">
        <v>202</v>
      </c>
      <c r="G502" s="168">
        <v>2902.44</v>
      </c>
      <c r="H502" s="168">
        <f t="shared" si="46"/>
        <v>3212.7198708327815</v>
      </c>
      <c r="I502" s="170">
        <v>40.200000000000003</v>
      </c>
      <c r="Y502" s="27"/>
      <c r="AB502" s="77"/>
      <c r="AF502" s="142"/>
      <c r="AG502" s="141"/>
    </row>
    <row r="503" spans="1:33" ht="20.100000000000001" hidden="1" customHeight="1">
      <c r="A503" s="16" t="s">
        <v>26</v>
      </c>
      <c r="B503" s="140">
        <v>2018</v>
      </c>
      <c r="C503" s="104" t="s">
        <v>70</v>
      </c>
      <c r="D503" s="77" t="s">
        <v>519</v>
      </c>
      <c r="E503" s="45" t="s">
        <v>520</v>
      </c>
      <c r="F503" s="45" t="s">
        <v>538</v>
      </c>
      <c r="G503" s="168">
        <v>734.02</v>
      </c>
      <c r="H503" s="168">
        <f>G503/0.846772667108111</f>
        <v>866.84422928625838</v>
      </c>
      <c r="I503" s="170">
        <v>10.7</v>
      </c>
      <c r="Y503" s="7">
        <v>1646978</v>
      </c>
      <c r="AB503" s="77"/>
      <c r="AF503" s="142"/>
      <c r="AG503" s="149"/>
    </row>
    <row r="504" spans="1:33" ht="20.100000000000001" hidden="1" customHeight="1">
      <c r="A504" s="16" t="s">
        <v>26</v>
      </c>
      <c r="B504" s="140">
        <v>2018</v>
      </c>
      <c r="C504" s="104" t="s">
        <v>70</v>
      </c>
      <c r="D504" s="77" t="s">
        <v>504</v>
      </c>
      <c r="E504" s="45" t="s">
        <v>513</v>
      </c>
      <c r="F504" s="45" t="s">
        <v>527</v>
      </c>
      <c r="G504" s="168">
        <v>871.22</v>
      </c>
      <c r="H504" s="168">
        <f t="shared" ref="H504:H513" si="47">G504/0.846772667108111</f>
        <v>1028.8711880313535</v>
      </c>
      <c r="I504" s="170">
        <v>12.7</v>
      </c>
      <c r="Y504" s="7">
        <v>1788413</v>
      </c>
      <c r="AB504" s="77"/>
      <c r="AG504" s="86" t="s">
        <v>539</v>
      </c>
    </row>
    <row r="505" spans="1:33" ht="20.100000000000001" hidden="1" customHeight="1">
      <c r="A505" s="16" t="s">
        <v>26</v>
      </c>
      <c r="B505" s="140">
        <v>2018</v>
      </c>
      <c r="C505" s="104" t="s">
        <v>70</v>
      </c>
      <c r="D505" s="77" t="s">
        <v>532</v>
      </c>
      <c r="G505" s="168">
        <v>541.94000000000005</v>
      </c>
      <c r="H505" s="168">
        <f t="shared" si="47"/>
        <v>640.0064870431255</v>
      </c>
      <c r="I505" s="170">
        <v>7.9</v>
      </c>
      <c r="Y505" s="27">
        <v>1123875</v>
      </c>
      <c r="AB505" s="77"/>
      <c r="AF505" s="142"/>
      <c r="AG505" s="149"/>
    </row>
    <row r="506" spans="1:33" ht="20.100000000000001" hidden="1" customHeight="1">
      <c r="A506" s="16" t="s">
        <v>26</v>
      </c>
      <c r="B506" s="140">
        <v>2018</v>
      </c>
      <c r="C506" s="104" t="s">
        <v>70</v>
      </c>
      <c r="D506" s="77" t="s">
        <v>502</v>
      </c>
      <c r="G506" s="168">
        <v>391.02000000000004</v>
      </c>
      <c r="H506" s="168">
        <f t="shared" si="47"/>
        <v>461.77683242352089</v>
      </c>
      <c r="I506" s="170">
        <v>5.7</v>
      </c>
      <c r="Y506" s="27">
        <v>911641</v>
      </c>
      <c r="AB506" s="77"/>
      <c r="AF506" s="142"/>
      <c r="AG506" s="141"/>
    </row>
    <row r="507" spans="1:33" ht="20.100000000000001" hidden="1" customHeight="1">
      <c r="A507" s="16" t="s">
        <v>26</v>
      </c>
      <c r="B507" s="140">
        <v>2018</v>
      </c>
      <c r="C507" s="104" t="s">
        <v>70</v>
      </c>
      <c r="D507" s="27" t="s">
        <v>451</v>
      </c>
      <c r="G507" s="168">
        <v>384.15999999999997</v>
      </c>
      <c r="H507" s="168">
        <f t="shared" si="47"/>
        <v>453.67548448626604</v>
      </c>
      <c r="I507" s="170">
        <v>5.6</v>
      </c>
      <c r="Y507" s="27">
        <v>862531</v>
      </c>
      <c r="AB507" s="77"/>
      <c r="AF507" s="142"/>
      <c r="AG507" s="149"/>
    </row>
    <row r="508" spans="1:33" ht="20.100000000000001" hidden="1" customHeight="1">
      <c r="A508" s="16" t="s">
        <v>26</v>
      </c>
      <c r="B508" s="140">
        <v>2018</v>
      </c>
      <c r="C508" s="104" t="s">
        <v>70</v>
      </c>
      <c r="D508" s="77" t="s">
        <v>529</v>
      </c>
      <c r="G508" s="168">
        <v>260.68</v>
      </c>
      <c r="H508" s="168">
        <f t="shared" si="47"/>
        <v>307.85122161568057</v>
      </c>
      <c r="I508" s="170">
        <v>3.8</v>
      </c>
      <c r="Y508" s="27">
        <v>622721</v>
      </c>
      <c r="AB508" s="77"/>
      <c r="AF508" s="142"/>
      <c r="AG508" s="141"/>
    </row>
    <row r="509" spans="1:33" ht="20.100000000000001" hidden="1" customHeight="1">
      <c r="A509" s="16" t="s">
        <v>26</v>
      </c>
      <c r="B509" s="140">
        <v>2018</v>
      </c>
      <c r="C509" s="104" t="s">
        <v>70</v>
      </c>
      <c r="D509" s="77" t="s">
        <v>531</v>
      </c>
      <c r="G509" s="168">
        <v>226.38000000000002</v>
      </c>
      <c r="H509" s="168">
        <f t="shared" si="47"/>
        <v>267.34448192940681</v>
      </c>
      <c r="I509" s="170">
        <v>3.3</v>
      </c>
      <c r="Y509" s="27">
        <v>651310</v>
      </c>
      <c r="AB509" s="77"/>
      <c r="AF509" s="142"/>
      <c r="AG509" s="149"/>
    </row>
    <row r="510" spans="1:33" ht="20.100000000000001" hidden="1" customHeight="1">
      <c r="A510" s="16" t="s">
        <v>26</v>
      </c>
      <c r="B510" s="140">
        <v>2018</v>
      </c>
      <c r="C510" s="104" t="s">
        <v>70</v>
      </c>
      <c r="D510" s="77" t="s">
        <v>516</v>
      </c>
      <c r="G510" s="168">
        <v>233.24</v>
      </c>
      <c r="H510" s="168">
        <f t="shared" si="47"/>
        <v>275.44582986666154</v>
      </c>
      <c r="I510" s="170">
        <v>3.4</v>
      </c>
      <c r="Y510" s="27">
        <v>1310056</v>
      </c>
      <c r="AB510" s="77"/>
      <c r="AF510" s="142"/>
      <c r="AG510" s="149"/>
    </row>
    <row r="511" spans="1:33" ht="20.100000000000001" hidden="1" customHeight="1">
      <c r="A511" s="16" t="s">
        <v>26</v>
      </c>
      <c r="B511" s="140">
        <v>2018</v>
      </c>
      <c r="C511" s="104" t="s">
        <v>70</v>
      </c>
      <c r="D511" s="77" t="s">
        <v>537</v>
      </c>
      <c r="G511" s="168">
        <v>219.52</v>
      </c>
      <c r="H511" s="168">
        <f t="shared" si="47"/>
        <v>259.24313399215208</v>
      </c>
      <c r="I511" s="170">
        <v>3.2</v>
      </c>
      <c r="Y511" s="27">
        <v>452832</v>
      </c>
      <c r="AB511" s="77"/>
      <c r="AF511" s="142"/>
      <c r="AG511" s="141"/>
    </row>
    <row r="512" spans="1:33" ht="23.1" hidden="1" customHeight="1">
      <c r="A512" s="16" t="s">
        <v>26</v>
      </c>
      <c r="B512" s="140">
        <v>2018</v>
      </c>
      <c r="C512" s="104" t="s">
        <v>70</v>
      </c>
      <c r="D512" s="77" t="s">
        <v>499</v>
      </c>
      <c r="G512" s="168">
        <v>356.72</v>
      </c>
      <c r="H512" s="168">
        <f t="shared" si="47"/>
        <v>421.27009273724713</v>
      </c>
      <c r="I512" s="170">
        <v>5.2</v>
      </c>
      <c r="Y512" s="27">
        <v>753732</v>
      </c>
      <c r="AB512" s="77"/>
      <c r="AF512" s="142"/>
      <c r="AG512" s="141"/>
    </row>
    <row r="513" spans="1:33" ht="20.100000000000001" hidden="1" customHeight="1">
      <c r="A513" s="16" t="s">
        <v>26</v>
      </c>
      <c r="B513" s="140">
        <v>2018</v>
      </c>
      <c r="C513" s="104" t="s">
        <v>70</v>
      </c>
      <c r="D513" s="27" t="s">
        <v>202</v>
      </c>
      <c r="G513" s="168">
        <v>2634.2400000000002</v>
      </c>
      <c r="H513" s="168">
        <f t="shared" si="47"/>
        <v>3110.9176079058248</v>
      </c>
      <c r="I513" s="170">
        <v>38.4</v>
      </c>
      <c r="Y513" s="27"/>
      <c r="AB513" s="77"/>
      <c r="AF513" s="142"/>
      <c r="AG513" s="141"/>
    </row>
    <row r="514" spans="1:33" ht="20.100000000000001" hidden="1" customHeight="1">
      <c r="A514" s="16" t="s">
        <v>26</v>
      </c>
      <c r="B514" s="140">
        <v>2020</v>
      </c>
      <c r="C514" s="104" t="s">
        <v>70</v>
      </c>
      <c r="D514" s="77" t="s">
        <v>519</v>
      </c>
      <c r="E514" s="45" t="s">
        <v>520</v>
      </c>
      <c r="F514" s="45" t="s">
        <v>538</v>
      </c>
      <c r="G514" s="168">
        <v>803.73500000000001</v>
      </c>
      <c r="H514" s="170">
        <f t="shared" ref="H514:H524" si="48">G514/0.875506396987998</f>
        <v>918.02298962644602</v>
      </c>
      <c r="I514" s="170">
        <v>11.5</v>
      </c>
      <c r="Y514" s="27"/>
      <c r="AB514" s="77"/>
      <c r="AG514" s="102" t="s">
        <v>540</v>
      </c>
    </row>
    <row r="515" spans="1:33" ht="20.100000000000001" hidden="1" customHeight="1">
      <c r="A515" s="16" t="s">
        <v>26</v>
      </c>
      <c r="B515" s="140">
        <v>2020</v>
      </c>
      <c r="C515" s="104" t="s">
        <v>70</v>
      </c>
      <c r="D515" s="77" t="s">
        <v>504</v>
      </c>
      <c r="E515" s="45" t="s">
        <v>513</v>
      </c>
      <c r="F515" s="45" t="s">
        <v>527</v>
      </c>
      <c r="G515" s="168">
        <v>775.779</v>
      </c>
      <c r="H515" s="170">
        <f t="shared" si="48"/>
        <v>886.09175520465658</v>
      </c>
      <c r="I515" s="170">
        <v>11.1</v>
      </c>
      <c r="Y515" s="27"/>
      <c r="AB515" s="77"/>
      <c r="AG515" s="96" t="s">
        <v>541</v>
      </c>
    </row>
    <row r="516" spans="1:33" ht="20.100000000000001" hidden="1" customHeight="1">
      <c r="A516" s="16" t="s">
        <v>26</v>
      </c>
      <c r="B516" s="140">
        <v>2020</v>
      </c>
      <c r="C516" s="104" t="s">
        <v>70</v>
      </c>
      <c r="D516" s="77" t="s">
        <v>532</v>
      </c>
      <c r="E516" s="45" t="s">
        <v>533</v>
      </c>
      <c r="G516" s="168">
        <v>524.17499999999995</v>
      </c>
      <c r="H516" s="170">
        <f t="shared" si="48"/>
        <v>598.71064540855161</v>
      </c>
      <c r="I516" s="170">
        <v>7.5</v>
      </c>
      <c r="Y516" s="27"/>
      <c r="AB516" s="77"/>
      <c r="AG516" s="103" t="s">
        <v>542</v>
      </c>
    </row>
    <row r="517" spans="1:33" ht="20.100000000000001" hidden="1" customHeight="1">
      <c r="A517" s="16" t="s">
        <v>26</v>
      </c>
      <c r="B517" s="140">
        <v>2020</v>
      </c>
      <c r="C517" s="104" t="s">
        <v>70</v>
      </c>
      <c r="D517" s="77" t="s">
        <v>502</v>
      </c>
      <c r="G517" s="168">
        <v>405.36199999999997</v>
      </c>
      <c r="H517" s="170">
        <f t="shared" si="48"/>
        <v>463.0028991159466</v>
      </c>
      <c r="I517" s="170">
        <v>5.8</v>
      </c>
      <c r="Y517" s="27"/>
      <c r="AB517" s="77"/>
      <c r="AG517" s="103" t="s">
        <v>543</v>
      </c>
    </row>
    <row r="518" spans="1:33" ht="20.100000000000001" hidden="1" customHeight="1">
      <c r="A518" s="16" t="s">
        <v>26</v>
      </c>
      <c r="B518" s="140">
        <v>2020</v>
      </c>
      <c r="C518" s="104" t="s">
        <v>70</v>
      </c>
      <c r="D518" s="27" t="s">
        <v>451</v>
      </c>
      <c r="G518" s="168">
        <v>377.40600000000006</v>
      </c>
      <c r="H518" s="170">
        <f t="shared" si="48"/>
        <v>431.07166469415728</v>
      </c>
      <c r="I518" s="170">
        <v>5.4</v>
      </c>
      <c r="Y518" s="27"/>
      <c r="AB518" s="77"/>
      <c r="AG518" s="103" t="s">
        <v>544</v>
      </c>
    </row>
    <row r="519" spans="1:33" ht="20.100000000000001" hidden="1" customHeight="1">
      <c r="A519" s="16" t="s">
        <v>26</v>
      </c>
      <c r="B519" s="140">
        <v>2020</v>
      </c>
      <c r="C519" s="104" t="s">
        <v>70</v>
      </c>
      <c r="D519" s="77" t="s">
        <v>529</v>
      </c>
      <c r="G519" s="168">
        <v>272.57100000000003</v>
      </c>
      <c r="H519" s="170">
        <f t="shared" si="48"/>
        <v>311.32953561244693</v>
      </c>
      <c r="I519" s="170">
        <v>3.9</v>
      </c>
      <c r="Y519" s="27"/>
      <c r="AB519" s="77"/>
      <c r="AG519" s="103" t="s">
        <v>545</v>
      </c>
    </row>
    <row r="520" spans="1:33" ht="20.100000000000001" hidden="1" customHeight="1">
      <c r="A520" s="16" t="s">
        <v>26</v>
      </c>
      <c r="B520" s="140">
        <v>2020</v>
      </c>
      <c r="C520" s="104" t="s">
        <v>70</v>
      </c>
      <c r="D520" s="77" t="s">
        <v>531</v>
      </c>
      <c r="G520" s="168">
        <v>244.61500000000001</v>
      </c>
      <c r="H520" s="170">
        <f t="shared" si="48"/>
        <v>279.39830119065749</v>
      </c>
      <c r="I520" s="170">
        <v>3.5</v>
      </c>
      <c r="Y520" s="27"/>
      <c r="AB520" s="77"/>
      <c r="AG520" s="103" t="s">
        <v>544</v>
      </c>
    </row>
    <row r="521" spans="1:33" ht="20.100000000000001" hidden="1" customHeight="1">
      <c r="A521" s="16" t="s">
        <v>26</v>
      </c>
      <c r="B521" s="140">
        <v>2020</v>
      </c>
      <c r="C521" s="104" t="s">
        <v>70</v>
      </c>
      <c r="D521" s="77" t="s">
        <v>516</v>
      </c>
      <c r="G521" s="168">
        <v>237.626</v>
      </c>
      <c r="H521" s="170">
        <f t="shared" si="48"/>
        <v>271.41549258521013</v>
      </c>
      <c r="I521" s="170">
        <v>3.4</v>
      </c>
      <c r="Y521" s="27"/>
      <c r="AB521" s="77"/>
      <c r="AG521" s="103" t="s">
        <v>544</v>
      </c>
    </row>
    <row r="522" spans="1:33" ht="20.100000000000001" hidden="1" customHeight="1">
      <c r="A522" s="16" t="s">
        <v>26</v>
      </c>
      <c r="B522" s="140">
        <v>2020</v>
      </c>
      <c r="C522" s="104" t="s">
        <v>70</v>
      </c>
      <c r="D522" s="77" t="s">
        <v>537</v>
      </c>
      <c r="G522" s="168">
        <v>223.648</v>
      </c>
      <c r="H522" s="170">
        <f t="shared" si="48"/>
        <v>255.44987537431538</v>
      </c>
      <c r="I522" s="170">
        <v>3.2</v>
      </c>
      <c r="Y522" s="27"/>
      <c r="AB522" s="77"/>
      <c r="AG522" s="103" t="s">
        <v>544</v>
      </c>
    </row>
    <row r="523" spans="1:33" ht="20.100000000000001" hidden="1" customHeight="1">
      <c r="A523" s="16" t="s">
        <v>26</v>
      </c>
      <c r="B523" s="140">
        <v>2020</v>
      </c>
      <c r="C523" s="104" t="s">
        <v>70</v>
      </c>
      <c r="D523" s="77" t="s">
        <v>499</v>
      </c>
      <c r="G523" s="168">
        <v>153.75800000000001</v>
      </c>
      <c r="H523" s="170">
        <f t="shared" si="48"/>
        <v>175.62178931984184</v>
      </c>
      <c r="I523" s="170">
        <v>2.2000000000000002</v>
      </c>
      <c r="Y523" s="27"/>
      <c r="AB523" s="77"/>
      <c r="AG523" s="103" t="s">
        <v>544</v>
      </c>
    </row>
    <row r="524" spans="1:33" ht="20.100000000000001" hidden="1" customHeight="1">
      <c r="A524" s="16" t="s">
        <v>26</v>
      </c>
      <c r="B524" s="140">
        <v>2020</v>
      </c>
      <c r="C524" s="104" t="s">
        <v>70</v>
      </c>
      <c r="D524" s="27" t="s">
        <v>202</v>
      </c>
      <c r="G524" s="168">
        <v>3368.6980000000003</v>
      </c>
      <c r="H524" s="170">
        <f t="shared" si="48"/>
        <v>3847.7137478256259</v>
      </c>
      <c r="I524" s="170">
        <v>48.2</v>
      </c>
      <c r="Y524" s="27"/>
      <c r="AB524" s="77"/>
      <c r="AG524" s="77" t="s">
        <v>546</v>
      </c>
    </row>
    <row r="525" spans="1:33" ht="20.100000000000001" hidden="1" customHeight="1">
      <c r="A525" s="16" t="s">
        <v>26</v>
      </c>
      <c r="B525" s="140">
        <v>2022</v>
      </c>
      <c r="C525" s="104" t="s">
        <v>70</v>
      </c>
      <c r="D525" s="77" t="s">
        <v>519</v>
      </c>
      <c r="E525" s="45" t="s">
        <v>520</v>
      </c>
      <c r="F525" s="45" t="s">
        <v>538</v>
      </c>
      <c r="G525" s="168">
        <v>805.822</v>
      </c>
      <c r="H525" s="170">
        <f t="shared" ref="H525:H535" si="49">G525/0.949623753156941</f>
        <v>848.56975967704614</v>
      </c>
      <c r="I525" s="170">
        <v>11.8</v>
      </c>
      <c r="Y525" s="27"/>
      <c r="AB525" s="77"/>
      <c r="AG525" s="102" t="s">
        <v>547</v>
      </c>
    </row>
    <row r="526" spans="1:33" ht="20.100000000000001" hidden="1" customHeight="1">
      <c r="A526" s="16" t="s">
        <v>26</v>
      </c>
      <c r="B526" s="140">
        <v>2022</v>
      </c>
      <c r="C526" s="104" t="s">
        <v>70</v>
      </c>
      <c r="D526" s="77" t="s">
        <v>504</v>
      </c>
      <c r="E526" s="45" t="s">
        <v>513</v>
      </c>
      <c r="F526" s="45" t="s">
        <v>527</v>
      </c>
      <c r="G526" s="168">
        <v>723.87400000000002</v>
      </c>
      <c r="H526" s="170">
        <f t="shared" si="49"/>
        <v>762.27452987938045</v>
      </c>
      <c r="I526" s="170">
        <v>10.6</v>
      </c>
      <c r="Y526" s="27"/>
      <c r="AB526" s="77"/>
      <c r="AG526" s="102" t="s">
        <v>548</v>
      </c>
    </row>
    <row r="527" spans="1:33" ht="20.100000000000001" hidden="1" customHeight="1">
      <c r="A527" s="16" t="s">
        <v>26</v>
      </c>
      <c r="B527" s="140">
        <v>2022</v>
      </c>
      <c r="C527" s="104" t="s">
        <v>70</v>
      </c>
      <c r="D527" s="77" t="s">
        <v>532</v>
      </c>
      <c r="E527" s="45" t="s">
        <v>533</v>
      </c>
      <c r="G527" s="168">
        <v>484.85899999999992</v>
      </c>
      <c r="H527" s="170">
        <f t="shared" si="49"/>
        <v>510.58010963618869</v>
      </c>
      <c r="I527" s="170">
        <v>7.1</v>
      </c>
      <c r="Y527" s="27"/>
      <c r="AB527" s="77"/>
      <c r="AG527" s="102" t="s">
        <v>549</v>
      </c>
    </row>
    <row r="528" spans="1:33" ht="20.100000000000001" hidden="1" customHeight="1">
      <c r="A528" s="16" t="s">
        <v>26</v>
      </c>
      <c r="B528" s="140">
        <v>2022</v>
      </c>
      <c r="C528" s="104" t="s">
        <v>70</v>
      </c>
      <c r="D528" s="77" t="s">
        <v>502</v>
      </c>
      <c r="G528" s="168">
        <v>402.91100000000006</v>
      </c>
      <c r="H528" s="170">
        <f t="shared" si="49"/>
        <v>424.28487983852312</v>
      </c>
      <c r="I528" s="170">
        <v>5.9</v>
      </c>
      <c r="Y528" s="27"/>
      <c r="AB528" s="77"/>
      <c r="AG528" s="102" t="s">
        <v>544</v>
      </c>
    </row>
    <row r="529" spans="1:33" ht="20.100000000000001" hidden="1" customHeight="1">
      <c r="A529" s="16" t="s">
        <v>26</v>
      </c>
      <c r="B529" s="140">
        <v>2022</v>
      </c>
      <c r="C529" s="104" t="s">
        <v>70</v>
      </c>
      <c r="D529" s="27" t="s">
        <v>451</v>
      </c>
      <c r="G529" s="168">
        <v>382.42399999999998</v>
      </c>
      <c r="H529" s="170">
        <f t="shared" si="49"/>
        <v>402.71107238910662</v>
      </c>
      <c r="I529" s="170">
        <v>5.6</v>
      </c>
      <c r="Y529" s="27"/>
      <c r="AB529" s="77"/>
      <c r="AG529" s="102" t="s">
        <v>544</v>
      </c>
    </row>
    <row r="530" spans="1:33" ht="20.100000000000001" hidden="1" customHeight="1">
      <c r="A530" s="16" t="s">
        <v>26</v>
      </c>
      <c r="B530" s="140">
        <v>2022</v>
      </c>
      <c r="C530" s="104" t="s">
        <v>70</v>
      </c>
      <c r="D530" s="77" t="s">
        <v>529</v>
      </c>
      <c r="G530" s="168">
        <v>266.33100000000002</v>
      </c>
      <c r="H530" s="170">
        <f t="shared" si="49"/>
        <v>280.45949684241356</v>
      </c>
      <c r="I530" s="170">
        <v>3.9</v>
      </c>
      <c r="Y530" s="27"/>
      <c r="AB530" s="77"/>
      <c r="AG530" s="102" t="s">
        <v>544</v>
      </c>
    </row>
    <row r="531" spans="1:33" ht="20.100000000000001" hidden="1" customHeight="1">
      <c r="A531" s="16" t="s">
        <v>26</v>
      </c>
      <c r="B531" s="140">
        <v>2022</v>
      </c>
      <c r="C531" s="104" t="s">
        <v>70</v>
      </c>
      <c r="D531" s="77" t="s">
        <v>531</v>
      </c>
      <c r="G531" s="168">
        <v>239.01500000000001</v>
      </c>
      <c r="H531" s="170">
        <f t="shared" si="49"/>
        <v>251.69442024319164</v>
      </c>
      <c r="I531" s="170">
        <v>3.5</v>
      </c>
      <c r="Y531" s="27"/>
      <c r="AB531" s="77"/>
      <c r="AG531" s="102" t="s">
        <v>544</v>
      </c>
    </row>
    <row r="532" spans="1:33" ht="20.100000000000001" hidden="1" customHeight="1">
      <c r="A532" s="16" t="s">
        <v>26</v>
      </c>
      <c r="B532" s="140">
        <v>2022</v>
      </c>
      <c r="C532" s="104" t="s">
        <v>70</v>
      </c>
      <c r="D532" s="77" t="s">
        <v>516</v>
      </c>
      <c r="G532" s="168">
        <v>239.01500000000001</v>
      </c>
      <c r="H532" s="170">
        <f t="shared" si="49"/>
        <v>251.69442024319164</v>
      </c>
      <c r="I532" s="170">
        <v>3.5</v>
      </c>
      <c r="Y532" s="27"/>
      <c r="AB532" s="77"/>
      <c r="AG532" s="102" t="s">
        <v>544</v>
      </c>
    </row>
    <row r="533" spans="1:33" ht="20.100000000000001" hidden="1" customHeight="1">
      <c r="A533" s="16" t="s">
        <v>26</v>
      </c>
      <c r="B533" s="140">
        <v>2022</v>
      </c>
      <c r="C533" s="104" t="s">
        <v>70</v>
      </c>
      <c r="D533" s="77" t="s">
        <v>537</v>
      </c>
      <c r="G533" s="168">
        <v>232.18599999999998</v>
      </c>
      <c r="H533" s="170">
        <f t="shared" si="49"/>
        <v>244.50315109338615</v>
      </c>
      <c r="I533" s="170">
        <v>3.4</v>
      </c>
      <c r="Y533" s="27"/>
      <c r="AB533" s="77"/>
      <c r="AG533" s="102" t="s">
        <v>544</v>
      </c>
    </row>
    <row r="534" spans="1:33" ht="20.100000000000001" hidden="1" customHeight="1">
      <c r="A534" s="16" t="s">
        <v>26</v>
      </c>
      <c r="B534" s="140">
        <v>2022</v>
      </c>
      <c r="C534" s="104" t="s">
        <v>70</v>
      </c>
      <c r="D534" s="77" t="s">
        <v>550</v>
      </c>
      <c r="G534" s="168">
        <v>177.55400000000003</v>
      </c>
      <c r="H534" s="170">
        <f t="shared" si="49"/>
        <v>186.97299789494238</v>
      </c>
      <c r="I534" s="170">
        <v>2.6</v>
      </c>
      <c r="Y534" s="27"/>
      <c r="AB534" s="77"/>
      <c r="AG534" s="102" t="s">
        <v>551</v>
      </c>
    </row>
    <row r="535" spans="1:33" ht="20.100000000000001" hidden="1" customHeight="1">
      <c r="A535" s="16" t="s">
        <v>26</v>
      </c>
      <c r="B535" s="140">
        <v>2022</v>
      </c>
      <c r="C535" s="104" t="s">
        <v>70</v>
      </c>
      <c r="D535" s="27" t="s">
        <v>202</v>
      </c>
      <c r="G535" s="168">
        <v>2881.8380000000006</v>
      </c>
      <c r="H535" s="170">
        <f t="shared" si="49"/>
        <v>3034.7155812179112</v>
      </c>
      <c r="I535" s="170">
        <v>42.2</v>
      </c>
      <c r="Y535" s="27"/>
      <c r="AB535" s="77"/>
      <c r="AG535" s="77" t="s">
        <v>546</v>
      </c>
    </row>
    <row r="536" spans="1:33" ht="20.100000000000001" hidden="1" customHeight="1">
      <c r="A536" s="16" t="s">
        <v>26</v>
      </c>
      <c r="B536" s="16">
        <v>1980</v>
      </c>
      <c r="C536" s="14" t="s">
        <v>72</v>
      </c>
      <c r="D536" s="9" t="s">
        <v>447</v>
      </c>
      <c r="E536" s="128"/>
      <c r="F536" s="17"/>
      <c r="G536" s="169"/>
      <c r="H536" s="228"/>
      <c r="I536" s="229">
        <v>28.55</v>
      </c>
      <c r="J536" s="229"/>
      <c r="Y536" s="76"/>
      <c r="AB536" s="77"/>
      <c r="AC536" s="76"/>
      <c r="AG536" s="86" t="s">
        <v>552</v>
      </c>
    </row>
    <row r="537" spans="1:33" ht="20.100000000000001" hidden="1" customHeight="1">
      <c r="A537" s="16" t="s">
        <v>26</v>
      </c>
      <c r="B537" s="16">
        <v>1980</v>
      </c>
      <c r="C537" s="14" t="s">
        <v>72</v>
      </c>
      <c r="D537" s="121" t="s">
        <v>553</v>
      </c>
      <c r="E537" s="128"/>
      <c r="F537" s="17"/>
      <c r="G537" s="169"/>
      <c r="H537" s="228"/>
      <c r="I537" s="229">
        <v>13.03</v>
      </c>
      <c r="J537" s="229"/>
      <c r="Y537" s="76"/>
      <c r="AB537" s="77"/>
      <c r="AC537" s="76"/>
      <c r="AF537" s="142"/>
      <c r="AG537" s="149"/>
    </row>
    <row r="538" spans="1:33" ht="20.100000000000001" hidden="1" customHeight="1">
      <c r="A538" s="16" t="s">
        <v>26</v>
      </c>
      <c r="B538" s="16">
        <v>1980</v>
      </c>
      <c r="C538" s="14" t="s">
        <v>72</v>
      </c>
      <c r="D538" s="9" t="s">
        <v>492</v>
      </c>
      <c r="E538" s="128"/>
      <c r="F538" s="17"/>
      <c r="G538" s="169"/>
      <c r="H538" s="226"/>
      <c r="I538" s="229">
        <v>15.17</v>
      </c>
      <c r="J538" s="229"/>
      <c r="Y538" s="76"/>
      <c r="AB538" s="77"/>
      <c r="AC538" s="76"/>
      <c r="AF538" s="142"/>
      <c r="AG538" s="149"/>
    </row>
    <row r="539" spans="1:33" ht="20.100000000000001" hidden="1" customHeight="1">
      <c r="A539" s="16" t="s">
        <v>26</v>
      </c>
      <c r="B539" s="16">
        <v>1980</v>
      </c>
      <c r="C539" s="14" t="s">
        <v>72</v>
      </c>
      <c r="D539" s="27" t="s">
        <v>482</v>
      </c>
      <c r="E539" s="128" t="s">
        <v>554</v>
      </c>
      <c r="F539" s="17"/>
      <c r="G539" s="169"/>
      <c r="H539" s="226"/>
      <c r="I539" s="229">
        <v>10.18</v>
      </c>
      <c r="J539" s="229"/>
      <c r="Y539" s="76"/>
      <c r="AB539" s="77"/>
      <c r="AC539" s="76"/>
      <c r="AF539" s="142"/>
      <c r="AG539" s="149"/>
    </row>
    <row r="540" spans="1:33" ht="20.100000000000001" hidden="1" customHeight="1">
      <c r="A540" s="16" t="s">
        <v>26</v>
      </c>
      <c r="B540" s="16">
        <v>1980</v>
      </c>
      <c r="C540" s="14" t="s">
        <v>72</v>
      </c>
      <c r="D540" s="27" t="s">
        <v>202</v>
      </c>
      <c r="E540" s="128"/>
      <c r="F540" s="17"/>
      <c r="G540" s="236"/>
      <c r="H540" s="237"/>
      <c r="I540" s="238">
        <v>33.07</v>
      </c>
      <c r="J540" s="238"/>
      <c r="Y540" s="76"/>
      <c r="AB540" s="77"/>
      <c r="AC540" s="76"/>
      <c r="AF540" s="142"/>
      <c r="AG540" s="149"/>
    </row>
    <row r="541" spans="1:33" ht="20.100000000000001" hidden="1" customHeight="1">
      <c r="A541" s="16" t="s">
        <v>26</v>
      </c>
      <c r="B541" s="16">
        <v>1985</v>
      </c>
      <c r="C541" s="14" t="s">
        <v>72</v>
      </c>
      <c r="D541" s="9" t="s">
        <v>447</v>
      </c>
      <c r="E541" s="128"/>
      <c r="F541" s="17"/>
      <c r="G541" s="169"/>
      <c r="H541" s="226"/>
      <c r="I541" s="229">
        <v>27.88</v>
      </c>
      <c r="J541" s="229"/>
      <c r="Y541" s="76"/>
      <c r="AB541" s="77"/>
      <c r="AC541" s="76"/>
      <c r="AF541" s="142"/>
      <c r="AG541" s="149"/>
    </row>
    <row r="542" spans="1:33" ht="20.100000000000001" hidden="1" customHeight="1">
      <c r="A542" s="16" t="s">
        <v>26</v>
      </c>
      <c r="B542" s="16">
        <v>1985</v>
      </c>
      <c r="C542" s="14" t="s">
        <v>72</v>
      </c>
      <c r="D542" s="121" t="s">
        <v>553</v>
      </c>
      <c r="E542" s="128"/>
      <c r="F542" s="17"/>
      <c r="G542" s="169"/>
      <c r="H542" s="226"/>
      <c r="I542" s="229">
        <v>11.42</v>
      </c>
      <c r="J542" s="229"/>
      <c r="Y542" s="76"/>
      <c r="AB542" s="77"/>
      <c r="AC542" s="76"/>
      <c r="AF542" s="142"/>
      <c r="AG542" s="149"/>
    </row>
    <row r="543" spans="1:33" ht="20.100000000000001" hidden="1" customHeight="1">
      <c r="A543" s="16" t="s">
        <v>26</v>
      </c>
      <c r="B543" s="16">
        <v>1985</v>
      </c>
      <c r="C543" s="14" t="s">
        <v>72</v>
      </c>
      <c r="D543" s="9" t="s">
        <v>492</v>
      </c>
      <c r="E543" s="128"/>
      <c r="F543" s="17"/>
      <c r="G543" s="169"/>
      <c r="H543" s="226"/>
      <c r="I543" s="229">
        <v>16.760000000000002</v>
      </c>
      <c r="J543" s="229"/>
      <c r="Y543" s="76"/>
      <c r="AB543" s="77"/>
      <c r="AC543" s="76"/>
      <c r="AF543" s="142"/>
      <c r="AG543" s="149"/>
    </row>
    <row r="544" spans="1:33" ht="20.100000000000001" hidden="1" customHeight="1">
      <c r="A544" s="16" t="s">
        <v>26</v>
      </c>
      <c r="B544" s="16">
        <v>1985</v>
      </c>
      <c r="C544" s="14" t="s">
        <v>72</v>
      </c>
      <c r="D544" s="27" t="s">
        <v>482</v>
      </c>
      <c r="E544" s="128" t="s">
        <v>554</v>
      </c>
      <c r="F544" s="17"/>
      <c r="G544" s="169"/>
      <c r="H544" s="226"/>
      <c r="I544" s="229">
        <v>8.81</v>
      </c>
      <c r="J544" s="229"/>
      <c r="Y544" s="76"/>
      <c r="AB544" s="77"/>
      <c r="AC544" s="76"/>
      <c r="AF544" s="142"/>
      <c r="AG544" s="149"/>
    </row>
    <row r="545" spans="1:33" ht="20.100000000000001" hidden="1" customHeight="1">
      <c r="A545" s="16" t="s">
        <v>26</v>
      </c>
      <c r="B545" s="16">
        <v>1985</v>
      </c>
      <c r="C545" s="14" t="s">
        <v>72</v>
      </c>
      <c r="D545" s="27" t="s">
        <v>202</v>
      </c>
      <c r="E545" s="128"/>
      <c r="F545" s="17"/>
      <c r="G545" s="236"/>
      <c r="H545" s="237"/>
      <c r="I545" s="238">
        <v>35.130000000000003</v>
      </c>
      <c r="J545" s="238"/>
      <c r="Y545" s="76"/>
      <c r="AB545" s="77"/>
      <c r="AC545" s="76"/>
      <c r="AF545" s="142"/>
      <c r="AG545" s="149"/>
    </row>
    <row r="546" spans="1:33" ht="20.100000000000001" hidden="1" customHeight="1">
      <c r="A546" s="16" t="s">
        <v>26</v>
      </c>
      <c r="B546" s="16">
        <v>1990</v>
      </c>
      <c r="C546" s="14" t="s">
        <v>72</v>
      </c>
      <c r="D546" s="9" t="s">
        <v>447</v>
      </c>
      <c r="E546" s="128"/>
      <c r="F546" s="17"/>
      <c r="G546" s="169"/>
      <c r="H546" s="228"/>
      <c r="I546" s="229">
        <v>27.63</v>
      </c>
      <c r="J546" s="229"/>
      <c r="Y546" s="76"/>
      <c r="AB546" s="77"/>
      <c r="AC546" s="76"/>
      <c r="AF546" s="142"/>
      <c r="AG546" s="149"/>
    </row>
    <row r="547" spans="1:33" ht="20.100000000000001" hidden="1" customHeight="1">
      <c r="A547" s="16" t="s">
        <v>26</v>
      </c>
      <c r="B547" s="16">
        <v>1990</v>
      </c>
      <c r="C547" s="14" t="s">
        <v>72</v>
      </c>
      <c r="D547" s="121" t="s">
        <v>553</v>
      </c>
      <c r="E547" s="128"/>
      <c r="F547" s="17"/>
      <c r="G547" s="169"/>
      <c r="H547" s="228"/>
      <c r="I547" s="229">
        <v>9.85</v>
      </c>
      <c r="J547" s="229"/>
      <c r="Y547" s="76"/>
      <c r="AB547" s="77"/>
      <c r="AC547" s="76"/>
      <c r="AF547" s="142"/>
      <c r="AG547" s="149"/>
    </row>
    <row r="548" spans="1:33" ht="20.100000000000001" hidden="1" customHeight="1">
      <c r="A548" s="16" t="s">
        <v>26</v>
      </c>
      <c r="B548" s="16">
        <v>1990</v>
      </c>
      <c r="C548" s="14" t="s">
        <v>72</v>
      </c>
      <c r="D548" s="9" t="s">
        <v>492</v>
      </c>
      <c r="E548" s="128"/>
      <c r="F548" s="17"/>
      <c r="G548" s="169"/>
      <c r="H548" s="228"/>
      <c r="I548" s="229">
        <v>16.93</v>
      </c>
      <c r="J548" s="229"/>
      <c r="Y548" s="76"/>
      <c r="AB548" s="77"/>
      <c r="AC548" s="76"/>
      <c r="AF548" s="142"/>
      <c r="AG548" s="149"/>
    </row>
    <row r="549" spans="1:33" ht="20.100000000000001" hidden="1" customHeight="1">
      <c r="A549" s="16" t="s">
        <v>26</v>
      </c>
      <c r="B549" s="16">
        <v>1990</v>
      </c>
      <c r="C549" s="14" t="s">
        <v>72</v>
      </c>
      <c r="D549" s="27" t="s">
        <v>482</v>
      </c>
      <c r="E549" s="128" t="s">
        <v>554</v>
      </c>
      <c r="F549" s="17"/>
      <c r="G549" s="169"/>
      <c r="H549" s="228"/>
      <c r="I549" s="229">
        <v>9.74</v>
      </c>
      <c r="J549" s="229"/>
      <c r="Y549" s="76"/>
      <c r="AB549" s="77"/>
      <c r="AC549" s="76"/>
      <c r="AF549" s="142"/>
      <c r="AG549" s="149"/>
    </row>
    <row r="550" spans="1:33" ht="20.100000000000001" hidden="1" customHeight="1">
      <c r="A550" s="16" t="s">
        <v>26</v>
      </c>
      <c r="B550" s="16">
        <v>1990</v>
      </c>
      <c r="C550" s="14" t="s">
        <v>72</v>
      </c>
      <c r="D550" s="27" t="s">
        <v>202</v>
      </c>
      <c r="E550" s="128"/>
      <c r="F550" s="17"/>
      <c r="G550" s="236"/>
      <c r="H550" s="237"/>
      <c r="I550" s="238">
        <v>35.85</v>
      </c>
      <c r="J550" s="238"/>
      <c r="Y550" s="76"/>
      <c r="AB550" s="77"/>
      <c r="AC550" s="76"/>
      <c r="AF550" s="142"/>
      <c r="AG550" s="149"/>
    </row>
    <row r="551" spans="1:33" ht="20.100000000000001" hidden="1" customHeight="1">
      <c r="A551" s="16" t="s">
        <v>26</v>
      </c>
      <c r="B551" s="16">
        <v>1995</v>
      </c>
      <c r="C551" s="14" t="s">
        <v>72</v>
      </c>
      <c r="D551" s="9" t="s">
        <v>447</v>
      </c>
      <c r="E551" s="128"/>
      <c r="F551" s="17"/>
      <c r="G551" s="169"/>
      <c r="H551" s="226"/>
      <c r="I551" s="229">
        <v>25.58</v>
      </c>
      <c r="J551" s="229"/>
      <c r="Y551" s="76"/>
      <c r="AB551" s="77"/>
      <c r="AC551" s="76"/>
      <c r="AF551" s="142"/>
      <c r="AG551" s="149"/>
    </row>
    <row r="552" spans="1:33" ht="20.100000000000001" hidden="1" customHeight="1">
      <c r="A552" s="16" t="s">
        <v>26</v>
      </c>
      <c r="B552" s="16">
        <v>1995</v>
      </c>
      <c r="C552" s="14" t="s">
        <v>72</v>
      </c>
      <c r="D552" s="121" t="s">
        <v>553</v>
      </c>
      <c r="E552" s="128"/>
      <c r="F552" s="17"/>
      <c r="G552" s="169"/>
      <c r="H552" s="226"/>
      <c r="I552" s="229">
        <v>9.3000000000000007</v>
      </c>
      <c r="J552" s="229"/>
      <c r="Y552" s="76"/>
      <c r="AB552" s="77"/>
      <c r="AC552" s="76"/>
      <c r="AF552" s="142"/>
      <c r="AG552" s="149"/>
    </row>
    <row r="553" spans="1:33" ht="20.100000000000001" hidden="1" customHeight="1">
      <c r="A553" s="16" t="s">
        <v>26</v>
      </c>
      <c r="B553" s="16">
        <v>1995</v>
      </c>
      <c r="C553" s="14" t="s">
        <v>72</v>
      </c>
      <c r="D553" s="9" t="s">
        <v>492</v>
      </c>
      <c r="E553" s="128"/>
      <c r="F553" s="17"/>
      <c r="G553" s="169"/>
      <c r="H553" s="226"/>
      <c r="I553" s="229">
        <v>13.83</v>
      </c>
      <c r="J553" s="229"/>
      <c r="Y553" s="76"/>
      <c r="AB553" s="77"/>
      <c r="AC553" s="76"/>
      <c r="AF553" s="142"/>
      <c r="AG553" s="149"/>
    </row>
    <row r="554" spans="1:33" ht="20.100000000000001" hidden="1" customHeight="1">
      <c r="A554" s="16" t="s">
        <v>26</v>
      </c>
      <c r="B554" s="16">
        <v>1995</v>
      </c>
      <c r="C554" s="14" t="s">
        <v>72</v>
      </c>
      <c r="D554" s="27" t="s">
        <v>482</v>
      </c>
      <c r="E554" s="128" t="s">
        <v>554</v>
      </c>
      <c r="F554" s="17"/>
      <c r="G554" s="169"/>
      <c r="H554" s="226"/>
      <c r="I554" s="229">
        <v>10.92</v>
      </c>
      <c r="J554" s="229"/>
      <c r="Y554" s="76"/>
      <c r="AB554" s="77"/>
      <c r="AC554" s="76"/>
      <c r="AF554" s="142"/>
      <c r="AG554" s="149"/>
    </row>
    <row r="555" spans="1:33" ht="20.100000000000001" hidden="1" customHeight="1">
      <c r="A555" s="16" t="s">
        <v>26</v>
      </c>
      <c r="B555" s="16">
        <v>1995</v>
      </c>
      <c r="C555" s="14" t="s">
        <v>72</v>
      </c>
      <c r="D555" s="27" t="s">
        <v>202</v>
      </c>
      <c r="E555" s="128"/>
      <c r="F555" s="17"/>
      <c r="G555" s="236"/>
      <c r="H555" s="237"/>
      <c r="I555" s="238">
        <v>40.369999999999997</v>
      </c>
      <c r="J555" s="238"/>
      <c r="Y555" s="76"/>
      <c r="AB555" s="77"/>
      <c r="AC555" s="76"/>
      <c r="AF555" s="142"/>
      <c r="AG555" s="149"/>
    </row>
    <row r="556" spans="1:33" ht="20.100000000000001" hidden="1" customHeight="1">
      <c r="A556" s="16" t="s">
        <v>26</v>
      </c>
      <c r="B556" s="16">
        <v>2000</v>
      </c>
      <c r="C556" s="14" t="s">
        <v>72</v>
      </c>
      <c r="D556" s="9" t="s">
        <v>447</v>
      </c>
      <c r="E556" s="128"/>
      <c r="F556" s="17"/>
      <c r="G556" s="169"/>
      <c r="H556" s="226"/>
      <c r="I556" s="229">
        <v>22.25</v>
      </c>
      <c r="J556" s="229"/>
      <c r="Y556" s="76"/>
      <c r="AB556" s="77"/>
      <c r="AC556" s="76"/>
      <c r="AF556" s="142"/>
      <c r="AG556" s="149"/>
    </row>
    <row r="557" spans="1:33" ht="20.100000000000001" hidden="1" customHeight="1">
      <c r="A557" s="16" t="s">
        <v>26</v>
      </c>
      <c r="B557" s="16">
        <v>2000</v>
      </c>
      <c r="C557" s="14" t="s">
        <v>72</v>
      </c>
      <c r="D557" s="121" t="s">
        <v>553</v>
      </c>
      <c r="E557" s="128"/>
      <c r="F557" s="17"/>
      <c r="G557" s="169"/>
      <c r="H557" s="226"/>
      <c r="I557" s="239">
        <v>10.84</v>
      </c>
      <c r="J557" s="239"/>
      <c r="Y557" s="76"/>
      <c r="AB557" s="77"/>
      <c r="AC557" s="76"/>
      <c r="AF557" s="142"/>
      <c r="AG557" s="149"/>
    </row>
    <row r="558" spans="1:33" ht="20.100000000000001" hidden="1" customHeight="1">
      <c r="A558" s="16" t="s">
        <v>26</v>
      </c>
      <c r="B558" s="16">
        <v>2000</v>
      </c>
      <c r="C558" s="14" t="s">
        <v>72</v>
      </c>
      <c r="D558" s="9" t="s">
        <v>492</v>
      </c>
      <c r="E558" s="128"/>
      <c r="F558" s="17"/>
      <c r="G558" s="169"/>
      <c r="H558" s="226"/>
      <c r="I558" s="239">
        <v>15.42</v>
      </c>
      <c r="J558" s="239"/>
      <c r="Y558" s="76"/>
      <c r="AB558" s="77"/>
      <c r="AC558" s="76"/>
      <c r="AF558" s="142"/>
      <c r="AG558" s="149"/>
    </row>
    <row r="559" spans="1:33" ht="20.100000000000001" hidden="1" customHeight="1">
      <c r="A559" s="16" t="s">
        <v>26</v>
      </c>
      <c r="B559" s="16">
        <v>2000</v>
      </c>
      <c r="C559" s="14" t="s">
        <v>72</v>
      </c>
      <c r="D559" s="27" t="s">
        <v>482</v>
      </c>
      <c r="E559" s="128" t="s">
        <v>554</v>
      </c>
      <c r="F559" s="17"/>
      <c r="G559" s="169"/>
      <c r="H559" s="226"/>
      <c r="I559" s="239">
        <v>10.119999999999999</v>
      </c>
      <c r="J559" s="239"/>
      <c r="Y559" s="76"/>
      <c r="AB559" s="77"/>
      <c r="AC559" s="76"/>
      <c r="AF559" s="142"/>
      <c r="AG559" s="149"/>
    </row>
    <row r="560" spans="1:33" ht="20.100000000000001" hidden="1" customHeight="1">
      <c r="A560" s="16" t="s">
        <v>26</v>
      </c>
      <c r="B560" s="16">
        <v>2000</v>
      </c>
      <c r="C560" s="14" t="s">
        <v>72</v>
      </c>
      <c r="D560" s="27" t="s">
        <v>202</v>
      </c>
      <c r="E560" s="128"/>
      <c r="F560" s="17"/>
      <c r="G560" s="236"/>
      <c r="H560" s="237"/>
      <c r="I560" s="238">
        <v>41.37</v>
      </c>
      <c r="J560" s="238"/>
      <c r="Y560" s="76"/>
      <c r="AB560" s="77"/>
      <c r="AC560" s="76"/>
      <c r="AF560" s="142"/>
      <c r="AG560" s="149"/>
    </row>
    <row r="561" spans="1:33" ht="20.100000000000001" hidden="1" customHeight="1">
      <c r="A561" s="16" t="s">
        <v>26</v>
      </c>
      <c r="B561" s="16">
        <v>2002</v>
      </c>
      <c r="C561" s="14" t="s">
        <v>72</v>
      </c>
      <c r="D561" s="9" t="s">
        <v>447</v>
      </c>
      <c r="E561" s="128"/>
      <c r="F561" s="17"/>
      <c r="G561" s="169"/>
      <c r="H561" s="226"/>
      <c r="I561" s="229">
        <v>23.4</v>
      </c>
      <c r="J561" s="229"/>
      <c r="Y561" s="76"/>
      <c r="AB561" s="77"/>
      <c r="AC561" s="76"/>
      <c r="AF561" s="142"/>
      <c r="AG561" s="149"/>
    </row>
    <row r="562" spans="1:33" ht="20.100000000000001" hidden="1" customHeight="1">
      <c r="A562" s="16" t="s">
        <v>26</v>
      </c>
      <c r="B562" s="16">
        <v>2002</v>
      </c>
      <c r="C562" s="14" t="s">
        <v>72</v>
      </c>
      <c r="D562" s="121" t="s">
        <v>553</v>
      </c>
      <c r="E562" s="128"/>
      <c r="F562" s="17"/>
      <c r="G562" s="169"/>
      <c r="H562" s="226"/>
      <c r="I562" s="229">
        <v>12.38</v>
      </c>
      <c r="J562" s="229"/>
      <c r="Y562" s="76"/>
      <c r="AB562" s="77"/>
      <c r="AC562" s="76"/>
      <c r="AF562" s="142"/>
      <c r="AG562" s="149"/>
    </row>
    <row r="563" spans="1:33" ht="20.100000000000001" hidden="1" customHeight="1">
      <c r="A563" s="16" t="s">
        <v>26</v>
      </c>
      <c r="B563" s="16">
        <v>2002</v>
      </c>
      <c r="C563" s="14" t="s">
        <v>72</v>
      </c>
      <c r="D563" s="9" t="s">
        <v>492</v>
      </c>
      <c r="E563" s="128"/>
      <c r="F563" s="17"/>
      <c r="G563" s="169"/>
      <c r="H563" s="226"/>
      <c r="I563" s="229">
        <v>15.67</v>
      </c>
      <c r="J563" s="229"/>
      <c r="Y563" s="76"/>
      <c r="AB563" s="77"/>
      <c r="AC563" s="76"/>
      <c r="AF563" s="142"/>
      <c r="AG563" s="149"/>
    </row>
    <row r="564" spans="1:33" ht="20.100000000000001" hidden="1" customHeight="1">
      <c r="A564" s="16" t="s">
        <v>26</v>
      </c>
      <c r="B564" s="16">
        <v>2002</v>
      </c>
      <c r="C564" s="14" t="s">
        <v>72</v>
      </c>
      <c r="D564" s="27" t="s">
        <v>482</v>
      </c>
      <c r="E564" s="128" t="s">
        <v>554</v>
      </c>
      <c r="F564" s="17"/>
      <c r="G564" s="169"/>
      <c r="H564" s="226"/>
      <c r="I564" s="229">
        <v>9.73</v>
      </c>
      <c r="J564" s="229"/>
      <c r="Y564" s="76"/>
      <c r="AB564" s="77"/>
      <c r="AC564" s="76"/>
      <c r="AF564" s="142"/>
      <c r="AG564" s="149"/>
    </row>
    <row r="565" spans="1:33" ht="20.100000000000001" hidden="1" customHeight="1">
      <c r="A565" s="16" t="s">
        <v>26</v>
      </c>
      <c r="B565" s="16">
        <v>2002</v>
      </c>
      <c r="C565" s="14" t="s">
        <v>72</v>
      </c>
      <c r="D565" s="27" t="s">
        <v>202</v>
      </c>
      <c r="E565" s="128"/>
      <c r="F565" s="17"/>
      <c r="G565" s="236"/>
      <c r="H565" s="237"/>
      <c r="I565" s="238">
        <v>38.82</v>
      </c>
      <c r="J565" s="238"/>
      <c r="Y565" s="76"/>
      <c r="AB565" s="77"/>
      <c r="AC565" s="76"/>
      <c r="AF565" s="142"/>
      <c r="AG565" s="149"/>
    </row>
    <row r="566" spans="1:33" ht="20.100000000000001" hidden="1" customHeight="1">
      <c r="A566" s="16" t="s">
        <v>26</v>
      </c>
      <c r="B566" s="16">
        <v>2004</v>
      </c>
      <c r="C566" s="14" t="s">
        <v>72</v>
      </c>
      <c r="D566" s="9" t="s">
        <v>447</v>
      </c>
      <c r="E566" s="128"/>
      <c r="F566" s="17"/>
      <c r="G566" s="169"/>
      <c r="H566" s="226">
        <v>1085.806</v>
      </c>
      <c r="I566" s="170">
        <v>21.1</v>
      </c>
      <c r="Y566" s="76"/>
      <c r="AB566" s="77"/>
      <c r="AC566" s="76"/>
      <c r="AF566" s="142"/>
      <c r="AG566" s="149"/>
    </row>
    <row r="567" spans="1:33" ht="20.100000000000001" hidden="1" customHeight="1">
      <c r="A567" s="16" t="s">
        <v>26</v>
      </c>
      <c r="B567" s="16">
        <v>2004</v>
      </c>
      <c r="C567" s="14" t="s">
        <v>72</v>
      </c>
      <c r="D567" s="121" t="s">
        <v>553</v>
      </c>
      <c r="E567" s="128"/>
      <c r="F567" s="17"/>
      <c r="G567" s="168"/>
      <c r="H567" s="227">
        <v>694.71</v>
      </c>
      <c r="I567" s="170">
        <v>13.5</v>
      </c>
      <c r="Y567" s="76"/>
      <c r="AB567" s="77"/>
      <c r="AC567" s="76"/>
      <c r="AF567" s="142"/>
      <c r="AG567" s="149"/>
    </row>
    <row r="568" spans="1:33" ht="20.100000000000001" hidden="1" customHeight="1">
      <c r="A568" s="16" t="s">
        <v>26</v>
      </c>
      <c r="B568" s="16">
        <v>2004</v>
      </c>
      <c r="C568" s="14" t="s">
        <v>72</v>
      </c>
      <c r="D568" s="9" t="s">
        <v>492</v>
      </c>
      <c r="E568" s="128"/>
      <c r="F568" s="17"/>
      <c r="G568" s="168"/>
      <c r="H568" s="227">
        <v>838.798</v>
      </c>
      <c r="I568" s="170">
        <v>16.3</v>
      </c>
      <c r="Y568" s="76"/>
      <c r="AB568" s="77"/>
      <c r="AC568" s="76"/>
      <c r="AF568" s="142"/>
      <c r="AG568" s="149"/>
    </row>
    <row r="569" spans="1:33" ht="20.100000000000001" hidden="1" customHeight="1">
      <c r="A569" s="16" t="s">
        <v>26</v>
      </c>
      <c r="B569" s="16">
        <v>2004</v>
      </c>
      <c r="C569" s="14" t="s">
        <v>72</v>
      </c>
      <c r="D569" s="27" t="s">
        <v>482</v>
      </c>
      <c r="E569" s="128" t="s">
        <v>554</v>
      </c>
      <c r="F569" s="17"/>
      <c r="G569" s="168"/>
      <c r="H569" s="227">
        <v>488.87</v>
      </c>
      <c r="I569" s="170">
        <v>9.5</v>
      </c>
      <c r="Y569" s="76"/>
      <c r="AB569" s="77"/>
      <c r="AC569" s="76"/>
      <c r="AF569" s="142"/>
      <c r="AG569" s="149"/>
    </row>
    <row r="570" spans="1:33" ht="20.100000000000001" hidden="1" customHeight="1">
      <c r="A570" s="16" t="s">
        <v>26</v>
      </c>
      <c r="B570" s="16">
        <v>2004</v>
      </c>
      <c r="C570" s="14" t="s">
        <v>72</v>
      </c>
      <c r="D570" s="27" t="s">
        <v>202</v>
      </c>
      <c r="E570" s="128"/>
      <c r="F570" s="17"/>
      <c r="G570" s="236"/>
      <c r="H570" s="237"/>
      <c r="I570" s="238">
        <v>39.6</v>
      </c>
      <c r="J570" s="238"/>
      <c r="Y570" s="76"/>
      <c r="AB570" s="77"/>
      <c r="AC570" s="76"/>
      <c r="AF570" s="142"/>
      <c r="AG570" s="149"/>
    </row>
    <row r="571" spans="1:33" ht="20.100000000000001" hidden="1" customHeight="1">
      <c r="A571" s="16" t="s">
        <v>26</v>
      </c>
      <c r="B571" s="16">
        <v>2006</v>
      </c>
      <c r="C571" s="14" t="s">
        <v>72</v>
      </c>
      <c r="D571" s="9" t="s">
        <v>447</v>
      </c>
      <c r="E571" s="128" t="s">
        <v>555</v>
      </c>
      <c r="F571" s="17"/>
      <c r="G571" s="169"/>
      <c r="H571" s="226">
        <v>1144.71</v>
      </c>
      <c r="I571" s="170">
        <v>20.7</v>
      </c>
      <c r="Y571" s="76"/>
      <c r="AB571" s="77"/>
      <c r="AC571" s="76"/>
      <c r="AF571" s="142"/>
      <c r="AG571" s="149"/>
    </row>
    <row r="572" spans="1:33" ht="20.100000000000001" hidden="1" customHeight="1">
      <c r="A572" s="16" t="s">
        <v>26</v>
      </c>
      <c r="B572" s="16">
        <v>2006</v>
      </c>
      <c r="C572" s="14" t="s">
        <v>72</v>
      </c>
      <c r="D572" s="121" t="s">
        <v>553</v>
      </c>
      <c r="E572" s="128"/>
      <c r="F572" s="17"/>
      <c r="G572" s="168"/>
      <c r="H572" s="227">
        <v>857.15</v>
      </c>
      <c r="I572" s="170">
        <v>15.5</v>
      </c>
      <c r="Y572" s="76"/>
      <c r="AB572" s="77"/>
      <c r="AC572" s="76"/>
      <c r="AF572" s="142"/>
      <c r="AG572" s="149"/>
    </row>
    <row r="573" spans="1:33" ht="20.100000000000001" hidden="1" customHeight="1">
      <c r="A573" s="16" t="s">
        <v>26</v>
      </c>
      <c r="B573" s="16">
        <v>2006</v>
      </c>
      <c r="C573" s="14" t="s">
        <v>72</v>
      </c>
      <c r="D573" s="9" t="s">
        <v>492</v>
      </c>
      <c r="E573" s="128"/>
      <c r="F573" s="17"/>
      <c r="G573" s="168"/>
      <c r="H573" s="227">
        <v>890.33</v>
      </c>
      <c r="I573" s="170">
        <v>16.100000000000001</v>
      </c>
      <c r="Y573" s="76"/>
      <c r="AB573" s="77"/>
      <c r="AC573" s="76"/>
      <c r="AF573" s="142"/>
      <c r="AG573" s="149"/>
    </row>
    <row r="574" spans="1:33" ht="20.100000000000001" hidden="1" customHeight="1">
      <c r="A574" s="16" t="s">
        <v>26</v>
      </c>
      <c r="B574" s="16">
        <v>2006</v>
      </c>
      <c r="C574" s="14" t="s">
        <v>72</v>
      </c>
      <c r="D574" s="27" t="s">
        <v>482</v>
      </c>
      <c r="E574" s="128" t="s">
        <v>554</v>
      </c>
      <c r="F574" s="17"/>
      <c r="G574" s="168"/>
      <c r="H574" s="227">
        <v>586.17999999999995</v>
      </c>
      <c r="I574" s="170">
        <v>10.6</v>
      </c>
      <c r="Y574" s="76"/>
      <c r="AB574" s="77"/>
      <c r="AC574" s="76"/>
      <c r="AF574" s="142"/>
      <c r="AG574" s="149"/>
    </row>
    <row r="575" spans="1:33" ht="20.100000000000001" hidden="1" customHeight="1">
      <c r="A575" s="16" t="s">
        <v>26</v>
      </c>
      <c r="B575" s="16">
        <v>2006</v>
      </c>
      <c r="C575" s="14" t="s">
        <v>72</v>
      </c>
      <c r="D575" s="27" t="s">
        <v>202</v>
      </c>
      <c r="E575" s="128"/>
      <c r="F575" s="17"/>
      <c r="G575" s="236"/>
      <c r="H575" s="237"/>
      <c r="I575" s="238">
        <v>37.1</v>
      </c>
      <c r="J575" s="238"/>
      <c r="Y575" s="76"/>
      <c r="AB575" s="77"/>
      <c r="AC575" s="76"/>
      <c r="AF575" s="142"/>
      <c r="AG575" s="149"/>
    </row>
    <row r="576" spans="1:33" ht="20.100000000000001" hidden="1" customHeight="1">
      <c r="A576" s="16" t="s">
        <v>26</v>
      </c>
      <c r="B576" s="16">
        <v>2008</v>
      </c>
      <c r="C576" s="14" t="s">
        <v>72</v>
      </c>
      <c r="D576" s="9" t="s">
        <v>447</v>
      </c>
      <c r="E576" s="128" t="s">
        <v>555</v>
      </c>
      <c r="F576" s="17"/>
      <c r="G576" s="169"/>
      <c r="H576" s="235">
        <f t="shared" ref="H576:H581" si="50">G576/0.679922680042729</f>
        <v>0</v>
      </c>
      <c r="I576" s="229">
        <v>19.5</v>
      </c>
      <c r="J576" s="229"/>
      <c r="Y576" s="76"/>
      <c r="AB576" s="77"/>
      <c r="AC576" s="76"/>
      <c r="AF576" s="142"/>
      <c r="AG576" s="149"/>
    </row>
    <row r="577" spans="1:33" ht="20.100000000000001" hidden="1" customHeight="1">
      <c r="A577" s="16" t="s">
        <v>26</v>
      </c>
      <c r="B577" s="16">
        <v>2008</v>
      </c>
      <c r="C577" s="14" t="s">
        <v>72</v>
      </c>
      <c r="D577" s="121" t="s">
        <v>553</v>
      </c>
      <c r="E577" s="128"/>
      <c r="F577" s="17"/>
      <c r="G577" s="169"/>
      <c r="H577" s="235">
        <f t="shared" si="50"/>
        <v>0</v>
      </c>
      <c r="I577" s="229">
        <v>16.5</v>
      </c>
      <c r="J577" s="229"/>
      <c r="Y577" s="76"/>
      <c r="AB577" s="77"/>
      <c r="AC577" s="76"/>
      <c r="AF577" s="142"/>
      <c r="AG577" s="149"/>
    </row>
    <row r="578" spans="1:33" ht="20.100000000000001" hidden="1" customHeight="1">
      <c r="A578" s="16" t="s">
        <v>26</v>
      </c>
      <c r="B578" s="16">
        <v>2008</v>
      </c>
      <c r="C578" s="14" t="s">
        <v>72</v>
      </c>
      <c r="D578" s="9" t="s">
        <v>492</v>
      </c>
      <c r="E578" s="128"/>
      <c r="F578" s="17" t="s">
        <v>556</v>
      </c>
      <c r="G578" s="240"/>
      <c r="H578" s="235">
        <f t="shared" si="50"/>
        <v>0</v>
      </c>
      <c r="I578" s="170">
        <v>15.1</v>
      </c>
      <c r="Y578" s="76"/>
      <c r="AB578" s="77"/>
      <c r="AC578" s="76"/>
      <c r="AG578" s="86" t="s">
        <v>557</v>
      </c>
    </row>
    <row r="579" spans="1:33" ht="20.100000000000001" hidden="1" customHeight="1">
      <c r="A579" s="16" t="s">
        <v>26</v>
      </c>
      <c r="B579" s="16">
        <v>2008</v>
      </c>
      <c r="C579" s="14" t="s">
        <v>72</v>
      </c>
      <c r="D579" s="27" t="s">
        <v>482</v>
      </c>
      <c r="E579" s="128" t="s">
        <v>554</v>
      </c>
      <c r="F579" s="17"/>
      <c r="G579" s="169"/>
      <c r="H579" s="235">
        <f t="shared" si="50"/>
        <v>0</v>
      </c>
      <c r="I579" s="229">
        <v>10.8</v>
      </c>
      <c r="J579" s="229"/>
      <c r="Y579" s="76"/>
      <c r="AB579" s="77"/>
      <c r="AC579" s="76"/>
      <c r="AF579" s="142"/>
      <c r="AG579" s="149"/>
    </row>
    <row r="580" spans="1:33" ht="20.100000000000001" hidden="1" customHeight="1">
      <c r="A580" s="16" t="s">
        <v>26</v>
      </c>
      <c r="B580" s="16">
        <v>2008</v>
      </c>
      <c r="C580" s="14" t="s">
        <v>72</v>
      </c>
      <c r="D580" s="77" t="s">
        <v>532</v>
      </c>
      <c r="E580" s="128"/>
      <c r="F580" s="17"/>
      <c r="G580" s="236"/>
      <c r="H580" s="235">
        <f t="shared" si="50"/>
        <v>0</v>
      </c>
      <c r="I580" s="238">
        <v>6.6</v>
      </c>
      <c r="J580" s="238"/>
      <c r="Y580" s="76"/>
      <c r="AB580" s="77"/>
      <c r="AC580" s="76"/>
      <c r="AG580" s="86" t="s">
        <v>558</v>
      </c>
    </row>
    <row r="581" spans="1:33" ht="20.100000000000001" hidden="1" customHeight="1">
      <c r="A581" s="16" t="s">
        <v>26</v>
      </c>
      <c r="B581" s="16">
        <v>2008</v>
      </c>
      <c r="C581" s="14" t="s">
        <v>72</v>
      </c>
      <c r="D581" s="27" t="s">
        <v>202</v>
      </c>
      <c r="E581" s="128"/>
      <c r="F581" s="17"/>
      <c r="G581" s="236"/>
      <c r="H581" s="235">
        <f t="shared" si="50"/>
        <v>0</v>
      </c>
      <c r="I581" s="238">
        <v>31.5</v>
      </c>
      <c r="J581" s="238"/>
      <c r="Y581" s="76"/>
      <c r="AB581" s="77"/>
      <c r="AC581" s="76"/>
      <c r="AF581" s="142"/>
      <c r="AG581" s="149"/>
    </row>
    <row r="582" spans="1:33" ht="20.100000000000001" hidden="1" customHeight="1">
      <c r="A582" s="16" t="s">
        <v>26</v>
      </c>
      <c r="B582" s="16">
        <v>2010</v>
      </c>
      <c r="C582" s="14" t="s">
        <v>72</v>
      </c>
      <c r="D582" s="9" t="s">
        <v>447</v>
      </c>
      <c r="E582" s="128" t="s">
        <v>555</v>
      </c>
      <c r="F582" s="17"/>
      <c r="G582" s="169"/>
      <c r="H582" s="226"/>
      <c r="I582" s="229">
        <v>19</v>
      </c>
      <c r="J582" s="229"/>
      <c r="Y582" s="76"/>
      <c r="AB582" s="77"/>
      <c r="AC582" s="76"/>
      <c r="AF582" s="142"/>
      <c r="AG582" s="149"/>
    </row>
    <row r="583" spans="1:33" ht="20.100000000000001" hidden="1" customHeight="1">
      <c r="A583" s="16" t="s">
        <v>26</v>
      </c>
      <c r="B583" s="16">
        <v>2010</v>
      </c>
      <c r="C583" s="14" t="s">
        <v>72</v>
      </c>
      <c r="D583" s="121" t="s">
        <v>553</v>
      </c>
      <c r="E583" s="128"/>
      <c r="F583" s="17"/>
      <c r="G583" s="169"/>
      <c r="H583" s="226"/>
      <c r="I583" s="229">
        <v>15.4</v>
      </c>
      <c r="J583" s="229"/>
      <c r="Y583" s="76"/>
      <c r="AB583" s="77"/>
      <c r="AC583" s="76"/>
      <c r="AF583" s="142"/>
      <c r="AG583" s="149"/>
    </row>
    <row r="584" spans="1:33" ht="20.100000000000001" hidden="1" customHeight="1">
      <c r="A584" s="16" t="s">
        <v>26</v>
      </c>
      <c r="B584" s="16">
        <v>2010</v>
      </c>
      <c r="C584" s="14" t="s">
        <v>72</v>
      </c>
      <c r="D584" s="9" t="s">
        <v>492</v>
      </c>
      <c r="E584" s="128"/>
      <c r="F584" s="17"/>
      <c r="G584" s="169"/>
      <c r="H584" s="226"/>
      <c r="I584" s="229">
        <v>13.4</v>
      </c>
      <c r="J584" s="229"/>
      <c r="Y584" s="76"/>
      <c r="AB584" s="77"/>
      <c r="AC584" s="76"/>
      <c r="AF584" s="142"/>
      <c r="AG584" s="149"/>
    </row>
    <row r="585" spans="1:33" ht="20.100000000000001" hidden="1" customHeight="1">
      <c r="A585" s="16" t="s">
        <v>26</v>
      </c>
      <c r="B585" s="16">
        <v>2010</v>
      </c>
      <c r="C585" s="14" t="s">
        <v>72</v>
      </c>
      <c r="D585" s="27" t="s">
        <v>482</v>
      </c>
      <c r="E585" s="128" t="s">
        <v>554</v>
      </c>
      <c r="F585" s="17"/>
      <c r="G585" s="169"/>
      <c r="H585" s="226"/>
      <c r="I585" s="229">
        <v>9.5</v>
      </c>
      <c r="J585" s="229"/>
      <c r="Y585" s="76"/>
      <c r="AB585" s="77"/>
      <c r="AC585" s="76"/>
      <c r="AF585" s="142"/>
      <c r="AG585" s="149"/>
    </row>
    <row r="586" spans="1:33" ht="20.100000000000001" hidden="1" customHeight="1">
      <c r="A586" s="16" t="s">
        <v>26</v>
      </c>
      <c r="B586" s="16">
        <v>2010</v>
      </c>
      <c r="C586" s="14" t="s">
        <v>72</v>
      </c>
      <c r="D586" s="77" t="s">
        <v>532</v>
      </c>
      <c r="E586" s="128"/>
      <c r="F586" s="17"/>
      <c r="G586" s="236"/>
      <c r="H586" s="237"/>
      <c r="I586" s="238">
        <v>7.7</v>
      </c>
      <c r="J586" s="238"/>
      <c r="Y586" s="76"/>
      <c r="AB586" s="77"/>
      <c r="AC586" s="76"/>
      <c r="AG586" s="86" t="s">
        <v>558</v>
      </c>
    </row>
    <row r="587" spans="1:33" ht="20.100000000000001" hidden="1" customHeight="1">
      <c r="A587" s="16" t="s">
        <v>26</v>
      </c>
      <c r="B587" s="16">
        <v>2010</v>
      </c>
      <c r="C587" s="14" t="s">
        <v>72</v>
      </c>
      <c r="D587" s="27" t="s">
        <v>202</v>
      </c>
      <c r="E587" s="128"/>
      <c r="F587" s="17"/>
      <c r="G587" s="236"/>
      <c r="H587" s="237"/>
      <c r="I587" s="238">
        <v>35</v>
      </c>
      <c r="J587" s="238"/>
      <c r="Y587" s="76"/>
      <c r="AB587" s="77"/>
      <c r="AC587" s="76"/>
      <c r="AF587" s="142"/>
      <c r="AG587" s="149"/>
    </row>
    <row r="588" spans="1:33" ht="20.100000000000001" hidden="1" customHeight="1">
      <c r="A588" s="16" t="s">
        <v>26</v>
      </c>
      <c r="B588" s="16">
        <v>2012</v>
      </c>
      <c r="C588" s="14" t="s">
        <v>72</v>
      </c>
      <c r="D588" s="9" t="s">
        <v>447</v>
      </c>
      <c r="E588" s="128" t="s">
        <v>555</v>
      </c>
      <c r="F588" s="17"/>
      <c r="G588" s="169"/>
      <c r="H588" s="228"/>
      <c r="I588" s="229">
        <v>18.5</v>
      </c>
      <c r="J588" s="229"/>
      <c r="Y588" s="76"/>
      <c r="AB588" s="77"/>
      <c r="AC588" s="76"/>
      <c r="AF588" s="142"/>
      <c r="AG588" s="149"/>
    </row>
    <row r="589" spans="1:33" ht="20.100000000000001" hidden="1" customHeight="1">
      <c r="A589" s="16" t="s">
        <v>26</v>
      </c>
      <c r="B589" s="16">
        <v>2012</v>
      </c>
      <c r="C589" s="14" t="s">
        <v>72</v>
      </c>
      <c r="D589" s="121" t="s">
        <v>553</v>
      </c>
      <c r="E589" s="128"/>
      <c r="F589" s="17"/>
      <c r="G589" s="169"/>
      <c r="H589" s="226"/>
      <c r="I589" s="229">
        <v>14.8</v>
      </c>
      <c r="J589" s="229"/>
      <c r="Y589" s="76"/>
      <c r="AB589" s="77"/>
      <c r="AC589" s="76"/>
      <c r="AF589" s="142"/>
      <c r="AG589" s="149"/>
    </row>
    <row r="590" spans="1:33" ht="20.100000000000001" hidden="1" customHeight="1">
      <c r="A590" s="16" t="s">
        <v>26</v>
      </c>
      <c r="B590" s="16">
        <v>2012</v>
      </c>
      <c r="C590" s="14" t="s">
        <v>72</v>
      </c>
      <c r="D590" s="9" t="s">
        <v>492</v>
      </c>
      <c r="E590" s="128"/>
      <c r="F590" s="17"/>
      <c r="G590" s="169"/>
      <c r="H590" s="226"/>
      <c r="I590" s="229">
        <v>12.7</v>
      </c>
      <c r="J590" s="229"/>
      <c r="Y590" s="76"/>
      <c r="AB590" s="77"/>
      <c r="AC590" s="76"/>
      <c r="AF590" s="142"/>
      <c r="AG590" s="149"/>
    </row>
    <row r="591" spans="1:33" ht="20.100000000000001" hidden="1" customHeight="1">
      <c r="A591" s="16" t="s">
        <v>26</v>
      </c>
      <c r="B591" s="16">
        <v>2012</v>
      </c>
      <c r="C591" s="14" t="s">
        <v>72</v>
      </c>
      <c r="D591" s="27" t="s">
        <v>482</v>
      </c>
      <c r="E591" s="128" t="s">
        <v>554</v>
      </c>
      <c r="F591" s="17"/>
      <c r="G591" s="169"/>
      <c r="H591" s="226"/>
      <c r="I591" s="229">
        <v>9.3000000000000007</v>
      </c>
      <c r="J591" s="229"/>
      <c r="Y591" s="76"/>
      <c r="AB591" s="77"/>
      <c r="AC591" s="76"/>
      <c r="AF591" s="142"/>
      <c r="AG591" s="149"/>
    </row>
    <row r="592" spans="1:33" ht="20.100000000000001" hidden="1" customHeight="1">
      <c r="A592" s="16" t="s">
        <v>26</v>
      </c>
      <c r="B592" s="16">
        <v>2012</v>
      </c>
      <c r="C592" s="14" t="s">
        <v>72</v>
      </c>
      <c r="D592" s="77" t="s">
        <v>532</v>
      </c>
      <c r="E592" s="128"/>
      <c r="F592" s="17"/>
      <c r="G592" s="236"/>
      <c r="H592" s="237"/>
      <c r="I592" s="238">
        <v>8.4</v>
      </c>
      <c r="J592" s="238"/>
      <c r="Y592" s="76"/>
      <c r="AB592" s="77"/>
      <c r="AC592" s="76"/>
      <c r="AG592" s="86" t="s">
        <v>558</v>
      </c>
    </row>
    <row r="593" spans="1:33" ht="20.100000000000001" hidden="1" customHeight="1">
      <c r="A593" s="16" t="s">
        <v>26</v>
      </c>
      <c r="B593" s="16">
        <v>2012</v>
      </c>
      <c r="C593" s="14" t="s">
        <v>72</v>
      </c>
      <c r="D593" s="27" t="s">
        <v>202</v>
      </c>
      <c r="E593" s="92"/>
      <c r="F593" s="92"/>
      <c r="G593" s="241"/>
      <c r="H593" s="242"/>
      <c r="I593" s="243">
        <v>36.299999999999997</v>
      </c>
      <c r="J593" s="243"/>
      <c r="Y593" s="35"/>
      <c r="AB593" s="77"/>
      <c r="AC593" s="35"/>
      <c r="AF593" s="142"/>
      <c r="AG593" s="149"/>
    </row>
    <row r="594" spans="1:33" ht="20.100000000000001" hidden="1" customHeight="1">
      <c r="A594" s="16" t="s">
        <v>26</v>
      </c>
      <c r="B594" s="16">
        <v>2014</v>
      </c>
      <c r="C594" s="14" t="s">
        <v>72</v>
      </c>
      <c r="D594" s="9" t="s">
        <v>447</v>
      </c>
      <c r="E594" s="128" t="s">
        <v>555</v>
      </c>
      <c r="F594" s="17"/>
      <c r="G594" s="238"/>
      <c r="H594" s="226"/>
      <c r="I594" s="229">
        <v>20.3</v>
      </c>
      <c r="J594" s="229"/>
      <c r="Y594" s="76"/>
      <c r="AB594" s="77"/>
      <c r="AC594" s="76"/>
      <c r="AF594" s="142"/>
      <c r="AG594" s="149"/>
    </row>
    <row r="595" spans="1:33" ht="20.100000000000001" hidden="1" customHeight="1">
      <c r="A595" s="16" t="s">
        <v>26</v>
      </c>
      <c r="B595" s="16">
        <v>2014</v>
      </c>
      <c r="C595" s="14" t="s">
        <v>72</v>
      </c>
      <c r="D595" s="121" t="s">
        <v>553</v>
      </c>
      <c r="E595" s="128" t="s">
        <v>559</v>
      </c>
      <c r="F595" s="17"/>
      <c r="G595" s="238"/>
      <c r="H595" s="226"/>
      <c r="I595" s="229">
        <v>15.2</v>
      </c>
      <c r="J595" s="229"/>
      <c r="Y595" s="76"/>
      <c r="AB595" s="77"/>
      <c r="AC595" s="76"/>
      <c r="AF595" s="142"/>
      <c r="AG595" s="149"/>
    </row>
    <row r="596" spans="1:33" ht="20.100000000000001" hidden="1" customHeight="1">
      <c r="A596" s="16" t="s">
        <v>26</v>
      </c>
      <c r="B596" s="16">
        <v>2014</v>
      </c>
      <c r="C596" s="14" t="s">
        <v>72</v>
      </c>
      <c r="D596" s="9" t="s">
        <v>492</v>
      </c>
      <c r="E596" s="128" t="s">
        <v>513</v>
      </c>
      <c r="F596" s="17"/>
      <c r="G596" s="238"/>
      <c r="H596" s="226"/>
      <c r="I596" s="229">
        <v>12.4</v>
      </c>
      <c r="J596" s="229"/>
      <c r="Y596" s="76"/>
      <c r="AB596" s="77"/>
      <c r="AC596" s="76"/>
      <c r="AF596" s="142"/>
      <c r="AG596" s="149"/>
    </row>
    <row r="597" spans="1:33" ht="20.100000000000001" hidden="1" customHeight="1">
      <c r="A597" s="16" t="s">
        <v>26</v>
      </c>
      <c r="B597" s="16">
        <v>2014</v>
      </c>
      <c r="C597" s="14" t="s">
        <v>72</v>
      </c>
      <c r="D597" s="27" t="s">
        <v>482</v>
      </c>
      <c r="E597" s="128" t="s">
        <v>554</v>
      </c>
      <c r="F597" s="17"/>
      <c r="G597" s="238"/>
      <c r="H597" s="226"/>
      <c r="I597" s="229">
        <v>9.1</v>
      </c>
      <c r="J597" s="229"/>
      <c r="Y597" s="76"/>
      <c r="AB597" s="77"/>
      <c r="AC597" s="76"/>
      <c r="AG597" s="86" t="s">
        <v>560</v>
      </c>
    </row>
    <row r="598" spans="1:33" ht="20.100000000000001" hidden="1" customHeight="1">
      <c r="A598" s="16" t="s">
        <v>26</v>
      </c>
      <c r="B598" s="16">
        <v>2014</v>
      </c>
      <c r="C598" s="14" t="s">
        <v>72</v>
      </c>
      <c r="D598" s="77" t="s">
        <v>532</v>
      </c>
      <c r="E598" s="128" t="s">
        <v>561</v>
      </c>
      <c r="F598" s="17"/>
      <c r="G598" s="238"/>
      <c r="H598" s="226"/>
      <c r="I598" s="229">
        <v>8.6</v>
      </c>
      <c r="J598" s="229"/>
      <c r="Y598" s="76"/>
      <c r="AB598" s="77"/>
      <c r="AC598" s="76"/>
      <c r="AF598" s="142"/>
      <c r="AG598" s="149"/>
    </row>
    <row r="599" spans="1:33" ht="20.100000000000001" hidden="1" customHeight="1">
      <c r="A599" s="16" t="s">
        <v>26</v>
      </c>
      <c r="B599" s="16">
        <v>2014</v>
      </c>
      <c r="C599" s="14" t="s">
        <v>72</v>
      </c>
      <c r="D599" s="27" t="s">
        <v>202</v>
      </c>
      <c r="E599" s="17"/>
      <c r="F599" s="17"/>
      <c r="G599" s="238"/>
      <c r="H599" s="226"/>
      <c r="I599" s="229">
        <v>34.4</v>
      </c>
      <c r="J599" s="229"/>
      <c r="Y599" s="76"/>
      <c r="AB599" s="77"/>
      <c r="AC599" s="76"/>
      <c r="AF599" s="142"/>
      <c r="AG599" s="149"/>
    </row>
    <row r="600" spans="1:33" ht="20.100000000000001" hidden="1" customHeight="1">
      <c r="A600" s="16" t="s">
        <v>26</v>
      </c>
      <c r="B600" s="55">
        <v>2016</v>
      </c>
      <c r="C600" s="14" t="s">
        <v>72</v>
      </c>
      <c r="D600" s="9" t="s">
        <v>447</v>
      </c>
      <c r="E600" s="128" t="s">
        <v>555</v>
      </c>
      <c r="F600" s="17"/>
      <c r="G600" s="244">
        <v>712.07999999999993</v>
      </c>
      <c r="H600" s="168">
        <f t="shared" ref="H600:H605" si="51">G600/0.903421436257263</f>
        <v>788.20356859146329</v>
      </c>
      <c r="I600" s="244">
        <v>20.7</v>
      </c>
      <c r="J600" s="244"/>
      <c r="Y600" s="76"/>
      <c r="AB600" s="77"/>
      <c r="AC600" s="76"/>
      <c r="AG600" s="86" t="s">
        <v>562</v>
      </c>
    </row>
    <row r="601" spans="1:33" ht="20.100000000000001" hidden="1" customHeight="1">
      <c r="A601" s="16" t="s">
        <v>26</v>
      </c>
      <c r="B601" s="55">
        <v>2016</v>
      </c>
      <c r="C601" s="14" t="s">
        <v>72</v>
      </c>
      <c r="D601" s="77" t="s">
        <v>532</v>
      </c>
      <c r="E601" s="128" t="s">
        <v>561</v>
      </c>
      <c r="F601" s="17"/>
      <c r="G601" s="244">
        <v>491.92000000000007</v>
      </c>
      <c r="H601" s="168">
        <f t="shared" si="51"/>
        <v>544.50777926849901</v>
      </c>
      <c r="I601" s="245">
        <v>14.3</v>
      </c>
      <c r="J601" s="245"/>
      <c r="Y601" s="76"/>
      <c r="AB601" s="77"/>
      <c r="AC601" s="76"/>
      <c r="AG601" s="86" t="s">
        <v>563</v>
      </c>
    </row>
    <row r="602" spans="1:33" ht="20.100000000000001" hidden="1" customHeight="1">
      <c r="A602" s="16" t="s">
        <v>26</v>
      </c>
      <c r="B602" s="55">
        <v>2016</v>
      </c>
      <c r="C602" s="14" t="s">
        <v>72</v>
      </c>
      <c r="D602" s="121" t="s">
        <v>553</v>
      </c>
      <c r="E602" s="128" t="s">
        <v>559</v>
      </c>
      <c r="F602" s="17"/>
      <c r="G602" s="244">
        <v>526.31999999999994</v>
      </c>
      <c r="H602" s="168">
        <f t="shared" si="51"/>
        <v>582.58524635021206</v>
      </c>
      <c r="I602" s="244">
        <v>15.3</v>
      </c>
      <c r="J602" s="244"/>
      <c r="Y602" s="76"/>
      <c r="AB602" s="77"/>
      <c r="AC602" s="76"/>
      <c r="AG602" s="86" t="s">
        <v>562</v>
      </c>
    </row>
    <row r="603" spans="1:33" ht="20.100000000000001" hidden="1" customHeight="1">
      <c r="A603" s="16" t="s">
        <v>26</v>
      </c>
      <c r="B603" s="55">
        <v>2016</v>
      </c>
      <c r="C603" s="14" t="s">
        <v>72</v>
      </c>
      <c r="D603" s="27" t="s">
        <v>482</v>
      </c>
      <c r="E603" s="128" t="s">
        <v>554</v>
      </c>
      <c r="F603" s="17"/>
      <c r="G603" s="244">
        <v>316.48</v>
      </c>
      <c r="H603" s="168">
        <f t="shared" si="51"/>
        <v>350.31269715176154</v>
      </c>
      <c r="I603" s="244">
        <v>9.1999999999999993</v>
      </c>
      <c r="J603" s="244"/>
      <c r="Y603" s="76"/>
      <c r="AB603" s="77"/>
      <c r="AC603" s="76"/>
      <c r="AG603" s="86" t="s">
        <v>562</v>
      </c>
    </row>
    <row r="604" spans="1:33" ht="20.100000000000001" hidden="1" customHeight="1">
      <c r="A604" s="16" t="s">
        <v>26</v>
      </c>
      <c r="B604" s="55">
        <v>2016</v>
      </c>
      <c r="C604" s="14" t="s">
        <v>72</v>
      </c>
      <c r="D604" s="9" t="s">
        <v>492</v>
      </c>
      <c r="E604" s="128" t="s">
        <v>513</v>
      </c>
      <c r="F604" s="17"/>
      <c r="G604" s="244">
        <v>144.48000000000002</v>
      </c>
      <c r="H604" s="168">
        <f t="shared" si="51"/>
        <v>159.92536174319551</v>
      </c>
      <c r="I604" s="244">
        <v>4.2</v>
      </c>
      <c r="J604" s="244"/>
      <c r="Y604" s="76"/>
      <c r="AB604" s="77"/>
      <c r="AC604" s="76"/>
      <c r="AG604" s="86" t="s">
        <v>562</v>
      </c>
    </row>
    <row r="605" spans="1:33" ht="20.100000000000001" hidden="1" customHeight="1">
      <c r="A605" s="16" t="s">
        <v>26</v>
      </c>
      <c r="B605" s="55">
        <v>2016</v>
      </c>
      <c r="C605" s="14" t="s">
        <v>72</v>
      </c>
      <c r="D605" s="27" t="s">
        <v>202</v>
      </c>
      <c r="E605" s="128"/>
      <c r="F605" s="17"/>
      <c r="G605" s="244">
        <v>1248.72</v>
      </c>
      <c r="H605" s="168">
        <f t="shared" si="51"/>
        <v>1382.2120550661896</v>
      </c>
      <c r="I605" s="244">
        <v>36.299999999999997</v>
      </c>
      <c r="J605" s="244"/>
      <c r="Y605" s="76"/>
      <c r="AB605" s="77"/>
      <c r="AC605" s="76"/>
      <c r="AG605" s="86" t="s">
        <v>562</v>
      </c>
    </row>
    <row r="606" spans="1:33" ht="20.100000000000001" hidden="1" customHeight="1">
      <c r="A606" s="16" t="s">
        <v>26</v>
      </c>
      <c r="B606" s="55">
        <v>2018</v>
      </c>
      <c r="C606" s="14" t="s">
        <v>72</v>
      </c>
      <c r="D606" s="9" t="s">
        <v>447</v>
      </c>
      <c r="E606" s="128" t="s">
        <v>555</v>
      </c>
      <c r="F606" s="17"/>
      <c r="G606" s="244">
        <v>658.37600000000009</v>
      </c>
      <c r="H606" s="168">
        <f t="shared" ref="H606:H612" si="52">G606/0.846772667108111</f>
        <v>777.51210634665233</v>
      </c>
      <c r="I606" s="244">
        <v>20.6</v>
      </c>
      <c r="J606" s="244"/>
      <c r="Y606" s="76"/>
      <c r="AB606" s="77"/>
      <c r="AC606" s="76"/>
      <c r="AG606" s="86" t="s">
        <v>562</v>
      </c>
    </row>
    <row r="607" spans="1:33" ht="20.100000000000001" hidden="1" customHeight="1">
      <c r="A607" s="16" t="s">
        <v>26</v>
      </c>
      <c r="B607" s="55">
        <v>2018</v>
      </c>
      <c r="C607" s="14" t="s">
        <v>72</v>
      </c>
      <c r="D607" s="77" t="s">
        <v>532</v>
      </c>
      <c r="E607" s="128" t="s">
        <v>561</v>
      </c>
      <c r="F607" s="17"/>
      <c r="G607" s="244">
        <v>495.38</v>
      </c>
      <c r="H607" s="168">
        <f t="shared" si="52"/>
        <v>585.02124506665587</v>
      </c>
      <c r="I607" s="244">
        <v>15.5</v>
      </c>
      <c r="J607" s="244"/>
      <c r="Y607" s="76"/>
      <c r="AB607" s="77"/>
      <c r="AC607" s="76"/>
      <c r="AG607" s="86" t="s">
        <v>564</v>
      </c>
    </row>
    <row r="608" spans="1:33" ht="20.100000000000001" hidden="1" customHeight="1">
      <c r="A608" s="16" t="s">
        <v>26</v>
      </c>
      <c r="B608" s="55">
        <v>2018</v>
      </c>
      <c r="C608" s="14" t="s">
        <v>72</v>
      </c>
      <c r="D608" s="121" t="s">
        <v>553</v>
      </c>
      <c r="E608" s="128" t="s">
        <v>559</v>
      </c>
      <c r="F608" s="17"/>
      <c r="G608" s="244">
        <v>479.4</v>
      </c>
      <c r="H608" s="168">
        <f t="shared" si="52"/>
        <v>566.14959199998952</v>
      </c>
      <c r="I608" s="244">
        <v>15</v>
      </c>
      <c r="J608" s="244"/>
      <c r="Y608" s="76"/>
      <c r="AB608" s="77"/>
      <c r="AC608" s="76"/>
      <c r="AG608" s="86" t="s">
        <v>562</v>
      </c>
    </row>
    <row r="609" spans="1:33" ht="20.100000000000001" hidden="1" customHeight="1">
      <c r="A609" s="16" t="s">
        <v>26</v>
      </c>
      <c r="B609" s="55">
        <v>2018</v>
      </c>
      <c r="C609" s="14" t="s">
        <v>72</v>
      </c>
      <c r="D609" s="27" t="s">
        <v>482</v>
      </c>
      <c r="E609" s="128" t="s">
        <v>554</v>
      </c>
      <c r="F609" s="17"/>
      <c r="G609" s="244">
        <v>316.404</v>
      </c>
      <c r="H609" s="168">
        <f t="shared" si="52"/>
        <v>373.65873071999306</v>
      </c>
      <c r="I609" s="244">
        <v>9.9</v>
      </c>
      <c r="J609" s="244"/>
      <c r="Y609" s="76"/>
      <c r="AB609" s="77"/>
      <c r="AC609" s="76"/>
      <c r="AG609" s="86" t="s">
        <v>562</v>
      </c>
    </row>
    <row r="610" spans="1:33" ht="20.100000000000001" hidden="1" customHeight="1">
      <c r="A610" s="16" t="s">
        <v>26</v>
      </c>
      <c r="B610" s="55">
        <v>2018</v>
      </c>
      <c r="C610" s="14" t="s">
        <v>72</v>
      </c>
      <c r="D610" s="27" t="s">
        <v>565</v>
      </c>
      <c r="E610" s="128" t="s">
        <v>566</v>
      </c>
      <c r="F610" s="17"/>
      <c r="G610" s="244">
        <v>134.232</v>
      </c>
      <c r="H610" s="168">
        <f t="shared" si="52"/>
        <v>158.52188575999705</v>
      </c>
      <c r="I610" s="244">
        <v>4.2</v>
      </c>
      <c r="J610" s="244"/>
      <c r="Y610" s="76"/>
      <c r="AB610" s="77"/>
      <c r="AC610" s="76"/>
      <c r="AG610" s="96" t="s">
        <v>567</v>
      </c>
    </row>
    <row r="611" spans="1:33" ht="20.100000000000001" hidden="1" customHeight="1">
      <c r="A611" s="16" t="s">
        <v>26</v>
      </c>
      <c r="B611" s="55">
        <v>2018</v>
      </c>
      <c r="C611" s="14" t="s">
        <v>72</v>
      </c>
      <c r="D611" s="9" t="s">
        <v>492</v>
      </c>
      <c r="E611" s="128" t="s">
        <v>513</v>
      </c>
      <c r="F611" s="17"/>
      <c r="G611" s="244">
        <v>124.64400000000001</v>
      </c>
      <c r="H611" s="168">
        <f t="shared" si="52"/>
        <v>147.19889391999729</v>
      </c>
      <c r="I611" s="244">
        <v>3.9</v>
      </c>
      <c r="J611" s="244"/>
      <c r="Y611" s="76"/>
      <c r="AB611" s="77"/>
      <c r="AC611" s="76"/>
      <c r="AG611" s="86" t="s">
        <v>562</v>
      </c>
    </row>
    <row r="612" spans="1:33" ht="20.100000000000001" hidden="1" customHeight="1">
      <c r="A612" s="16" t="s">
        <v>26</v>
      </c>
      <c r="B612" s="55">
        <v>2018</v>
      </c>
      <c r="C612" s="14" t="s">
        <v>72</v>
      </c>
      <c r="D612" s="27" t="s">
        <v>202</v>
      </c>
      <c r="E612" s="128"/>
      <c r="F612" s="20"/>
      <c r="G612" s="244">
        <v>987.56399999999996</v>
      </c>
      <c r="H612" s="168">
        <f t="shared" si="52"/>
        <v>1166.2681595199783</v>
      </c>
      <c r="I612" s="244">
        <v>30.9</v>
      </c>
      <c r="J612" s="244"/>
      <c r="Y612" s="76"/>
      <c r="AB612" s="77"/>
      <c r="AC612" s="76"/>
      <c r="AG612" s="77" t="s">
        <v>546</v>
      </c>
    </row>
    <row r="613" spans="1:33" ht="20.100000000000001" hidden="1" customHeight="1">
      <c r="A613" s="16" t="s">
        <v>26</v>
      </c>
      <c r="B613" s="55">
        <v>2020</v>
      </c>
      <c r="C613" s="14" t="s">
        <v>72</v>
      </c>
      <c r="D613" s="9" t="s">
        <v>447</v>
      </c>
      <c r="E613" s="128" t="s">
        <v>555</v>
      </c>
      <c r="F613" s="17"/>
      <c r="G613" s="244">
        <v>529.21400000000006</v>
      </c>
      <c r="H613" s="170">
        <f t="shared" ref="H613:H623" si="53">G613/0.875506396987998</f>
        <v>604.46617160154779</v>
      </c>
      <c r="I613" s="244">
        <v>20.6</v>
      </c>
      <c r="J613" s="244"/>
      <c r="Y613" s="76"/>
      <c r="AB613" s="77"/>
      <c r="AC613" s="76"/>
      <c r="AG613" s="86" t="s">
        <v>568</v>
      </c>
    </row>
    <row r="614" spans="1:33" ht="20.100000000000001" hidden="1" customHeight="1">
      <c r="A614" s="16" t="s">
        <v>26</v>
      </c>
      <c r="B614" s="55">
        <v>2020</v>
      </c>
      <c r="C614" s="14" t="s">
        <v>72</v>
      </c>
      <c r="D614" s="77" t="s">
        <v>532</v>
      </c>
      <c r="E614" s="128" t="s">
        <v>561</v>
      </c>
      <c r="F614" s="94"/>
      <c r="G614" s="244">
        <v>416.178</v>
      </c>
      <c r="H614" s="170">
        <f t="shared" si="53"/>
        <v>475.35689223034336</v>
      </c>
      <c r="I614" s="244">
        <v>16.2</v>
      </c>
      <c r="J614" s="244"/>
      <c r="Y614" s="88"/>
      <c r="AB614" s="77"/>
      <c r="AC614" s="89"/>
      <c r="AG614" s="96" t="s">
        <v>569</v>
      </c>
    </row>
    <row r="615" spans="1:33" ht="20.100000000000001" hidden="1" customHeight="1">
      <c r="A615" s="16" t="s">
        <v>26</v>
      </c>
      <c r="B615" s="55">
        <v>2020</v>
      </c>
      <c r="C615" s="14" t="s">
        <v>72</v>
      </c>
      <c r="D615" s="121" t="s">
        <v>553</v>
      </c>
      <c r="E615" s="128" t="s">
        <v>559</v>
      </c>
      <c r="F615" s="94"/>
      <c r="G615" s="244">
        <v>377.64299999999997</v>
      </c>
      <c r="H615" s="170">
        <f t="shared" si="53"/>
        <v>431.3423651719782</v>
      </c>
      <c r="I615" s="244">
        <v>14.7</v>
      </c>
      <c r="J615" s="244"/>
      <c r="Y615" s="76"/>
      <c r="AB615" s="77"/>
      <c r="AC615" s="76"/>
      <c r="AG615" s="86" t="s">
        <v>570</v>
      </c>
    </row>
    <row r="616" spans="1:33" ht="20.100000000000001" hidden="1" customHeight="1">
      <c r="A616" s="16" t="s">
        <v>26</v>
      </c>
      <c r="B616" s="55">
        <v>2020</v>
      </c>
      <c r="C616" s="14" t="s">
        <v>72</v>
      </c>
      <c r="D616" s="27" t="s">
        <v>482</v>
      </c>
      <c r="E616" s="128" t="s">
        <v>554</v>
      </c>
      <c r="F616" s="94"/>
      <c r="G616" s="244">
        <v>200.38200000000001</v>
      </c>
      <c r="H616" s="170">
        <f t="shared" si="53"/>
        <v>228.87554070349867</v>
      </c>
      <c r="I616" s="244">
        <v>7.8</v>
      </c>
      <c r="J616" s="244"/>
      <c r="Y616" s="76"/>
      <c r="AB616" s="77"/>
      <c r="AC616" s="76"/>
      <c r="AG616" s="86" t="s">
        <v>568</v>
      </c>
    </row>
    <row r="617" spans="1:33" ht="20.100000000000001" hidden="1" customHeight="1">
      <c r="A617" s="16" t="s">
        <v>26</v>
      </c>
      <c r="B617" s="55">
        <v>2020</v>
      </c>
      <c r="C617" s="14" t="s">
        <v>72</v>
      </c>
      <c r="D617" s="27" t="s">
        <v>565</v>
      </c>
      <c r="E617" s="128" t="s">
        <v>566</v>
      </c>
      <c r="F617" s="94"/>
      <c r="G617" s="244">
        <v>138.72600000000003</v>
      </c>
      <c r="H617" s="170">
        <f t="shared" si="53"/>
        <v>158.45229741011448</v>
      </c>
      <c r="I617" s="244">
        <v>5.4</v>
      </c>
      <c r="J617" s="244"/>
      <c r="Y617" s="76"/>
      <c r="AB617" s="77"/>
      <c r="AC617" s="76"/>
      <c r="AG617" s="86" t="s">
        <v>571</v>
      </c>
    </row>
    <row r="618" spans="1:33" ht="20.100000000000001" hidden="1" customHeight="1">
      <c r="A618" s="16" t="s">
        <v>26</v>
      </c>
      <c r="B618" s="55">
        <v>2020</v>
      </c>
      <c r="C618" s="14" t="s">
        <v>72</v>
      </c>
      <c r="D618" s="9" t="s">
        <v>492</v>
      </c>
      <c r="E618" s="128" t="s">
        <v>513</v>
      </c>
      <c r="F618" s="94"/>
      <c r="G618" s="244">
        <v>87.346000000000004</v>
      </c>
      <c r="H618" s="170">
        <f t="shared" si="53"/>
        <v>99.766261332294292</v>
      </c>
      <c r="I618" s="244">
        <v>3.4</v>
      </c>
      <c r="J618" s="244"/>
      <c r="Y618" s="76"/>
      <c r="AB618" s="77"/>
      <c r="AC618" s="76"/>
      <c r="AG618" s="86" t="s">
        <v>572</v>
      </c>
    </row>
    <row r="619" spans="1:33" ht="20.100000000000001" hidden="1" customHeight="1">
      <c r="A619" s="16" t="s">
        <v>26</v>
      </c>
      <c r="B619" s="55">
        <v>2020</v>
      </c>
      <c r="C619" s="14" t="s">
        <v>72</v>
      </c>
      <c r="D619" s="27" t="s">
        <v>573</v>
      </c>
      <c r="E619" s="35" t="s">
        <v>574</v>
      </c>
      <c r="F619" s="94"/>
      <c r="G619" s="244">
        <v>74.500999999999991</v>
      </c>
      <c r="H619" s="170">
        <f t="shared" si="53"/>
        <v>85.094752312839233</v>
      </c>
      <c r="I619" s="244">
        <v>2.9</v>
      </c>
      <c r="J619" s="244"/>
      <c r="Y619" s="76"/>
      <c r="AB619" s="77"/>
      <c r="AG619" s="86" t="s">
        <v>575</v>
      </c>
    </row>
    <row r="620" spans="1:33" ht="20.100000000000001" hidden="1" customHeight="1">
      <c r="A620" s="16" t="s">
        <v>26</v>
      </c>
      <c r="B620" s="55">
        <v>2020</v>
      </c>
      <c r="C620" s="14" t="s">
        <v>72</v>
      </c>
      <c r="D620" s="27" t="s">
        <v>576</v>
      </c>
      <c r="E620" s="128" t="s">
        <v>577</v>
      </c>
      <c r="F620" s="94"/>
      <c r="G620" s="244">
        <v>64.225000000000009</v>
      </c>
      <c r="H620" s="170">
        <f t="shared" si="53"/>
        <v>73.357545097275221</v>
      </c>
      <c r="I620" s="244">
        <v>2.5</v>
      </c>
      <c r="J620" s="244"/>
      <c r="Y620" s="76"/>
      <c r="AB620" s="77"/>
      <c r="AG620" s="86" t="s">
        <v>578</v>
      </c>
    </row>
    <row r="621" spans="1:33" ht="20.100000000000001" hidden="1" customHeight="1">
      <c r="A621" s="16" t="s">
        <v>26</v>
      </c>
      <c r="B621" s="55">
        <v>2020</v>
      </c>
      <c r="C621" s="14" t="s">
        <v>72</v>
      </c>
      <c r="D621" s="27" t="s">
        <v>579</v>
      </c>
      <c r="E621" s="128" t="s">
        <v>580</v>
      </c>
      <c r="F621" s="94"/>
      <c r="G621" s="244">
        <v>53.949000000000005</v>
      </c>
      <c r="H621" s="170">
        <f t="shared" si="53"/>
        <v>61.62033788171118</v>
      </c>
      <c r="I621" s="244">
        <v>2.1</v>
      </c>
      <c r="J621" s="244"/>
      <c r="Y621" s="76"/>
      <c r="AB621" s="77"/>
      <c r="AG621" s="86" t="s">
        <v>575</v>
      </c>
    </row>
    <row r="622" spans="1:33" ht="20.100000000000001" hidden="1" customHeight="1">
      <c r="A622" s="16" t="s">
        <v>26</v>
      </c>
      <c r="B622" s="55">
        <v>2020</v>
      </c>
      <c r="C622" s="14" t="s">
        <v>72</v>
      </c>
      <c r="D622" s="9" t="s">
        <v>581</v>
      </c>
      <c r="E622" s="128"/>
      <c r="F622" s="94"/>
      <c r="G622" s="244">
        <v>30.827999999999999</v>
      </c>
      <c r="H622" s="170">
        <f t="shared" si="53"/>
        <v>35.211621646692102</v>
      </c>
      <c r="I622" s="244">
        <v>1.2</v>
      </c>
      <c r="J622" s="244"/>
      <c r="Y622" s="76"/>
      <c r="AB622" s="77"/>
      <c r="AG622" s="86" t="s">
        <v>582</v>
      </c>
    </row>
    <row r="623" spans="1:33" ht="20.100000000000001" hidden="1" customHeight="1">
      <c r="A623" s="16" t="s">
        <v>26</v>
      </c>
      <c r="B623" s="55">
        <v>2020</v>
      </c>
      <c r="C623" s="14" t="s">
        <v>72</v>
      </c>
      <c r="D623" s="27" t="s">
        <v>202</v>
      </c>
      <c r="E623" s="128"/>
      <c r="F623" s="94"/>
      <c r="G623" s="244">
        <v>596.00799999999992</v>
      </c>
      <c r="H623" s="170">
        <f t="shared" si="53"/>
        <v>680.75801850271387</v>
      </c>
      <c r="I623" s="244">
        <v>23.2</v>
      </c>
      <c r="J623" s="244"/>
      <c r="Y623" s="76"/>
      <c r="AB623" s="77"/>
      <c r="AG623" s="77" t="s">
        <v>546</v>
      </c>
    </row>
    <row r="624" spans="1:33" ht="20.100000000000001" hidden="1" customHeight="1">
      <c r="A624" s="16" t="s">
        <v>26</v>
      </c>
      <c r="B624" s="55">
        <v>2022</v>
      </c>
      <c r="C624" s="14" t="s">
        <v>72</v>
      </c>
      <c r="D624" s="9" t="s">
        <v>447</v>
      </c>
      <c r="E624" s="128" t="s">
        <v>555</v>
      </c>
      <c r="F624" s="17"/>
      <c r="G624" s="245">
        <v>512.85</v>
      </c>
      <c r="H624" s="170">
        <f t="shared" ref="H624:H634" si="54">G624/0.949623753156941</f>
        <v>540.05599406614999</v>
      </c>
      <c r="I624" s="244">
        <v>19.5</v>
      </c>
      <c r="J624" s="244"/>
      <c r="Y624" s="76"/>
      <c r="AB624" s="77"/>
      <c r="AG624" s="86" t="s">
        <v>568</v>
      </c>
    </row>
    <row r="625" spans="1:33" ht="20.100000000000001" hidden="1" customHeight="1">
      <c r="A625" s="16" t="s">
        <v>26</v>
      </c>
      <c r="B625" s="55">
        <v>2022</v>
      </c>
      <c r="C625" s="14" t="s">
        <v>72</v>
      </c>
      <c r="D625" s="77" t="s">
        <v>532</v>
      </c>
      <c r="E625" s="128" t="s">
        <v>561</v>
      </c>
      <c r="F625" s="94"/>
      <c r="G625" s="244">
        <v>415.54</v>
      </c>
      <c r="H625" s="170">
        <f t="shared" si="54"/>
        <v>437.5838310894959</v>
      </c>
      <c r="I625" s="244">
        <v>15.8</v>
      </c>
      <c r="J625" s="244"/>
      <c r="Y625" s="76"/>
      <c r="AB625" s="77"/>
      <c r="AG625" s="86" t="s">
        <v>583</v>
      </c>
    </row>
    <row r="626" spans="1:33" ht="20.100000000000001" hidden="1" customHeight="1">
      <c r="A626" s="16" t="s">
        <v>26</v>
      </c>
      <c r="B626" s="55">
        <v>2022</v>
      </c>
      <c r="C626" s="14" t="s">
        <v>72</v>
      </c>
      <c r="D626" s="121" t="s">
        <v>553</v>
      </c>
      <c r="E626" s="128" t="s">
        <v>584</v>
      </c>
      <c r="F626" s="94"/>
      <c r="G626" s="244">
        <v>378.72</v>
      </c>
      <c r="H626" s="170">
        <f t="shared" si="54"/>
        <v>398.81058023346463</v>
      </c>
      <c r="I626" s="244">
        <v>14.4</v>
      </c>
      <c r="J626" s="244"/>
      <c r="Y626" s="76"/>
      <c r="AB626" s="77"/>
      <c r="AG626" s="96" t="s">
        <v>585</v>
      </c>
    </row>
    <row r="627" spans="1:33" ht="20.100000000000001" hidden="1" customHeight="1">
      <c r="A627" s="16" t="s">
        <v>26</v>
      </c>
      <c r="B627" s="55">
        <v>2022</v>
      </c>
      <c r="C627" s="14" t="s">
        <v>72</v>
      </c>
      <c r="D627" s="27" t="s">
        <v>482</v>
      </c>
      <c r="E627" s="128" t="s">
        <v>554</v>
      </c>
      <c r="F627" s="94"/>
      <c r="G627" s="245">
        <v>197.25</v>
      </c>
      <c r="H627" s="170">
        <f t="shared" si="54"/>
        <v>207.71384387159614</v>
      </c>
      <c r="I627" s="244">
        <v>7.5</v>
      </c>
      <c r="J627" s="244"/>
      <c r="AB627" s="77"/>
      <c r="AG627" s="86" t="s">
        <v>568</v>
      </c>
    </row>
    <row r="628" spans="1:33" ht="20.100000000000001" hidden="1" customHeight="1">
      <c r="A628" s="16" t="s">
        <v>26</v>
      </c>
      <c r="B628" s="55">
        <v>2022</v>
      </c>
      <c r="C628" s="27" t="s">
        <v>72</v>
      </c>
      <c r="D628" s="27" t="s">
        <v>565</v>
      </c>
      <c r="E628" s="11" t="s">
        <v>566</v>
      </c>
      <c r="F628" s="107"/>
      <c r="G628" s="245">
        <v>144.65</v>
      </c>
      <c r="H628" s="170">
        <f t="shared" si="54"/>
        <v>152.32348550583717</v>
      </c>
      <c r="I628" s="245">
        <v>5.5</v>
      </c>
      <c r="J628" s="245"/>
      <c r="V628" s="108"/>
      <c r="W628" s="108"/>
      <c r="AB628" s="77"/>
      <c r="AG628" s="62" t="s">
        <v>568</v>
      </c>
    </row>
    <row r="629" spans="1:33" ht="20.100000000000001" hidden="1" customHeight="1">
      <c r="A629" s="16" t="s">
        <v>26</v>
      </c>
      <c r="B629" s="55">
        <v>2022</v>
      </c>
      <c r="C629" s="14" t="s">
        <v>72</v>
      </c>
      <c r="D629" s="27" t="s">
        <v>573</v>
      </c>
      <c r="E629" s="35" t="s">
        <v>574</v>
      </c>
      <c r="F629" s="94"/>
      <c r="G629" s="244">
        <v>86.79</v>
      </c>
      <c r="H629" s="170">
        <f t="shared" si="54"/>
        <v>91.394091303502307</v>
      </c>
      <c r="I629" s="244">
        <v>3.3</v>
      </c>
      <c r="J629" s="244"/>
      <c r="AB629" s="77"/>
      <c r="AG629" s="86" t="s">
        <v>575</v>
      </c>
    </row>
    <row r="630" spans="1:33" ht="20.100000000000001" hidden="1" customHeight="1">
      <c r="A630" s="16" t="s">
        <v>26</v>
      </c>
      <c r="B630" s="55">
        <v>2022</v>
      </c>
      <c r="C630" s="14" t="s">
        <v>72</v>
      </c>
      <c r="D630" s="9" t="s">
        <v>492</v>
      </c>
      <c r="E630" s="128" t="s">
        <v>513</v>
      </c>
      <c r="F630" s="94"/>
      <c r="G630" s="245">
        <v>86.79</v>
      </c>
      <c r="H630" s="170">
        <f t="shared" si="54"/>
        <v>91.394091303502307</v>
      </c>
      <c r="I630" s="244">
        <v>3.3</v>
      </c>
      <c r="J630" s="244"/>
      <c r="AB630" s="77"/>
      <c r="AG630" s="86" t="s">
        <v>568</v>
      </c>
    </row>
    <row r="631" spans="1:33" ht="20.100000000000001" hidden="1" customHeight="1">
      <c r="A631" s="16" t="s">
        <v>26</v>
      </c>
      <c r="B631" s="55">
        <v>2022</v>
      </c>
      <c r="C631" s="14" t="s">
        <v>72</v>
      </c>
      <c r="D631" s="27" t="s">
        <v>586</v>
      </c>
      <c r="E631" s="128" t="s">
        <v>577</v>
      </c>
      <c r="F631" s="94"/>
      <c r="G631" s="244">
        <v>71.010000000000005</v>
      </c>
      <c r="H631" s="170">
        <f t="shared" si="54"/>
        <v>74.776983793774619</v>
      </c>
      <c r="I631" s="244">
        <v>2.7</v>
      </c>
      <c r="J631" s="244"/>
      <c r="AB631" s="77"/>
      <c r="AG631" s="86" t="s">
        <v>587</v>
      </c>
    </row>
    <row r="632" spans="1:33" ht="20.100000000000001" hidden="1" customHeight="1">
      <c r="A632" s="16" t="s">
        <v>26</v>
      </c>
      <c r="B632" s="55">
        <v>2022</v>
      </c>
      <c r="C632" s="14" t="s">
        <v>72</v>
      </c>
      <c r="D632" s="27" t="s">
        <v>579</v>
      </c>
      <c r="E632" s="128" t="s">
        <v>580</v>
      </c>
      <c r="F632" s="94"/>
      <c r="G632" s="244">
        <v>68.38000000000001</v>
      </c>
      <c r="H632" s="170">
        <f t="shared" si="54"/>
        <v>72.007465875486673</v>
      </c>
      <c r="I632" s="244">
        <v>2.6</v>
      </c>
      <c r="J632" s="244"/>
      <c r="AB632" s="77"/>
      <c r="AG632" s="86" t="s">
        <v>588</v>
      </c>
    </row>
    <row r="633" spans="1:33" ht="20.100000000000001" hidden="1" customHeight="1">
      <c r="A633" s="16" t="s">
        <v>26</v>
      </c>
      <c r="B633" s="55">
        <v>2022</v>
      </c>
      <c r="C633" s="14" t="s">
        <v>72</v>
      </c>
      <c r="D633" s="27" t="s">
        <v>589</v>
      </c>
      <c r="E633" s="128" t="s">
        <v>590</v>
      </c>
      <c r="F633" s="94"/>
      <c r="G633" s="245">
        <v>36.819999999999993</v>
      </c>
      <c r="H633" s="170">
        <f t="shared" si="54"/>
        <v>38.773250856031275</v>
      </c>
      <c r="I633" s="244">
        <v>1.4</v>
      </c>
      <c r="J633" s="244"/>
      <c r="AB633" s="77"/>
      <c r="AG633" s="86" t="s">
        <v>568</v>
      </c>
    </row>
    <row r="634" spans="1:33" ht="20.100000000000001" hidden="1" customHeight="1">
      <c r="A634" s="16" t="s">
        <v>26</v>
      </c>
      <c r="B634" s="55">
        <v>2022</v>
      </c>
      <c r="C634" s="14" t="s">
        <v>72</v>
      </c>
      <c r="D634" s="27" t="s">
        <v>202</v>
      </c>
      <c r="E634" s="128"/>
      <c r="F634" s="17"/>
      <c r="G634" s="244">
        <v>631.19999999999993</v>
      </c>
      <c r="H634" s="170">
        <f t="shared" si="54"/>
        <v>664.68430038910753</v>
      </c>
      <c r="I634" s="244">
        <v>24</v>
      </c>
      <c r="J634" s="244"/>
      <c r="AB634" s="77"/>
      <c r="AG634" s="77" t="s">
        <v>546</v>
      </c>
    </row>
    <row r="635" spans="1:33" ht="20.100000000000001" hidden="1" customHeight="1">
      <c r="A635" s="16" t="s">
        <v>26</v>
      </c>
      <c r="B635" s="16">
        <v>1989</v>
      </c>
      <c r="C635" s="14" t="s">
        <v>73</v>
      </c>
      <c r="D635" s="83" t="s">
        <v>591</v>
      </c>
      <c r="E635" s="66" t="s">
        <v>592</v>
      </c>
      <c r="F635" s="17"/>
      <c r="G635" s="153"/>
      <c r="H635" s="226"/>
      <c r="I635" s="229">
        <v>1.2</v>
      </c>
      <c r="J635" s="229"/>
      <c r="AB635" s="77"/>
      <c r="AG635" s="35" t="s">
        <v>593</v>
      </c>
    </row>
    <row r="636" spans="1:33" ht="20.100000000000001" hidden="1" customHeight="1">
      <c r="A636" s="16" t="s">
        <v>26</v>
      </c>
      <c r="B636" s="16">
        <v>1989</v>
      </c>
      <c r="C636" s="14" t="s">
        <v>73</v>
      </c>
      <c r="D636" s="123" t="s">
        <v>594</v>
      </c>
      <c r="E636" s="35" t="s">
        <v>595</v>
      </c>
      <c r="F636" s="17"/>
      <c r="G636" s="168"/>
      <c r="H636" s="226"/>
      <c r="I636" s="226"/>
      <c r="J636" s="226"/>
      <c r="AB636" s="77"/>
      <c r="AG636" s="35" t="s">
        <v>596</v>
      </c>
    </row>
    <row r="637" spans="1:33" ht="20.100000000000001" hidden="1" customHeight="1">
      <c r="A637" s="16" t="s">
        <v>26</v>
      </c>
      <c r="B637" s="16">
        <v>1989</v>
      </c>
      <c r="C637" s="14" t="s">
        <v>73</v>
      </c>
      <c r="D637" s="83" t="s">
        <v>442</v>
      </c>
      <c r="E637" s="66" t="s">
        <v>597</v>
      </c>
      <c r="F637" s="17"/>
      <c r="G637" s="153"/>
      <c r="H637" s="226"/>
      <c r="I637" s="226"/>
      <c r="J637" s="226"/>
      <c r="AB637" s="77"/>
      <c r="AG637" s="35" t="s">
        <v>598</v>
      </c>
    </row>
    <row r="638" spans="1:33" ht="20.100000000000001" hidden="1" customHeight="1">
      <c r="A638" s="16" t="s">
        <v>26</v>
      </c>
      <c r="B638" s="16">
        <v>1989</v>
      </c>
      <c r="C638" s="14" t="s">
        <v>73</v>
      </c>
      <c r="D638" s="9" t="s">
        <v>599</v>
      </c>
      <c r="E638" s="17" t="s">
        <v>599</v>
      </c>
      <c r="F638" s="17"/>
      <c r="G638" s="153"/>
      <c r="H638" s="226"/>
      <c r="I638" s="226"/>
      <c r="J638" s="226"/>
      <c r="AB638" s="77"/>
      <c r="AF638" s="142"/>
      <c r="AG638" s="146"/>
    </row>
    <row r="639" spans="1:33" ht="20.100000000000001" hidden="1" customHeight="1">
      <c r="A639" s="16" t="s">
        <v>26</v>
      </c>
      <c r="B639" s="16">
        <v>1989</v>
      </c>
      <c r="C639" s="14" t="s">
        <v>73</v>
      </c>
      <c r="D639" s="83" t="s">
        <v>600</v>
      </c>
      <c r="E639" s="66" t="s">
        <v>601</v>
      </c>
      <c r="F639" s="17"/>
      <c r="G639" s="153"/>
      <c r="H639" s="226"/>
      <c r="I639" s="229">
        <v>15.1</v>
      </c>
      <c r="J639" s="229"/>
      <c r="AB639" s="77"/>
      <c r="AF639" s="142"/>
      <c r="AG639" s="146"/>
    </row>
    <row r="640" spans="1:33" ht="20.100000000000001" hidden="1" customHeight="1">
      <c r="A640" s="16" t="s">
        <v>26</v>
      </c>
      <c r="B640" s="16">
        <v>1989</v>
      </c>
      <c r="C640" s="14" t="s">
        <v>73</v>
      </c>
      <c r="D640" s="9" t="s">
        <v>602</v>
      </c>
      <c r="E640" s="17" t="s">
        <v>602</v>
      </c>
      <c r="F640" s="17"/>
      <c r="G640" s="153"/>
      <c r="H640" s="226"/>
      <c r="I640" s="226"/>
      <c r="J640" s="226"/>
      <c r="AB640" s="77"/>
      <c r="AF640" s="142"/>
      <c r="AG640" s="146"/>
    </row>
    <row r="641" spans="1:33" ht="20.100000000000001" hidden="1" customHeight="1">
      <c r="A641" s="16" t="s">
        <v>26</v>
      </c>
      <c r="B641" s="16">
        <v>1989</v>
      </c>
      <c r="C641" s="14" t="s">
        <v>73</v>
      </c>
      <c r="D641" s="9" t="s">
        <v>603</v>
      </c>
      <c r="E641" s="17" t="s">
        <v>603</v>
      </c>
      <c r="F641" s="17"/>
      <c r="G641" s="153"/>
      <c r="H641" s="226"/>
      <c r="I641" s="229">
        <v>3.6</v>
      </c>
      <c r="J641" s="229"/>
      <c r="AB641" s="77"/>
      <c r="AF641" s="142"/>
      <c r="AG641" s="146"/>
    </row>
    <row r="642" spans="1:33" ht="20.100000000000001" hidden="1" customHeight="1">
      <c r="A642" s="16" t="s">
        <v>26</v>
      </c>
      <c r="B642" s="16">
        <v>1989</v>
      </c>
      <c r="C642" s="14" t="s">
        <v>73</v>
      </c>
      <c r="D642" s="9" t="s">
        <v>604</v>
      </c>
      <c r="E642" s="17" t="s">
        <v>605</v>
      </c>
      <c r="F642" s="17"/>
      <c r="G642" s="153"/>
      <c r="H642" s="226"/>
      <c r="I642" s="226"/>
      <c r="J642" s="226"/>
      <c r="AB642" s="77"/>
      <c r="AF642" s="142"/>
      <c r="AG642" s="146"/>
    </row>
    <row r="643" spans="1:33" ht="20.100000000000001" hidden="1" customHeight="1">
      <c r="A643" s="16" t="s">
        <v>26</v>
      </c>
      <c r="B643" s="16">
        <v>1989</v>
      </c>
      <c r="C643" s="14" t="s">
        <v>73</v>
      </c>
      <c r="D643" s="9" t="s">
        <v>505</v>
      </c>
      <c r="E643" s="17" t="s">
        <v>505</v>
      </c>
      <c r="F643" s="17"/>
      <c r="G643" s="153"/>
      <c r="H643" s="226"/>
      <c r="I643" s="229">
        <v>2.7</v>
      </c>
      <c r="J643" s="229"/>
      <c r="AB643" s="77"/>
      <c r="AF643" s="142"/>
      <c r="AG643" s="146"/>
    </row>
    <row r="644" spans="1:33" ht="20.100000000000001" hidden="1" customHeight="1">
      <c r="A644" s="16" t="s">
        <v>26</v>
      </c>
      <c r="B644" s="16">
        <v>1989</v>
      </c>
      <c r="C644" s="14" t="s">
        <v>73</v>
      </c>
      <c r="D644" s="9" t="s">
        <v>606</v>
      </c>
      <c r="E644" s="66"/>
      <c r="F644" s="17"/>
      <c r="G644" s="153"/>
      <c r="H644" s="226"/>
      <c r="I644" s="229">
        <v>2</v>
      </c>
      <c r="J644" s="229"/>
      <c r="AB644" s="77"/>
      <c r="AF644" s="142"/>
      <c r="AG644" s="146"/>
    </row>
    <row r="645" spans="1:33" ht="20.100000000000001" hidden="1" customHeight="1">
      <c r="A645" s="16" t="s">
        <v>26</v>
      </c>
      <c r="B645" s="16">
        <v>1989</v>
      </c>
      <c r="C645" s="14" t="s">
        <v>73</v>
      </c>
      <c r="D645" s="9" t="s">
        <v>607</v>
      </c>
      <c r="E645" s="9" t="s">
        <v>607</v>
      </c>
      <c r="F645" s="17"/>
      <c r="G645" s="153"/>
      <c r="H645" s="226"/>
      <c r="I645" s="229">
        <v>1.5</v>
      </c>
      <c r="J645" s="229"/>
      <c r="AB645" s="77"/>
      <c r="AF645" s="142"/>
      <c r="AG645" s="146"/>
    </row>
    <row r="646" spans="1:33" ht="20.100000000000001" hidden="1" customHeight="1">
      <c r="A646" s="16" t="s">
        <v>26</v>
      </c>
      <c r="B646" s="16">
        <v>1989</v>
      </c>
      <c r="C646" s="14" t="s">
        <v>73</v>
      </c>
      <c r="D646" s="9" t="s">
        <v>608</v>
      </c>
      <c r="E646" s="17" t="s">
        <v>608</v>
      </c>
      <c r="F646" s="17"/>
      <c r="G646" s="153"/>
      <c r="H646" s="226"/>
      <c r="I646" s="226"/>
      <c r="J646" s="226"/>
      <c r="AB646" s="77"/>
      <c r="AF646" s="142"/>
      <c r="AG646" s="146"/>
    </row>
    <row r="647" spans="1:33" ht="20.100000000000001" hidden="1" customHeight="1">
      <c r="A647" s="16" t="s">
        <v>26</v>
      </c>
      <c r="B647" s="16">
        <v>1989</v>
      </c>
      <c r="C647" s="14" t="s">
        <v>73</v>
      </c>
      <c r="D647" s="9" t="s">
        <v>609</v>
      </c>
      <c r="E647" s="9" t="s">
        <v>609</v>
      </c>
      <c r="F647" s="17"/>
      <c r="G647" s="153"/>
      <c r="H647" s="226"/>
      <c r="I647" s="226"/>
      <c r="J647" s="226"/>
      <c r="AB647" s="77"/>
      <c r="AF647" s="142"/>
      <c r="AG647" s="146"/>
    </row>
    <row r="648" spans="1:33" ht="20.100000000000001" hidden="1" customHeight="1">
      <c r="A648" s="16" t="s">
        <v>26</v>
      </c>
      <c r="B648" s="16">
        <v>1989</v>
      </c>
      <c r="C648" s="14" t="s">
        <v>73</v>
      </c>
      <c r="D648" s="83" t="s">
        <v>610</v>
      </c>
      <c r="E648" s="66" t="s">
        <v>611</v>
      </c>
      <c r="F648" s="17"/>
      <c r="G648" s="153"/>
      <c r="H648" s="226"/>
      <c r="I648" s="226"/>
      <c r="J648" s="226"/>
      <c r="AB648" s="77"/>
      <c r="AF648" s="142"/>
      <c r="AG648" s="146"/>
    </row>
    <row r="649" spans="1:33" ht="20.100000000000001" hidden="1" customHeight="1">
      <c r="A649" s="16" t="s">
        <v>26</v>
      </c>
      <c r="B649" s="16">
        <v>1989</v>
      </c>
      <c r="C649" s="14" t="s">
        <v>73</v>
      </c>
      <c r="D649" s="9" t="s">
        <v>612</v>
      </c>
      <c r="E649" s="17" t="s">
        <v>612</v>
      </c>
      <c r="F649" s="17"/>
      <c r="G649" s="153"/>
      <c r="H649" s="226"/>
      <c r="I649" s="226"/>
      <c r="J649" s="226"/>
      <c r="AB649" s="77"/>
      <c r="AF649" s="142"/>
      <c r="AG649" s="146"/>
    </row>
    <row r="650" spans="1:33" ht="20.100000000000001" hidden="1" customHeight="1">
      <c r="A650" s="16" t="s">
        <v>26</v>
      </c>
      <c r="B650" s="16">
        <v>1989</v>
      </c>
      <c r="C650" s="14" t="s">
        <v>73</v>
      </c>
      <c r="D650" s="9" t="s">
        <v>613</v>
      </c>
      <c r="E650" s="17" t="s">
        <v>613</v>
      </c>
      <c r="F650" s="17"/>
      <c r="G650" s="153"/>
      <c r="H650" s="226"/>
      <c r="I650" s="226"/>
      <c r="J650" s="226"/>
      <c r="AB650" s="77"/>
      <c r="AF650" s="142"/>
      <c r="AG650" s="146"/>
    </row>
    <row r="651" spans="1:33" ht="20.100000000000001" hidden="1" customHeight="1">
      <c r="A651" s="16" t="s">
        <v>26</v>
      </c>
      <c r="B651" s="16">
        <v>1989</v>
      </c>
      <c r="C651" s="14" t="s">
        <v>73</v>
      </c>
      <c r="D651" s="9" t="s">
        <v>614</v>
      </c>
      <c r="E651" s="17" t="s">
        <v>614</v>
      </c>
      <c r="F651" s="17"/>
      <c r="G651" s="153"/>
      <c r="H651" s="226"/>
      <c r="I651" s="229">
        <v>1.7</v>
      </c>
      <c r="J651" s="229"/>
      <c r="AB651" s="77"/>
      <c r="AF651" s="142"/>
      <c r="AG651" s="146"/>
    </row>
    <row r="652" spans="1:33" ht="20.100000000000001" hidden="1" customHeight="1">
      <c r="A652" s="16" t="s">
        <v>26</v>
      </c>
      <c r="B652" s="16">
        <v>1989</v>
      </c>
      <c r="C652" s="14" t="s">
        <v>73</v>
      </c>
      <c r="D652" s="9" t="s">
        <v>615</v>
      </c>
      <c r="E652" s="17" t="s">
        <v>615</v>
      </c>
      <c r="F652" s="17"/>
      <c r="G652" s="153"/>
      <c r="H652" s="226"/>
      <c r="I652" s="229">
        <v>1.7</v>
      </c>
      <c r="J652" s="229"/>
      <c r="AB652" s="77"/>
      <c r="AF652" s="142"/>
      <c r="AG652" s="146"/>
    </row>
    <row r="653" spans="1:33" ht="20.100000000000001" hidden="1" customHeight="1">
      <c r="A653" s="16" t="s">
        <v>26</v>
      </c>
      <c r="B653" s="16">
        <v>1989</v>
      </c>
      <c r="C653" s="14" t="s">
        <v>73</v>
      </c>
      <c r="D653" s="9" t="s">
        <v>616</v>
      </c>
      <c r="E653" s="17" t="s">
        <v>616</v>
      </c>
      <c r="F653" s="17"/>
      <c r="G653" s="153"/>
      <c r="H653" s="226"/>
      <c r="I653" s="229">
        <v>1.2</v>
      </c>
      <c r="J653" s="229"/>
      <c r="AB653" s="77"/>
      <c r="AF653" s="142"/>
      <c r="AG653" s="146"/>
    </row>
    <row r="654" spans="1:33" ht="20.100000000000001" hidden="1" customHeight="1">
      <c r="A654" s="16" t="s">
        <v>26</v>
      </c>
      <c r="B654" s="16">
        <v>1989</v>
      </c>
      <c r="C654" s="14" t="s">
        <v>73</v>
      </c>
      <c r="D654" s="9" t="s">
        <v>617</v>
      </c>
      <c r="E654" s="66"/>
      <c r="F654" s="17"/>
      <c r="G654" s="153"/>
      <c r="H654" s="226"/>
      <c r="I654" s="229">
        <v>0.9</v>
      </c>
      <c r="J654" s="229"/>
      <c r="AB654" s="77"/>
      <c r="AF654" s="142"/>
      <c r="AG654" s="146"/>
    </row>
    <row r="655" spans="1:33" ht="20.100000000000001" hidden="1" customHeight="1">
      <c r="A655" s="16" t="s">
        <v>26</v>
      </c>
      <c r="B655" s="16">
        <v>1992</v>
      </c>
      <c r="C655" s="14" t="s">
        <v>73</v>
      </c>
      <c r="D655" s="83" t="s">
        <v>591</v>
      </c>
      <c r="E655" s="66" t="s">
        <v>592</v>
      </c>
      <c r="F655" s="17"/>
      <c r="G655" s="153"/>
      <c r="H655" s="226"/>
      <c r="I655" s="229">
        <v>1.6</v>
      </c>
      <c r="J655" s="229"/>
      <c r="AB655" s="77"/>
      <c r="AF655" s="142"/>
      <c r="AG655" s="146"/>
    </row>
    <row r="656" spans="1:33" ht="20.100000000000001" hidden="1" customHeight="1">
      <c r="A656" s="16" t="s">
        <v>26</v>
      </c>
      <c r="B656" s="16">
        <v>1992</v>
      </c>
      <c r="C656" s="14" t="s">
        <v>73</v>
      </c>
      <c r="D656" s="123" t="s">
        <v>594</v>
      </c>
      <c r="E656" s="35" t="s">
        <v>595</v>
      </c>
      <c r="F656" s="17"/>
      <c r="G656" s="153"/>
      <c r="H656" s="226"/>
      <c r="I656" s="229">
        <v>1.3</v>
      </c>
      <c r="J656" s="229"/>
      <c r="AB656" s="77"/>
      <c r="AF656" s="142"/>
      <c r="AG656" s="146"/>
    </row>
    <row r="657" spans="1:33" ht="20.100000000000001" hidden="1" customHeight="1">
      <c r="A657" s="16" t="s">
        <v>26</v>
      </c>
      <c r="B657" s="16">
        <v>1992</v>
      </c>
      <c r="C657" s="14" t="s">
        <v>73</v>
      </c>
      <c r="D657" s="83" t="s">
        <v>442</v>
      </c>
      <c r="E657" s="66" t="s">
        <v>597</v>
      </c>
      <c r="F657" s="17"/>
      <c r="G657" s="153"/>
      <c r="H657" s="226"/>
      <c r="I657" s="226"/>
      <c r="J657" s="226"/>
      <c r="AB657" s="77"/>
      <c r="AF657" s="142"/>
      <c r="AG657" s="146"/>
    </row>
    <row r="658" spans="1:33" ht="20.100000000000001" hidden="1" customHeight="1">
      <c r="A658" s="16" t="s">
        <v>26</v>
      </c>
      <c r="B658" s="16">
        <v>1992</v>
      </c>
      <c r="C658" s="14" t="s">
        <v>73</v>
      </c>
      <c r="D658" s="9" t="s">
        <v>599</v>
      </c>
      <c r="E658" s="17" t="s">
        <v>599</v>
      </c>
      <c r="F658" s="17"/>
      <c r="G658" s="153"/>
      <c r="H658" s="226"/>
      <c r="I658" s="226"/>
      <c r="J658" s="226"/>
      <c r="AB658" s="77"/>
      <c r="AF658" s="142"/>
      <c r="AG658" s="146"/>
    </row>
    <row r="659" spans="1:33" ht="20.100000000000001" hidden="1" customHeight="1">
      <c r="A659" s="16" t="s">
        <v>26</v>
      </c>
      <c r="B659" s="16">
        <v>1992</v>
      </c>
      <c r="C659" s="14" t="s">
        <v>73</v>
      </c>
      <c r="D659" s="83" t="s">
        <v>601</v>
      </c>
      <c r="E659" s="66" t="s">
        <v>601</v>
      </c>
      <c r="F659" s="17"/>
      <c r="G659" s="153"/>
      <c r="H659" s="226"/>
      <c r="I659" s="229">
        <v>7.7</v>
      </c>
      <c r="J659" s="229"/>
      <c r="AB659" s="77"/>
      <c r="AF659" s="142"/>
      <c r="AG659" s="146"/>
    </row>
    <row r="660" spans="1:33" ht="20.100000000000001" hidden="1" customHeight="1">
      <c r="A660" s="16" t="s">
        <v>26</v>
      </c>
      <c r="B660" s="16">
        <v>1992</v>
      </c>
      <c r="C660" s="14" t="s">
        <v>73</v>
      </c>
      <c r="D660" s="9" t="s">
        <v>602</v>
      </c>
      <c r="E660" s="17" t="s">
        <v>602</v>
      </c>
      <c r="F660" s="17"/>
      <c r="G660" s="153"/>
      <c r="H660" s="226"/>
      <c r="I660" s="226"/>
      <c r="J660" s="226"/>
      <c r="AB660" s="77"/>
      <c r="AF660" s="142"/>
      <c r="AG660" s="146"/>
    </row>
    <row r="661" spans="1:33" ht="20.100000000000001" hidden="1" customHeight="1">
      <c r="A661" s="16" t="s">
        <v>26</v>
      </c>
      <c r="B661" s="16">
        <v>1992</v>
      </c>
      <c r="C661" s="14" t="s">
        <v>73</v>
      </c>
      <c r="D661" s="9" t="s">
        <v>603</v>
      </c>
      <c r="E661" s="17" t="s">
        <v>603</v>
      </c>
      <c r="F661" s="17"/>
      <c r="G661" s="153"/>
      <c r="H661" s="226"/>
      <c r="I661" s="229">
        <v>2.1</v>
      </c>
      <c r="J661" s="229"/>
      <c r="AB661" s="77"/>
      <c r="AF661" s="142"/>
      <c r="AG661" s="146"/>
    </row>
    <row r="662" spans="1:33" ht="20.100000000000001" hidden="1" customHeight="1">
      <c r="A662" s="16" t="s">
        <v>26</v>
      </c>
      <c r="B662" s="16">
        <v>1992</v>
      </c>
      <c r="C662" s="14" t="s">
        <v>73</v>
      </c>
      <c r="D662" s="9" t="s">
        <v>604</v>
      </c>
      <c r="E662" s="17" t="s">
        <v>605</v>
      </c>
      <c r="F662" s="17"/>
      <c r="G662" s="153"/>
      <c r="H662" s="226"/>
      <c r="I662" s="226"/>
      <c r="J662" s="226"/>
      <c r="AB662" s="77"/>
      <c r="AF662" s="142"/>
      <c r="AG662" s="146"/>
    </row>
    <row r="663" spans="1:33" ht="20.100000000000001" hidden="1" customHeight="1">
      <c r="A663" s="16" t="s">
        <v>26</v>
      </c>
      <c r="B663" s="16">
        <v>1992</v>
      </c>
      <c r="C663" s="14" t="s">
        <v>73</v>
      </c>
      <c r="D663" s="9" t="s">
        <v>505</v>
      </c>
      <c r="E663" s="17" t="s">
        <v>505</v>
      </c>
      <c r="F663" s="17"/>
      <c r="G663" s="153"/>
      <c r="H663" s="226"/>
      <c r="I663" s="229">
        <v>3.2</v>
      </c>
      <c r="J663" s="229"/>
      <c r="AB663" s="77"/>
      <c r="AF663" s="142"/>
      <c r="AG663" s="146"/>
    </row>
    <row r="664" spans="1:33" ht="20.100000000000001" hidden="1" customHeight="1">
      <c r="A664" s="16" t="s">
        <v>26</v>
      </c>
      <c r="B664" s="16">
        <v>1992</v>
      </c>
      <c r="C664" s="14" t="s">
        <v>73</v>
      </c>
      <c r="D664" s="9" t="s">
        <v>606</v>
      </c>
      <c r="E664" s="66"/>
      <c r="F664" s="17"/>
      <c r="G664" s="153"/>
      <c r="H664" s="226"/>
      <c r="I664" s="229">
        <v>2.8</v>
      </c>
      <c r="J664" s="229"/>
      <c r="AB664" s="77"/>
      <c r="AF664" s="142"/>
      <c r="AG664" s="146"/>
    </row>
    <row r="665" spans="1:33" ht="20.100000000000001" hidden="1" customHeight="1">
      <c r="A665" s="16" t="s">
        <v>26</v>
      </c>
      <c r="B665" s="16">
        <v>1992</v>
      </c>
      <c r="C665" s="14" t="s">
        <v>73</v>
      </c>
      <c r="D665" s="9" t="s">
        <v>607</v>
      </c>
      <c r="E665" s="9" t="s">
        <v>607</v>
      </c>
      <c r="F665" s="17"/>
      <c r="G665" s="153"/>
      <c r="H665" s="226"/>
      <c r="I665" s="229">
        <v>1.8</v>
      </c>
      <c r="J665" s="229"/>
      <c r="AB665" s="77"/>
      <c r="AF665" s="142"/>
      <c r="AG665" s="146"/>
    </row>
    <row r="666" spans="1:33" ht="20.100000000000001" hidden="1" customHeight="1">
      <c r="A666" s="16" t="s">
        <v>26</v>
      </c>
      <c r="B666" s="16">
        <v>1992</v>
      </c>
      <c r="C666" s="14" t="s">
        <v>73</v>
      </c>
      <c r="D666" s="9" t="s">
        <v>608</v>
      </c>
      <c r="E666" s="17" t="s">
        <v>608</v>
      </c>
      <c r="F666" s="17"/>
      <c r="G666" s="153"/>
      <c r="H666" s="226"/>
      <c r="I666" s="226"/>
      <c r="J666" s="226"/>
      <c r="AB666" s="77"/>
      <c r="AF666" s="142"/>
      <c r="AG666" s="146"/>
    </row>
    <row r="667" spans="1:33" ht="20.100000000000001" hidden="1" customHeight="1">
      <c r="A667" s="16" t="s">
        <v>26</v>
      </c>
      <c r="B667" s="16">
        <v>1992</v>
      </c>
      <c r="C667" s="14" t="s">
        <v>73</v>
      </c>
      <c r="D667" s="9" t="s">
        <v>609</v>
      </c>
      <c r="E667" s="9" t="s">
        <v>609</v>
      </c>
      <c r="F667" s="17"/>
      <c r="G667" s="153"/>
      <c r="H667" s="226"/>
      <c r="I667" s="226"/>
      <c r="J667" s="226"/>
      <c r="AB667" s="77"/>
      <c r="AF667" s="142"/>
      <c r="AG667" s="146"/>
    </row>
    <row r="668" spans="1:33" ht="20.100000000000001" hidden="1" customHeight="1">
      <c r="A668" s="16" t="s">
        <v>26</v>
      </c>
      <c r="B668" s="16">
        <v>1992</v>
      </c>
      <c r="C668" s="14" t="s">
        <v>73</v>
      </c>
      <c r="D668" s="83" t="s">
        <v>610</v>
      </c>
      <c r="E668" s="66" t="s">
        <v>611</v>
      </c>
      <c r="F668" s="17"/>
      <c r="G668" s="153"/>
      <c r="H668" s="226"/>
      <c r="I668" s="229">
        <v>0.9</v>
      </c>
      <c r="J668" s="229"/>
      <c r="AB668" s="77"/>
      <c r="AF668" s="142"/>
      <c r="AG668" s="146"/>
    </row>
    <row r="669" spans="1:33" ht="20.100000000000001" hidden="1" customHeight="1">
      <c r="A669" s="16" t="s">
        <v>26</v>
      </c>
      <c r="B669" s="16">
        <v>1992</v>
      </c>
      <c r="C669" s="14" t="s">
        <v>73</v>
      </c>
      <c r="D669" s="9" t="s">
        <v>612</v>
      </c>
      <c r="E669" s="17" t="s">
        <v>612</v>
      </c>
      <c r="F669" s="17"/>
      <c r="G669" s="153"/>
      <c r="H669" s="226"/>
      <c r="I669" s="229">
        <v>1</v>
      </c>
      <c r="J669" s="229"/>
      <c r="AB669" s="77"/>
      <c r="AF669" s="142"/>
      <c r="AG669" s="146"/>
    </row>
    <row r="670" spans="1:33" ht="20.100000000000001" hidden="1" customHeight="1">
      <c r="A670" s="16" t="s">
        <v>26</v>
      </c>
      <c r="B670" s="16">
        <v>1992</v>
      </c>
      <c r="C670" s="14" t="s">
        <v>73</v>
      </c>
      <c r="D670" s="9" t="s">
        <v>613</v>
      </c>
      <c r="E670" s="17" t="s">
        <v>613</v>
      </c>
      <c r="F670" s="17"/>
      <c r="G670" s="153"/>
      <c r="H670" s="226"/>
      <c r="I670" s="229">
        <v>1</v>
      </c>
      <c r="J670" s="229"/>
      <c r="AB670" s="77"/>
      <c r="AF670" s="142"/>
      <c r="AG670" s="146"/>
    </row>
    <row r="671" spans="1:33" ht="20.100000000000001" hidden="1" customHeight="1">
      <c r="A671" s="16" t="s">
        <v>26</v>
      </c>
      <c r="B671" s="16">
        <v>1992</v>
      </c>
      <c r="C671" s="14" t="s">
        <v>73</v>
      </c>
      <c r="D671" s="9" t="s">
        <v>614</v>
      </c>
      <c r="E671" s="17" t="s">
        <v>614</v>
      </c>
      <c r="F671" s="17"/>
      <c r="G671" s="153"/>
      <c r="H671" s="226"/>
      <c r="I671" s="226"/>
      <c r="J671" s="226"/>
      <c r="AB671" s="77"/>
      <c r="AF671" s="142"/>
      <c r="AG671" s="146"/>
    </row>
    <row r="672" spans="1:33" ht="20.100000000000001" hidden="1" customHeight="1">
      <c r="A672" s="16" t="s">
        <v>26</v>
      </c>
      <c r="B672" s="16">
        <v>1992</v>
      </c>
      <c r="C672" s="14" t="s">
        <v>73</v>
      </c>
      <c r="D672" s="9" t="s">
        <v>615</v>
      </c>
      <c r="E672" s="17" t="s">
        <v>615</v>
      </c>
      <c r="F672" s="17"/>
      <c r="G672" s="153"/>
      <c r="H672" s="226"/>
      <c r="I672" s="226"/>
      <c r="J672" s="226"/>
      <c r="AB672" s="77"/>
      <c r="AF672" s="142"/>
      <c r="AG672" s="146"/>
    </row>
    <row r="673" spans="1:33" ht="20.100000000000001" hidden="1" customHeight="1">
      <c r="A673" s="16" t="s">
        <v>26</v>
      </c>
      <c r="B673" s="16">
        <v>1992</v>
      </c>
      <c r="C673" s="14" t="s">
        <v>73</v>
      </c>
      <c r="D673" s="9" t="s">
        <v>616</v>
      </c>
      <c r="E673" s="17" t="s">
        <v>616</v>
      </c>
      <c r="F673" s="17"/>
      <c r="G673" s="153"/>
      <c r="H673" s="226"/>
      <c r="I673" s="226"/>
      <c r="J673" s="226"/>
      <c r="AB673" s="77"/>
      <c r="AF673" s="142"/>
      <c r="AG673" s="146"/>
    </row>
    <row r="674" spans="1:33" ht="20.100000000000001" hidden="1" customHeight="1">
      <c r="A674" s="16" t="s">
        <v>26</v>
      </c>
      <c r="B674" s="16">
        <v>1992</v>
      </c>
      <c r="C674" s="14" t="s">
        <v>73</v>
      </c>
      <c r="D674" s="9" t="s">
        <v>617</v>
      </c>
      <c r="E674" s="66"/>
      <c r="F674" s="17"/>
      <c r="G674" s="153"/>
      <c r="H674" s="226"/>
      <c r="I674" s="226"/>
      <c r="J674" s="226"/>
      <c r="AB674" s="77"/>
      <c r="AF674" s="142"/>
      <c r="AG674" s="146"/>
    </row>
    <row r="675" spans="1:33" ht="20.100000000000001" hidden="1" customHeight="1">
      <c r="A675" s="16" t="s">
        <v>26</v>
      </c>
      <c r="B675" s="16">
        <v>1996</v>
      </c>
      <c r="C675" s="14" t="s">
        <v>73</v>
      </c>
      <c r="D675" s="83" t="s">
        <v>591</v>
      </c>
      <c r="E675" s="66" t="s">
        <v>592</v>
      </c>
      <c r="F675" s="17"/>
      <c r="G675" s="153"/>
      <c r="H675" s="226"/>
      <c r="I675" s="229">
        <v>2</v>
      </c>
      <c r="J675" s="229"/>
      <c r="AB675" s="77"/>
      <c r="AF675" s="142"/>
      <c r="AG675" s="146"/>
    </row>
    <row r="676" spans="1:33" ht="20.100000000000001" hidden="1" customHeight="1">
      <c r="A676" s="16" t="s">
        <v>26</v>
      </c>
      <c r="B676" s="16">
        <v>1996</v>
      </c>
      <c r="C676" s="14" t="s">
        <v>73</v>
      </c>
      <c r="D676" s="123" t="s">
        <v>594</v>
      </c>
      <c r="E676" s="35" t="s">
        <v>595</v>
      </c>
      <c r="F676" s="17"/>
      <c r="G676" s="153"/>
      <c r="H676" s="226"/>
      <c r="I676" s="229">
        <v>1.5</v>
      </c>
      <c r="J676" s="229"/>
      <c r="AB676" s="77"/>
      <c r="AF676" s="142"/>
      <c r="AG676" s="146"/>
    </row>
    <row r="677" spans="1:33" ht="20.100000000000001" hidden="1" customHeight="1">
      <c r="A677" s="16" t="s">
        <v>26</v>
      </c>
      <c r="B677" s="16">
        <v>1996</v>
      </c>
      <c r="C677" s="14" t="s">
        <v>73</v>
      </c>
      <c r="D677" s="83" t="s">
        <v>442</v>
      </c>
      <c r="E677" s="66" t="s">
        <v>597</v>
      </c>
      <c r="F677" s="17"/>
      <c r="G677" s="153"/>
      <c r="H677" s="226"/>
      <c r="I677" s="226"/>
      <c r="J677" s="226"/>
      <c r="AB677" s="77"/>
      <c r="AF677" s="142"/>
      <c r="AG677" s="146"/>
    </row>
    <row r="678" spans="1:33" ht="20.100000000000001" hidden="1" customHeight="1">
      <c r="A678" s="16" t="s">
        <v>26</v>
      </c>
      <c r="B678" s="16">
        <v>1996</v>
      </c>
      <c r="C678" s="14" t="s">
        <v>73</v>
      </c>
      <c r="D678" s="9" t="s">
        <v>599</v>
      </c>
      <c r="E678" s="17" t="s">
        <v>599</v>
      </c>
      <c r="F678" s="17"/>
      <c r="G678" s="153"/>
      <c r="H678" s="226"/>
      <c r="I678" s="229">
        <v>1.2</v>
      </c>
      <c r="J678" s="229"/>
      <c r="AB678" s="77"/>
      <c r="AF678" s="142"/>
      <c r="AG678" s="146"/>
    </row>
    <row r="679" spans="1:33" ht="20.100000000000001" hidden="1" customHeight="1">
      <c r="A679" s="16" t="s">
        <v>26</v>
      </c>
      <c r="B679" s="16">
        <v>1996</v>
      </c>
      <c r="C679" s="14" t="s">
        <v>73</v>
      </c>
      <c r="D679" s="83" t="s">
        <v>618</v>
      </c>
      <c r="E679" s="66" t="s">
        <v>601</v>
      </c>
      <c r="F679" s="17"/>
      <c r="G679" s="153"/>
      <c r="H679" s="226"/>
      <c r="I679" s="229">
        <v>5.7</v>
      </c>
      <c r="J679" s="229"/>
      <c r="AB679" s="77"/>
      <c r="AF679" s="142"/>
      <c r="AG679" s="146"/>
    </row>
    <row r="680" spans="1:33" ht="20.100000000000001" hidden="1" customHeight="1">
      <c r="A680" s="16" t="s">
        <v>26</v>
      </c>
      <c r="B680" s="16">
        <v>1996</v>
      </c>
      <c r="C680" s="14" t="s">
        <v>73</v>
      </c>
      <c r="D680" s="122" t="s">
        <v>602</v>
      </c>
      <c r="E680" s="131" t="s">
        <v>602</v>
      </c>
      <c r="F680" s="17"/>
      <c r="G680" s="153"/>
      <c r="H680" s="226"/>
      <c r="I680" s="226"/>
      <c r="J680" s="226"/>
      <c r="AB680" s="77"/>
      <c r="AF680" s="142"/>
      <c r="AG680" s="146"/>
    </row>
    <row r="681" spans="1:33" ht="20.100000000000001" hidden="1" customHeight="1">
      <c r="A681" s="16" t="s">
        <v>26</v>
      </c>
      <c r="B681" s="16">
        <v>1996</v>
      </c>
      <c r="C681" s="14" t="s">
        <v>73</v>
      </c>
      <c r="D681" s="9" t="s">
        <v>604</v>
      </c>
      <c r="E681" s="17" t="s">
        <v>605</v>
      </c>
      <c r="F681" s="17"/>
      <c r="G681" s="153"/>
      <c r="H681" s="226"/>
      <c r="I681" s="226"/>
      <c r="J681" s="226"/>
      <c r="AB681" s="77"/>
      <c r="AF681" s="142"/>
      <c r="AG681" s="146"/>
    </row>
    <row r="682" spans="1:33" ht="20.100000000000001" hidden="1" customHeight="1">
      <c r="A682" s="16" t="s">
        <v>26</v>
      </c>
      <c r="B682" s="16">
        <v>1996</v>
      </c>
      <c r="C682" s="14" t="s">
        <v>73</v>
      </c>
      <c r="D682" s="9" t="s">
        <v>505</v>
      </c>
      <c r="E682" s="17" t="s">
        <v>505</v>
      </c>
      <c r="F682" s="17"/>
      <c r="G682" s="153"/>
      <c r="H682" s="226"/>
      <c r="I682" s="229">
        <v>2.9</v>
      </c>
      <c r="J682" s="229"/>
      <c r="AB682" s="77"/>
      <c r="AF682" s="142"/>
      <c r="AG682" s="146"/>
    </row>
    <row r="683" spans="1:33" ht="20.100000000000001" hidden="1" customHeight="1">
      <c r="A683" s="16" t="s">
        <v>26</v>
      </c>
      <c r="B683" s="16">
        <v>1996</v>
      </c>
      <c r="C683" s="14" t="s">
        <v>73</v>
      </c>
      <c r="D683" s="9" t="s">
        <v>606</v>
      </c>
      <c r="E683" s="66"/>
      <c r="F683" s="17"/>
      <c r="G683" s="153"/>
      <c r="H683" s="226"/>
      <c r="I683" s="229">
        <v>3.1</v>
      </c>
      <c r="J683" s="229"/>
      <c r="AB683" s="77"/>
      <c r="AF683" s="142"/>
      <c r="AG683" s="146"/>
    </row>
    <row r="684" spans="1:33" ht="20.100000000000001" hidden="1" customHeight="1">
      <c r="A684" s="16" t="s">
        <v>26</v>
      </c>
      <c r="B684" s="16">
        <v>1996</v>
      </c>
      <c r="C684" s="14" t="s">
        <v>73</v>
      </c>
      <c r="D684" s="9" t="s">
        <v>607</v>
      </c>
      <c r="E684" s="9" t="s">
        <v>607</v>
      </c>
      <c r="F684" s="17"/>
      <c r="G684" s="153"/>
      <c r="H684" s="226"/>
      <c r="I684" s="229">
        <v>2.1</v>
      </c>
      <c r="J684" s="229"/>
      <c r="AB684" s="77"/>
      <c r="AF684" s="142"/>
      <c r="AG684" s="146"/>
    </row>
    <row r="685" spans="1:33" ht="20.100000000000001" hidden="1" customHeight="1">
      <c r="A685" s="16" t="s">
        <v>26</v>
      </c>
      <c r="B685" s="16">
        <v>1996</v>
      </c>
      <c r="C685" s="14" t="s">
        <v>73</v>
      </c>
      <c r="D685" s="9" t="s">
        <v>608</v>
      </c>
      <c r="E685" s="17" t="s">
        <v>608</v>
      </c>
      <c r="F685" s="17"/>
      <c r="G685" s="153"/>
      <c r="H685" s="226"/>
      <c r="I685" s="229">
        <v>1.2</v>
      </c>
      <c r="J685" s="229"/>
      <c r="AB685" s="77"/>
      <c r="AF685" s="142"/>
      <c r="AG685" s="146"/>
    </row>
    <row r="686" spans="1:33" ht="20.100000000000001" hidden="1" customHeight="1">
      <c r="A686" s="16" t="s">
        <v>26</v>
      </c>
      <c r="B686" s="16">
        <v>1996</v>
      </c>
      <c r="C686" s="14" t="s">
        <v>73</v>
      </c>
      <c r="D686" s="9" t="s">
        <v>609</v>
      </c>
      <c r="E686" s="9" t="s">
        <v>609</v>
      </c>
      <c r="F686" s="17"/>
      <c r="G686" s="153"/>
      <c r="H686" s="226"/>
      <c r="I686" s="226"/>
      <c r="J686" s="226"/>
      <c r="AB686" s="77"/>
      <c r="AF686" s="142"/>
      <c r="AG686" s="146"/>
    </row>
    <row r="687" spans="1:33" ht="20.100000000000001" hidden="1" customHeight="1">
      <c r="A687" s="16" t="s">
        <v>26</v>
      </c>
      <c r="B687" s="16">
        <v>1996</v>
      </c>
      <c r="C687" s="14" t="s">
        <v>73</v>
      </c>
      <c r="D687" s="83" t="s">
        <v>610</v>
      </c>
      <c r="E687" s="66" t="s">
        <v>611</v>
      </c>
      <c r="F687" s="17"/>
      <c r="G687" s="153"/>
      <c r="H687" s="226"/>
      <c r="I687" s="226"/>
      <c r="J687" s="226"/>
      <c r="AB687" s="77"/>
      <c r="AF687" s="142"/>
      <c r="AG687" s="146"/>
    </row>
    <row r="688" spans="1:33" ht="20.100000000000001" hidden="1" customHeight="1">
      <c r="A688" s="16" t="s">
        <v>26</v>
      </c>
      <c r="B688" s="16">
        <v>1996</v>
      </c>
      <c r="C688" s="14" t="s">
        <v>73</v>
      </c>
      <c r="D688" s="9" t="s">
        <v>612</v>
      </c>
      <c r="E688" s="17" t="s">
        <v>612</v>
      </c>
      <c r="F688" s="17"/>
      <c r="G688" s="153"/>
      <c r="H688" s="226"/>
      <c r="I688" s="229">
        <v>1.1000000000000001</v>
      </c>
      <c r="J688" s="229"/>
      <c r="AB688" s="77"/>
      <c r="AF688" s="142"/>
      <c r="AG688" s="146"/>
    </row>
    <row r="689" spans="1:33" ht="20.100000000000001" hidden="1" customHeight="1">
      <c r="A689" s="16" t="s">
        <v>26</v>
      </c>
      <c r="B689" s="16">
        <v>1996</v>
      </c>
      <c r="C689" s="14" t="s">
        <v>73</v>
      </c>
      <c r="D689" s="9" t="s">
        <v>613</v>
      </c>
      <c r="E689" s="17" t="s">
        <v>613</v>
      </c>
      <c r="F689" s="17"/>
      <c r="G689" s="153"/>
      <c r="H689" s="226"/>
      <c r="I689" s="226"/>
      <c r="J689" s="226"/>
      <c r="AB689" s="77"/>
      <c r="AF689" s="142"/>
      <c r="AG689" s="146"/>
    </row>
    <row r="690" spans="1:33" ht="20.100000000000001" hidden="1" customHeight="1">
      <c r="A690" s="16" t="s">
        <v>26</v>
      </c>
      <c r="B690" s="16">
        <v>1996</v>
      </c>
      <c r="C690" s="14" t="s">
        <v>73</v>
      </c>
      <c r="D690" s="9" t="s">
        <v>614</v>
      </c>
      <c r="E690" s="17" t="s">
        <v>614</v>
      </c>
      <c r="F690" s="17"/>
      <c r="G690" s="153"/>
      <c r="H690" s="226"/>
      <c r="I690" s="226"/>
      <c r="J690" s="226"/>
      <c r="AB690" s="77"/>
      <c r="AF690" s="142"/>
      <c r="AG690" s="146"/>
    </row>
    <row r="691" spans="1:33" ht="20.100000000000001" hidden="1" customHeight="1">
      <c r="A691" s="16" t="s">
        <v>26</v>
      </c>
      <c r="B691" s="16">
        <v>1996</v>
      </c>
      <c r="C691" s="14" t="s">
        <v>73</v>
      </c>
      <c r="D691" s="9" t="s">
        <v>615</v>
      </c>
      <c r="E691" s="17" t="s">
        <v>615</v>
      </c>
      <c r="F691" s="17"/>
      <c r="G691" s="153"/>
      <c r="H691" s="226"/>
      <c r="I691" s="226"/>
      <c r="J691" s="226"/>
      <c r="AB691" s="77"/>
      <c r="AF691" s="142"/>
      <c r="AG691" s="146"/>
    </row>
    <row r="692" spans="1:33" ht="20.100000000000001" hidden="1" customHeight="1">
      <c r="A692" s="16" t="s">
        <v>26</v>
      </c>
      <c r="B692" s="16">
        <v>1996</v>
      </c>
      <c r="C692" s="14" t="s">
        <v>73</v>
      </c>
      <c r="D692" s="9" t="s">
        <v>616</v>
      </c>
      <c r="E692" s="17" t="s">
        <v>616</v>
      </c>
      <c r="F692" s="17"/>
      <c r="G692" s="153"/>
      <c r="H692" s="226"/>
      <c r="I692" s="226"/>
      <c r="J692" s="226"/>
      <c r="AB692" s="77"/>
      <c r="AF692" s="142"/>
      <c r="AG692" s="146"/>
    </row>
    <row r="693" spans="1:33" ht="20.100000000000001" hidden="1" customHeight="1">
      <c r="A693" s="16" t="s">
        <v>26</v>
      </c>
      <c r="B693" s="16">
        <v>1996</v>
      </c>
      <c r="C693" s="14" t="s">
        <v>73</v>
      </c>
      <c r="D693" s="9" t="s">
        <v>617</v>
      </c>
      <c r="E693" s="66"/>
      <c r="F693" s="17"/>
      <c r="G693" s="153"/>
      <c r="H693" s="226"/>
      <c r="I693" s="226"/>
      <c r="J693" s="226"/>
      <c r="AB693" s="77"/>
      <c r="AF693" s="142"/>
      <c r="AG693" s="146"/>
    </row>
    <row r="694" spans="1:33" ht="20.100000000000001" hidden="1" customHeight="1">
      <c r="A694" s="16" t="s">
        <v>26</v>
      </c>
      <c r="B694" s="16">
        <v>2000</v>
      </c>
      <c r="C694" s="14" t="s">
        <v>73</v>
      </c>
      <c r="D694" s="83" t="s">
        <v>591</v>
      </c>
      <c r="E694" s="66" t="s">
        <v>592</v>
      </c>
      <c r="F694" s="17"/>
      <c r="G694" s="153"/>
      <c r="H694" s="226"/>
      <c r="I694" s="229">
        <v>2.4</v>
      </c>
      <c r="J694" s="229"/>
      <c r="AB694" s="77"/>
      <c r="AF694" s="142"/>
      <c r="AG694" s="146"/>
    </row>
    <row r="695" spans="1:33" ht="20.100000000000001" hidden="1" customHeight="1">
      <c r="A695" s="16" t="s">
        <v>26</v>
      </c>
      <c r="B695" s="16">
        <v>2000</v>
      </c>
      <c r="C695" s="14" t="s">
        <v>73</v>
      </c>
      <c r="D695" s="123" t="s">
        <v>594</v>
      </c>
      <c r="E695" s="35" t="s">
        <v>595</v>
      </c>
      <c r="F695" s="17"/>
      <c r="G695" s="153"/>
      <c r="H695" s="226"/>
      <c r="I695" s="229">
        <v>1.6</v>
      </c>
      <c r="J695" s="229"/>
      <c r="AB695" s="77"/>
      <c r="AF695" s="142"/>
      <c r="AG695" s="146"/>
    </row>
    <row r="696" spans="1:33" ht="20.100000000000001" hidden="1" customHeight="1">
      <c r="A696" s="16" t="s">
        <v>26</v>
      </c>
      <c r="B696" s="16">
        <v>2000</v>
      </c>
      <c r="C696" s="14" t="s">
        <v>73</v>
      </c>
      <c r="D696" s="83" t="s">
        <v>442</v>
      </c>
      <c r="E696" s="66" t="s">
        <v>597</v>
      </c>
      <c r="F696" s="17"/>
      <c r="G696" s="153"/>
      <c r="H696" s="226"/>
      <c r="I696" s="226"/>
      <c r="J696" s="226"/>
      <c r="AB696" s="77"/>
      <c r="AF696" s="142"/>
      <c r="AG696" s="146"/>
    </row>
    <row r="697" spans="1:33" ht="20.100000000000001" hidden="1" customHeight="1">
      <c r="A697" s="16" t="s">
        <v>26</v>
      </c>
      <c r="B697" s="16">
        <v>2000</v>
      </c>
      <c r="C697" s="14" t="s">
        <v>73</v>
      </c>
      <c r="D697" s="9" t="s">
        <v>599</v>
      </c>
      <c r="E697" s="17" t="s">
        <v>599</v>
      </c>
      <c r="F697" s="17"/>
      <c r="G697" s="153"/>
      <c r="H697" s="226"/>
      <c r="I697" s="229">
        <v>2.1</v>
      </c>
      <c r="J697" s="229"/>
      <c r="AB697" s="77"/>
      <c r="AF697" s="142"/>
      <c r="AG697" s="146"/>
    </row>
    <row r="698" spans="1:33" ht="20.100000000000001" hidden="1" customHeight="1">
      <c r="A698" s="16" t="s">
        <v>26</v>
      </c>
      <c r="B698" s="16">
        <v>2000</v>
      </c>
      <c r="C698" s="14" t="s">
        <v>73</v>
      </c>
      <c r="D698" s="124" t="s">
        <v>618</v>
      </c>
      <c r="E698" s="80" t="s">
        <v>601</v>
      </c>
      <c r="F698" s="17"/>
      <c r="G698" s="153"/>
      <c r="H698" s="226"/>
      <c r="I698" s="226"/>
      <c r="J698" s="226"/>
      <c r="AB698" s="77"/>
      <c r="AG698" s="35" t="s">
        <v>619</v>
      </c>
    </row>
    <row r="699" spans="1:33" ht="20.100000000000001" hidden="1" customHeight="1">
      <c r="A699" s="16" t="s">
        <v>26</v>
      </c>
      <c r="B699" s="16">
        <v>2000</v>
      </c>
      <c r="C699" s="14" t="s">
        <v>73</v>
      </c>
      <c r="D699" s="124" t="s">
        <v>618</v>
      </c>
      <c r="E699" s="131" t="s">
        <v>620</v>
      </c>
      <c r="F699" s="35"/>
      <c r="G699" s="153"/>
      <c r="H699" s="226"/>
      <c r="I699" s="229">
        <v>8.8000000000000007</v>
      </c>
      <c r="J699" s="229"/>
      <c r="AB699" s="77"/>
      <c r="AG699" s="35" t="s">
        <v>621</v>
      </c>
    </row>
    <row r="700" spans="1:33" ht="20.100000000000001" hidden="1" customHeight="1">
      <c r="A700" s="16" t="s">
        <v>26</v>
      </c>
      <c r="B700" s="16">
        <v>2000</v>
      </c>
      <c r="C700" s="14" t="s">
        <v>73</v>
      </c>
      <c r="D700" s="9" t="s">
        <v>604</v>
      </c>
      <c r="E700" s="17" t="s">
        <v>605</v>
      </c>
      <c r="F700" s="17"/>
      <c r="G700" s="153"/>
      <c r="H700" s="226"/>
      <c r="I700" s="226"/>
      <c r="J700" s="226"/>
      <c r="AB700" s="77"/>
      <c r="AF700" s="142"/>
      <c r="AG700" s="146"/>
    </row>
    <row r="701" spans="1:33" ht="20.100000000000001" hidden="1" customHeight="1">
      <c r="A701" s="16" t="s">
        <v>26</v>
      </c>
      <c r="B701" s="16">
        <v>2000</v>
      </c>
      <c r="C701" s="14" t="s">
        <v>73</v>
      </c>
      <c r="D701" s="9" t="s">
        <v>505</v>
      </c>
      <c r="E701" s="17" t="s">
        <v>505</v>
      </c>
      <c r="F701" s="17"/>
      <c r="G701" s="153"/>
      <c r="H701" s="226"/>
      <c r="I701" s="229">
        <v>1.8</v>
      </c>
      <c r="J701" s="229"/>
      <c r="AB701" s="77"/>
      <c r="AF701" s="142"/>
      <c r="AG701" s="146"/>
    </row>
    <row r="702" spans="1:33" ht="20.100000000000001" hidden="1" customHeight="1">
      <c r="A702" s="16" t="s">
        <v>26</v>
      </c>
      <c r="B702" s="16">
        <v>2000</v>
      </c>
      <c r="C702" s="14" t="s">
        <v>73</v>
      </c>
      <c r="D702" s="9" t="s">
        <v>606</v>
      </c>
      <c r="E702" s="66"/>
      <c r="F702" s="17"/>
      <c r="G702" s="153"/>
      <c r="H702" s="226"/>
      <c r="I702" s="229">
        <v>3</v>
      </c>
      <c r="J702" s="229"/>
      <c r="AB702" s="77"/>
      <c r="AF702" s="142"/>
      <c r="AG702" s="146"/>
    </row>
    <row r="703" spans="1:33" ht="20.100000000000001" hidden="1" customHeight="1">
      <c r="A703" s="16" t="s">
        <v>26</v>
      </c>
      <c r="B703" s="16">
        <v>2000</v>
      </c>
      <c r="C703" s="14" t="s">
        <v>73</v>
      </c>
      <c r="D703" s="9" t="s">
        <v>607</v>
      </c>
      <c r="E703" s="9" t="s">
        <v>607</v>
      </c>
      <c r="F703" s="17"/>
      <c r="G703" s="153"/>
      <c r="H703" s="226"/>
      <c r="I703" s="229">
        <v>1.6</v>
      </c>
      <c r="J703" s="229"/>
      <c r="AB703" s="77"/>
      <c r="AF703" s="142"/>
      <c r="AG703" s="146"/>
    </row>
    <row r="704" spans="1:33" ht="20.100000000000001" hidden="1" customHeight="1">
      <c r="A704" s="16" t="s">
        <v>26</v>
      </c>
      <c r="B704" s="16">
        <v>2000</v>
      </c>
      <c r="C704" s="14" t="s">
        <v>73</v>
      </c>
      <c r="D704" s="9" t="s">
        <v>608</v>
      </c>
      <c r="E704" s="17" t="s">
        <v>608</v>
      </c>
      <c r="F704" s="17"/>
      <c r="G704" s="153"/>
      <c r="H704" s="226"/>
      <c r="I704" s="229">
        <v>2.6</v>
      </c>
      <c r="J704" s="229"/>
      <c r="AB704" s="77"/>
      <c r="AF704" s="142"/>
      <c r="AG704" s="146"/>
    </row>
    <row r="705" spans="1:33" ht="20.100000000000001" hidden="1" customHeight="1">
      <c r="A705" s="16" t="s">
        <v>26</v>
      </c>
      <c r="B705" s="16">
        <v>2000</v>
      </c>
      <c r="C705" s="14" t="s">
        <v>73</v>
      </c>
      <c r="D705" s="9" t="s">
        <v>609</v>
      </c>
      <c r="E705" s="9" t="s">
        <v>609</v>
      </c>
      <c r="F705" s="17"/>
      <c r="G705" s="153"/>
      <c r="H705" s="226"/>
      <c r="I705" s="229">
        <v>3</v>
      </c>
      <c r="J705" s="229"/>
      <c r="AB705" s="77"/>
      <c r="AF705" s="142"/>
      <c r="AG705" s="146"/>
    </row>
    <row r="706" spans="1:33" ht="20.100000000000001" hidden="1" customHeight="1">
      <c r="A706" s="16" t="s">
        <v>26</v>
      </c>
      <c r="B706" s="16">
        <v>2000</v>
      </c>
      <c r="C706" s="14" t="s">
        <v>73</v>
      </c>
      <c r="D706" s="83" t="s">
        <v>610</v>
      </c>
      <c r="E706" s="66" t="s">
        <v>611</v>
      </c>
      <c r="F706" s="17"/>
      <c r="G706" s="153"/>
      <c r="H706" s="226"/>
      <c r="I706" s="229">
        <v>1.6</v>
      </c>
      <c r="J706" s="229"/>
      <c r="AB706" s="77"/>
      <c r="AF706" s="142"/>
      <c r="AG706" s="146"/>
    </row>
    <row r="707" spans="1:33" ht="20.100000000000001" hidden="1" customHeight="1">
      <c r="A707" s="16" t="s">
        <v>26</v>
      </c>
      <c r="B707" s="16">
        <v>2000</v>
      </c>
      <c r="C707" s="14" t="s">
        <v>73</v>
      </c>
      <c r="D707" s="9" t="s">
        <v>612</v>
      </c>
      <c r="E707" s="17" t="s">
        <v>612</v>
      </c>
      <c r="F707" s="17"/>
      <c r="G707" s="153"/>
      <c r="H707" s="226"/>
      <c r="I707" s="226"/>
      <c r="J707" s="226"/>
      <c r="AB707" s="77"/>
      <c r="AF707" s="142"/>
      <c r="AG707" s="146"/>
    </row>
    <row r="708" spans="1:33" ht="20.100000000000001" hidden="1" customHeight="1">
      <c r="A708" s="16" t="s">
        <v>26</v>
      </c>
      <c r="B708" s="16">
        <v>2000</v>
      </c>
      <c r="C708" s="14" t="s">
        <v>73</v>
      </c>
      <c r="D708" s="9" t="s">
        <v>613</v>
      </c>
      <c r="E708" s="17" t="s">
        <v>613</v>
      </c>
      <c r="F708" s="17"/>
      <c r="G708" s="153"/>
      <c r="H708" s="226"/>
      <c r="I708" s="226"/>
      <c r="J708" s="226"/>
      <c r="AB708" s="77"/>
      <c r="AF708" s="142"/>
      <c r="AG708" s="146"/>
    </row>
    <row r="709" spans="1:33" ht="20.100000000000001" hidden="1" customHeight="1">
      <c r="A709" s="16" t="s">
        <v>26</v>
      </c>
      <c r="B709" s="16">
        <v>2000</v>
      </c>
      <c r="C709" s="14" t="s">
        <v>73</v>
      </c>
      <c r="D709" s="9" t="s">
        <v>614</v>
      </c>
      <c r="E709" s="17" t="s">
        <v>614</v>
      </c>
      <c r="F709" s="17"/>
      <c r="G709" s="153"/>
      <c r="H709" s="226"/>
      <c r="I709" s="226"/>
      <c r="J709" s="226"/>
      <c r="AB709" s="77"/>
      <c r="AF709" s="142"/>
      <c r="AG709" s="146"/>
    </row>
    <row r="710" spans="1:33" ht="20.100000000000001" hidden="1" customHeight="1">
      <c r="A710" s="16" t="s">
        <v>26</v>
      </c>
      <c r="B710" s="16">
        <v>2000</v>
      </c>
      <c r="C710" s="14" t="s">
        <v>73</v>
      </c>
      <c r="D710" s="9" t="s">
        <v>615</v>
      </c>
      <c r="E710" s="17" t="s">
        <v>615</v>
      </c>
      <c r="F710" s="17"/>
      <c r="G710" s="153"/>
      <c r="H710" s="226"/>
      <c r="I710" s="226"/>
      <c r="J710" s="226"/>
      <c r="AB710" s="77"/>
      <c r="AF710" s="142"/>
      <c r="AG710" s="146"/>
    </row>
    <row r="711" spans="1:33" ht="20.100000000000001" hidden="1" customHeight="1">
      <c r="A711" s="16" t="s">
        <v>26</v>
      </c>
      <c r="B711" s="16">
        <v>2000</v>
      </c>
      <c r="C711" s="14" t="s">
        <v>73</v>
      </c>
      <c r="D711" s="9" t="s">
        <v>616</v>
      </c>
      <c r="E711" s="17" t="s">
        <v>616</v>
      </c>
      <c r="F711" s="17"/>
      <c r="G711" s="153"/>
      <c r="H711" s="226"/>
      <c r="I711" s="226"/>
      <c r="J711" s="226"/>
      <c r="AB711" s="77"/>
      <c r="AF711" s="142"/>
      <c r="AG711" s="146"/>
    </row>
    <row r="712" spans="1:33" ht="20.100000000000001" hidden="1" customHeight="1">
      <c r="A712" s="16" t="s">
        <v>26</v>
      </c>
      <c r="B712" s="16">
        <v>2000</v>
      </c>
      <c r="C712" s="14" t="s">
        <v>73</v>
      </c>
      <c r="D712" s="9" t="s">
        <v>617</v>
      </c>
      <c r="E712" s="66"/>
      <c r="F712" s="17"/>
      <c r="G712" s="153"/>
      <c r="H712" s="226"/>
      <c r="I712" s="226"/>
      <c r="J712" s="226"/>
      <c r="AB712" s="77"/>
      <c r="AF712" s="142"/>
      <c r="AG712" s="146"/>
    </row>
    <row r="713" spans="1:33" ht="20.100000000000001" hidden="1" customHeight="1">
      <c r="A713" s="16" t="s">
        <v>26</v>
      </c>
      <c r="B713" s="16">
        <v>2004</v>
      </c>
      <c r="C713" s="14" t="s">
        <v>73</v>
      </c>
      <c r="D713" s="83" t="s">
        <v>591</v>
      </c>
      <c r="E713" s="66" t="s">
        <v>592</v>
      </c>
      <c r="F713" s="17"/>
      <c r="G713" s="246">
        <f>G734+(G734*(3.5%))</f>
        <v>356.04</v>
      </c>
      <c r="H713" s="227">
        <f>G713/0.803921647747618</f>
        <v>442.87898080308281</v>
      </c>
      <c r="I713" s="170">
        <v>3.6</v>
      </c>
      <c r="AB713" s="77"/>
      <c r="AF713" s="142"/>
      <c r="AG713" s="146"/>
    </row>
    <row r="714" spans="1:33" ht="20.100000000000001" hidden="1" customHeight="1">
      <c r="A714" s="16" t="s">
        <v>26</v>
      </c>
      <c r="B714" s="16">
        <v>2004</v>
      </c>
      <c r="C714" s="14" t="s">
        <v>73</v>
      </c>
      <c r="D714" s="123" t="s">
        <v>594</v>
      </c>
      <c r="E714" s="35" t="s">
        <v>595</v>
      </c>
      <c r="F714" s="17"/>
      <c r="G714" s="153"/>
      <c r="H714" s="226"/>
      <c r="I714" s="229">
        <v>3.7</v>
      </c>
      <c r="J714" s="229"/>
      <c r="AB714" s="77"/>
      <c r="AF714" s="142"/>
      <c r="AG714" s="146"/>
    </row>
    <row r="715" spans="1:33" ht="20.100000000000001" hidden="1" customHeight="1">
      <c r="A715" s="16" t="s">
        <v>26</v>
      </c>
      <c r="B715" s="16">
        <v>2004</v>
      </c>
      <c r="C715" s="14" t="s">
        <v>73</v>
      </c>
      <c r="D715" s="83" t="s">
        <v>442</v>
      </c>
      <c r="E715" s="66" t="s">
        <v>597</v>
      </c>
      <c r="F715" s="17"/>
      <c r="G715" s="153"/>
      <c r="H715" s="226"/>
      <c r="I715" s="229">
        <v>2.5</v>
      </c>
      <c r="J715" s="229"/>
      <c r="AB715" s="77"/>
      <c r="AF715" s="142"/>
      <c r="AG715" s="146"/>
    </row>
    <row r="716" spans="1:33" ht="20.100000000000001" hidden="1" customHeight="1">
      <c r="A716" s="16" t="s">
        <v>26</v>
      </c>
      <c r="B716" s="16">
        <v>2004</v>
      </c>
      <c r="C716" s="14" t="s">
        <v>73</v>
      </c>
      <c r="D716" s="9" t="s">
        <v>599</v>
      </c>
      <c r="E716" s="17" t="s">
        <v>599</v>
      </c>
      <c r="F716" s="17"/>
      <c r="G716" s="153"/>
      <c r="H716" s="226"/>
      <c r="I716" s="229">
        <v>2.8</v>
      </c>
      <c r="J716" s="229"/>
      <c r="AB716" s="77"/>
      <c r="AF716" s="142"/>
      <c r="AG716" s="146"/>
    </row>
    <row r="717" spans="1:33" ht="20.100000000000001" hidden="1" customHeight="1">
      <c r="A717" s="16" t="s">
        <v>26</v>
      </c>
      <c r="B717" s="16">
        <v>2004</v>
      </c>
      <c r="C717" s="14" t="s">
        <v>73</v>
      </c>
      <c r="D717" s="83" t="s">
        <v>618</v>
      </c>
      <c r="E717" s="66" t="s">
        <v>601</v>
      </c>
      <c r="F717" s="17"/>
      <c r="G717" s="153"/>
      <c r="H717" s="226"/>
      <c r="I717" s="229">
        <v>2.2999999999999998</v>
      </c>
      <c r="J717" s="229"/>
      <c r="AB717" s="77"/>
      <c r="AF717" s="142"/>
      <c r="AG717" s="146"/>
    </row>
    <row r="718" spans="1:33" ht="20.100000000000001" hidden="1" customHeight="1">
      <c r="A718" s="16" t="s">
        <v>26</v>
      </c>
      <c r="B718" s="16">
        <v>2004</v>
      </c>
      <c r="C718" s="14" t="s">
        <v>73</v>
      </c>
      <c r="D718" s="83" t="s">
        <v>622</v>
      </c>
      <c r="E718" s="17" t="s">
        <v>603</v>
      </c>
      <c r="F718" s="66"/>
      <c r="G718" s="153"/>
      <c r="H718" s="226"/>
      <c r="I718" s="229">
        <v>6</v>
      </c>
      <c r="J718" s="229"/>
      <c r="AB718" s="77"/>
      <c r="AG718" s="35" t="s">
        <v>623</v>
      </c>
    </row>
    <row r="719" spans="1:33" ht="20.100000000000001" hidden="1" customHeight="1">
      <c r="A719" s="16" t="s">
        <v>26</v>
      </c>
      <c r="B719" s="16">
        <v>2004</v>
      </c>
      <c r="C719" s="14" t="s">
        <v>73</v>
      </c>
      <c r="D719" s="9" t="s">
        <v>604</v>
      </c>
      <c r="E719" s="17" t="s">
        <v>605</v>
      </c>
      <c r="F719" s="17"/>
      <c r="G719" s="153"/>
      <c r="H719" s="226"/>
      <c r="I719" s="226"/>
      <c r="J719" s="226"/>
      <c r="AB719" s="77"/>
      <c r="AF719" s="142"/>
      <c r="AG719" s="146"/>
    </row>
    <row r="720" spans="1:33" ht="20.100000000000001" hidden="1" customHeight="1">
      <c r="A720" s="16" t="s">
        <v>26</v>
      </c>
      <c r="B720" s="16">
        <v>2004</v>
      </c>
      <c r="C720" s="14" t="s">
        <v>73</v>
      </c>
      <c r="D720" s="9" t="s">
        <v>505</v>
      </c>
      <c r="E720" s="17" t="s">
        <v>505</v>
      </c>
      <c r="F720" s="17"/>
      <c r="G720" s="153"/>
      <c r="H720" s="226"/>
      <c r="I720" s="229">
        <v>2.1</v>
      </c>
      <c r="J720" s="229"/>
      <c r="AB720" s="77"/>
      <c r="AF720" s="142"/>
      <c r="AG720" s="146"/>
    </row>
    <row r="721" spans="1:33" ht="20.100000000000001" hidden="1" customHeight="1">
      <c r="A721" s="16" t="s">
        <v>26</v>
      </c>
      <c r="B721" s="16">
        <v>2004</v>
      </c>
      <c r="C721" s="14" t="s">
        <v>73</v>
      </c>
      <c r="D721" s="9" t="s">
        <v>606</v>
      </c>
      <c r="E721" s="66"/>
      <c r="F721" s="17"/>
      <c r="G721" s="153"/>
      <c r="H721" s="226"/>
      <c r="I721" s="229">
        <v>2.1</v>
      </c>
      <c r="J721" s="229"/>
      <c r="AB721" s="77"/>
      <c r="AF721" s="142"/>
      <c r="AG721" s="146"/>
    </row>
    <row r="722" spans="1:33" ht="20.100000000000001" hidden="1" customHeight="1">
      <c r="A722" s="16" t="s">
        <v>26</v>
      </c>
      <c r="B722" s="16">
        <v>2004</v>
      </c>
      <c r="C722" s="14" t="s">
        <v>73</v>
      </c>
      <c r="D722" s="9" t="s">
        <v>607</v>
      </c>
      <c r="E722" s="9" t="s">
        <v>607</v>
      </c>
      <c r="F722" s="17"/>
      <c r="G722" s="153"/>
      <c r="H722" s="226"/>
      <c r="I722" s="226"/>
      <c r="J722" s="226"/>
      <c r="AB722" s="77"/>
      <c r="AF722" s="142"/>
      <c r="AG722" s="146"/>
    </row>
    <row r="723" spans="1:33" ht="20.100000000000001" hidden="1" customHeight="1">
      <c r="A723" s="16" t="s">
        <v>26</v>
      </c>
      <c r="B723" s="16">
        <v>2004</v>
      </c>
      <c r="C723" s="14" t="s">
        <v>73</v>
      </c>
      <c r="D723" s="9" t="s">
        <v>608</v>
      </c>
      <c r="E723" s="17" t="s">
        <v>608</v>
      </c>
      <c r="F723" s="17"/>
      <c r="G723" s="153"/>
      <c r="H723" s="226"/>
      <c r="I723" s="229">
        <v>2.4</v>
      </c>
      <c r="J723" s="229"/>
      <c r="AB723" s="77"/>
      <c r="AF723" s="142"/>
      <c r="AG723" s="146"/>
    </row>
    <row r="724" spans="1:33" ht="20.100000000000001" hidden="1" customHeight="1">
      <c r="A724" s="16" t="s">
        <v>26</v>
      </c>
      <c r="B724" s="16">
        <v>2004</v>
      </c>
      <c r="C724" s="14" t="s">
        <v>73</v>
      </c>
      <c r="D724" s="9" t="s">
        <v>609</v>
      </c>
      <c r="E724" s="9" t="s">
        <v>609</v>
      </c>
      <c r="F724" s="17"/>
      <c r="G724" s="153"/>
      <c r="H724" s="226"/>
      <c r="I724" s="229">
        <v>2.2999999999999998</v>
      </c>
      <c r="J724" s="229"/>
      <c r="AB724" s="77"/>
      <c r="AF724" s="142"/>
      <c r="AG724" s="146"/>
    </row>
    <row r="725" spans="1:33" ht="20.100000000000001" hidden="1" customHeight="1">
      <c r="A725" s="16" t="s">
        <v>26</v>
      </c>
      <c r="B725" s="16">
        <v>2004</v>
      </c>
      <c r="C725" s="14" t="s">
        <v>73</v>
      </c>
      <c r="D725" s="83" t="s">
        <v>610</v>
      </c>
      <c r="E725" s="66" t="s">
        <v>611</v>
      </c>
      <c r="F725" s="17"/>
      <c r="G725" s="153"/>
      <c r="H725" s="226"/>
      <c r="I725" s="226"/>
      <c r="J725" s="226"/>
      <c r="AB725" s="77"/>
      <c r="AF725" s="142"/>
      <c r="AG725" s="146"/>
    </row>
    <row r="726" spans="1:33" ht="20.100000000000001" hidden="1" customHeight="1">
      <c r="A726" s="16" t="s">
        <v>26</v>
      </c>
      <c r="B726" s="16">
        <v>2004</v>
      </c>
      <c r="C726" s="14" t="s">
        <v>73</v>
      </c>
      <c r="D726" s="9" t="s">
        <v>612</v>
      </c>
      <c r="E726" s="17" t="s">
        <v>612</v>
      </c>
      <c r="F726" s="17"/>
      <c r="G726" s="153"/>
      <c r="H726" s="226"/>
      <c r="I726" s="226"/>
      <c r="J726" s="226"/>
      <c r="AB726" s="77"/>
      <c r="AF726" s="142"/>
      <c r="AG726" s="146"/>
    </row>
    <row r="727" spans="1:33" ht="20.100000000000001" hidden="1" customHeight="1">
      <c r="A727" s="16" t="s">
        <v>26</v>
      </c>
      <c r="B727" s="16">
        <v>2004</v>
      </c>
      <c r="C727" s="14" t="s">
        <v>73</v>
      </c>
      <c r="D727" s="9" t="s">
        <v>613</v>
      </c>
      <c r="E727" s="17" t="s">
        <v>613</v>
      </c>
      <c r="F727" s="17"/>
      <c r="G727" s="153"/>
      <c r="H727" s="226"/>
      <c r="I727" s="226"/>
      <c r="J727" s="226"/>
      <c r="AB727" s="77"/>
      <c r="AF727" s="142"/>
      <c r="AG727" s="146"/>
    </row>
    <row r="728" spans="1:33" ht="20.100000000000001" hidden="1" customHeight="1">
      <c r="A728" s="16" t="s">
        <v>26</v>
      </c>
      <c r="B728" s="16">
        <v>2004</v>
      </c>
      <c r="C728" s="14" t="s">
        <v>73</v>
      </c>
      <c r="D728" s="9" t="s">
        <v>614</v>
      </c>
      <c r="E728" s="17" t="s">
        <v>614</v>
      </c>
      <c r="F728" s="17"/>
      <c r="G728" s="153"/>
      <c r="H728" s="226"/>
      <c r="I728" s="226"/>
      <c r="J728" s="226"/>
      <c r="AB728" s="77"/>
      <c r="AF728" s="142"/>
      <c r="AG728" s="146"/>
    </row>
    <row r="729" spans="1:33" ht="20.100000000000001" hidden="1" customHeight="1">
      <c r="A729" s="16" t="s">
        <v>26</v>
      </c>
      <c r="B729" s="16">
        <v>2004</v>
      </c>
      <c r="C729" s="14" t="s">
        <v>73</v>
      </c>
      <c r="D729" s="9" t="s">
        <v>615</v>
      </c>
      <c r="E729" s="17" t="s">
        <v>615</v>
      </c>
      <c r="F729" s="17"/>
      <c r="G729" s="153"/>
      <c r="H729" s="226"/>
      <c r="I729" s="226"/>
      <c r="J729" s="226"/>
      <c r="AB729" s="77"/>
      <c r="AF729" s="142"/>
      <c r="AG729" s="146"/>
    </row>
    <row r="730" spans="1:33" ht="20.100000000000001" hidden="1" customHeight="1">
      <c r="A730" s="16" t="s">
        <v>26</v>
      </c>
      <c r="B730" s="16">
        <v>2004</v>
      </c>
      <c r="C730" s="14" t="s">
        <v>73</v>
      </c>
      <c r="D730" s="9" t="s">
        <v>616</v>
      </c>
      <c r="E730" s="17" t="s">
        <v>616</v>
      </c>
      <c r="F730" s="17"/>
      <c r="G730" s="153"/>
      <c r="H730" s="226"/>
      <c r="I730" s="226"/>
      <c r="J730" s="226"/>
      <c r="AB730" s="77"/>
      <c r="AF730" s="142"/>
      <c r="AG730" s="146"/>
    </row>
    <row r="731" spans="1:33" ht="20.100000000000001" hidden="1" customHeight="1">
      <c r="A731" s="16" t="s">
        <v>26</v>
      </c>
      <c r="B731" s="16">
        <v>2004</v>
      </c>
      <c r="C731" s="14" t="s">
        <v>73</v>
      </c>
      <c r="D731" s="9" t="s">
        <v>617</v>
      </c>
      <c r="E731" s="66"/>
      <c r="F731" s="17"/>
      <c r="G731" s="153"/>
      <c r="H731" s="226"/>
      <c r="I731" s="226"/>
      <c r="J731" s="226"/>
      <c r="AB731" s="77"/>
      <c r="AF731" s="142"/>
      <c r="AG731" s="146"/>
    </row>
    <row r="732" spans="1:33" ht="20.100000000000001" hidden="1" customHeight="1">
      <c r="A732" s="16" t="s">
        <v>26</v>
      </c>
      <c r="B732" s="275">
        <v>2005</v>
      </c>
      <c r="C732" s="14" t="s">
        <v>73</v>
      </c>
      <c r="D732" s="83" t="s">
        <v>622</v>
      </c>
      <c r="E732" s="17" t="s">
        <v>603</v>
      </c>
      <c r="F732" s="66"/>
      <c r="G732" s="247">
        <v>588</v>
      </c>
      <c r="H732" s="247">
        <f>G732/0.803800192161442</f>
        <v>731.52508015561796</v>
      </c>
      <c r="I732" s="248"/>
      <c r="J732" s="248"/>
      <c r="AB732" s="77"/>
      <c r="AF732" s="142"/>
      <c r="AG732" s="151"/>
    </row>
    <row r="733" spans="1:33" ht="20.100000000000001" hidden="1" customHeight="1">
      <c r="A733" s="16" t="s">
        <v>26</v>
      </c>
      <c r="B733" s="275">
        <v>2005</v>
      </c>
      <c r="C733" s="14" t="s">
        <v>73</v>
      </c>
      <c r="D733" s="123" t="s">
        <v>594</v>
      </c>
      <c r="E733" s="35" t="s">
        <v>595</v>
      </c>
      <c r="F733" s="66"/>
      <c r="G733" s="247">
        <v>346.9</v>
      </c>
      <c r="H733" s="247">
        <f t="shared" ref="H733:H751" si="55">G733/0.803800192161442</f>
        <v>431.5749154863671</v>
      </c>
      <c r="I733" s="248"/>
      <c r="J733" s="248"/>
      <c r="AB733" s="77"/>
      <c r="AF733" s="142"/>
      <c r="AG733" s="151"/>
    </row>
    <row r="734" spans="1:33" ht="20.100000000000001" hidden="1" customHeight="1">
      <c r="A734" s="16" t="s">
        <v>26</v>
      </c>
      <c r="B734" s="275">
        <v>2005</v>
      </c>
      <c r="C734" s="14" t="s">
        <v>73</v>
      </c>
      <c r="D734" s="83" t="s">
        <v>591</v>
      </c>
      <c r="E734" s="66" t="s">
        <v>592</v>
      </c>
      <c r="F734" s="66"/>
      <c r="G734" s="247">
        <v>344</v>
      </c>
      <c r="H734" s="247">
        <f t="shared" si="55"/>
        <v>427.96705369648396</v>
      </c>
      <c r="I734" s="248"/>
      <c r="J734" s="248"/>
      <c r="AB734" s="77"/>
      <c r="AF734" s="142"/>
      <c r="AG734" s="151"/>
    </row>
    <row r="735" spans="1:33" ht="20.100000000000001" hidden="1" customHeight="1">
      <c r="A735" s="16" t="s">
        <v>26</v>
      </c>
      <c r="B735" s="275">
        <v>2005</v>
      </c>
      <c r="C735" s="14" t="s">
        <v>73</v>
      </c>
      <c r="D735" s="83" t="s">
        <v>442</v>
      </c>
      <c r="E735" s="66" t="s">
        <v>597</v>
      </c>
      <c r="F735" s="66"/>
      <c r="G735" s="247">
        <v>226.8</v>
      </c>
      <c r="H735" s="247">
        <f t="shared" si="55"/>
        <v>282.15967377430979</v>
      </c>
      <c r="I735" s="248"/>
      <c r="J735" s="248"/>
      <c r="AB735" s="77"/>
      <c r="AF735" s="142"/>
      <c r="AG735" s="151"/>
    </row>
    <row r="736" spans="1:33" ht="20.100000000000001" hidden="1" customHeight="1">
      <c r="A736" s="16" t="s">
        <v>26</v>
      </c>
      <c r="B736" s="275">
        <v>2005</v>
      </c>
      <c r="C736" s="14" t="s">
        <v>73</v>
      </c>
      <c r="D736" s="83" t="s">
        <v>599</v>
      </c>
      <c r="E736" s="66" t="s">
        <v>599</v>
      </c>
      <c r="F736" s="66"/>
      <c r="G736" s="247">
        <v>224.2</v>
      </c>
      <c r="H736" s="247">
        <f t="shared" si="55"/>
        <v>278.92503906613865</v>
      </c>
      <c r="I736" s="248"/>
      <c r="J736" s="248"/>
      <c r="AB736" s="77"/>
      <c r="AF736" s="142"/>
      <c r="AG736" s="151"/>
    </row>
    <row r="737" spans="1:33" ht="20.100000000000001" hidden="1" customHeight="1">
      <c r="A737" s="16" t="s">
        <v>26</v>
      </c>
      <c r="B737" s="275">
        <v>2005</v>
      </c>
      <c r="C737" s="14" t="s">
        <v>73</v>
      </c>
      <c r="D737" s="83" t="s">
        <v>606</v>
      </c>
      <c r="E737" s="66"/>
      <c r="F737" s="66"/>
      <c r="G737" s="247">
        <v>208.3</v>
      </c>
      <c r="H737" s="247">
        <f t="shared" si="55"/>
        <v>259.14400373540002</v>
      </c>
      <c r="I737" s="248"/>
      <c r="J737" s="248"/>
      <c r="AB737" s="77"/>
      <c r="AF737" s="142"/>
      <c r="AG737" s="151"/>
    </row>
    <row r="738" spans="1:33" ht="20.100000000000001" hidden="1" customHeight="1">
      <c r="A738" s="16" t="s">
        <v>26</v>
      </c>
      <c r="B738" s="275">
        <v>2005</v>
      </c>
      <c r="C738" s="14" t="s">
        <v>73</v>
      </c>
      <c r="D738" s="83" t="s">
        <v>618</v>
      </c>
      <c r="E738" s="66" t="s">
        <v>601</v>
      </c>
      <c r="F738" s="66"/>
      <c r="G738" s="247">
        <v>201.8</v>
      </c>
      <c r="H738" s="247">
        <f t="shared" si="55"/>
        <v>251.0574169649723</v>
      </c>
      <c r="I738" s="248"/>
      <c r="J738" s="248"/>
      <c r="AB738" s="77"/>
      <c r="AF738" s="142"/>
      <c r="AG738" s="151"/>
    </row>
    <row r="739" spans="1:33" ht="20.100000000000001" hidden="1" customHeight="1">
      <c r="A739" s="16" t="s">
        <v>26</v>
      </c>
      <c r="B739" s="275">
        <v>2005</v>
      </c>
      <c r="C739" s="14" t="s">
        <v>73</v>
      </c>
      <c r="D739" s="125" t="s">
        <v>624</v>
      </c>
      <c r="E739" s="66" t="s">
        <v>625</v>
      </c>
      <c r="F739" s="66"/>
      <c r="G739" s="247">
        <v>180</v>
      </c>
      <c r="H739" s="247">
        <f t="shared" si="55"/>
        <v>223.93624902722999</v>
      </c>
      <c r="I739" s="248"/>
      <c r="J739" s="248"/>
      <c r="AB739" s="77"/>
      <c r="AF739" s="142"/>
      <c r="AG739" s="151"/>
    </row>
    <row r="740" spans="1:33" ht="20.100000000000001" hidden="1" customHeight="1">
      <c r="A740" s="16" t="s">
        <v>26</v>
      </c>
      <c r="B740" s="275">
        <v>2005</v>
      </c>
      <c r="C740" s="14" t="s">
        <v>73</v>
      </c>
      <c r="D740" s="83" t="s">
        <v>610</v>
      </c>
      <c r="E740" s="66" t="s">
        <v>611</v>
      </c>
      <c r="F740" s="66"/>
      <c r="G740" s="247">
        <v>159.30000000000001</v>
      </c>
      <c r="H740" s="247">
        <f t="shared" si="55"/>
        <v>198.18358038909855</v>
      </c>
      <c r="I740" s="248"/>
      <c r="J740" s="248"/>
      <c r="AB740" s="77"/>
      <c r="AF740" s="142"/>
      <c r="AG740" s="151"/>
    </row>
    <row r="741" spans="1:33" ht="20.100000000000001" hidden="1" customHeight="1">
      <c r="A741" s="16" t="s">
        <v>26</v>
      </c>
      <c r="B741" s="275">
        <v>2005</v>
      </c>
      <c r="C741" s="14" t="s">
        <v>73</v>
      </c>
      <c r="D741" s="9" t="s">
        <v>609</v>
      </c>
      <c r="E741" s="9" t="s">
        <v>609</v>
      </c>
      <c r="F741" s="66"/>
      <c r="G741" s="247">
        <v>144</v>
      </c>
      <c r="H741" s="247">
        <f t="shared" si="55"/>
        <v>179.14899922178398</v>
      </c>
      <c r="I741" s="248"/>
      <c r="J741" s="248"/>
      <c r="AB741" s="77"/>
      <c r="AF741" s="142"/>
      <c r="AG741" s="151"/>
    </row>
    <row r="742" spans="1:33" ht="20.100000000000001" hidden="1" customHeight="1">
      <c r="A742" s="16" t="s">
        <v>26</v>
      </c>
      <c r="B742" s="275">
        <v>2005</v>
      </c>
      <c r="C742" s="14" t="s">
        <v>73</v>
      </c>
      <c r="D742" s="83" t="s">
        <v>626</v>
      </c>
      <c r="E742" s="66" t="s">
        <v>626</v>
      </c>
      <c r="F742" s="66"/>
      <c r="G742" s="247">
        <v>143</v>
      </c>
      <c r="H742" s="247">
        <f t="shared" si="55"/>
        <v>177.9049089494105</v>
      </c>
      <c r="I742" s="248"/>
      <c r="J742" s="248"/>
      <c r="AB742" s="77"/>
      <c r="AF742" s="142"/>
      <c r="AG742" s="151"/>
    </row>
    <row r="743" spans="1:33" ht="20.100000000000001" hidden="1" customHeight="1">
      <c r="A743" s="16" t="s">
        <v>26</v>
      </c>
      <c r="B743" s="275">
        <v>2005</v>
      </c>
      <c r="C743" s="14" t="s">
        <v>73</v>
      </c>
      <c r="D743" s="83" t="s">
        <v>627</v>
      </c>
      <c r="E743" s="62" t="s">
        <v>628</v>
      </c>
      <c r="F743" s="66"/>
      <c r="G743" s="247">
        <v>130</v>
      </c>
      <c r="H743" s="247">
        <f t="shared" si="55"/>
        <v>161.73173540855498</v>
      </c>
      <c r="I743" s="248"/>
      <c r="J743" s="248"/>
      <c r="AB743" s="77"/>
      <c r="AF743" s="142"/>
      <c r="AG743" s="151"/>
    </row>
    <row r="744" spans="1:33" ht="20.100000000000001" hidden="1" customHeight="1">
      <c r="A744" s="16" t="s">
        <v>26</v>
      </c>
      <c r="B744" s="275">
        <v>2005</v>
      </c>
      <c r="C744" s="14" t="s">
        <v>73</v>
      </c>
      <c r="D744" s="83" t="s">
        <v>629</v>
      </c>
      <c r="E744" s="66" t="s">
        <v>629</v>
      </c>
      <c r="F744" s="66"/>
      <c r="G744" s="247">
        <v>124.3</v>
      </c>
      <c r="H744" s="247">
        <f t="shared" si="55"/>
        <v>154.64042085602603</v>
      </c>
      <c r="I744" s="248"/>
      <c r="J744" s="248"/>
      <c r="AB744" s="77"/>
      <c r="AF744" s="142"/>
      <c r="AG744" s="151"/>
    </row>
    <row r="745" spans="1:33" ht="20.100000000000001" hidden="1" customHeight="1">
      <c r="A745" s="16" t="s">
        <v>26</v>
      </c>
      <c r="B745" s="275">
        <v>2005</v>
      </c>
      <c r="C745" s="14" t="s">
        <v>73</v>
      </c>
      <c r="D745" s="83" t="s">
        <v>617</v>
      </c>
      <c r="E745" s="66"/>
      <c r="F745" s="66"/>
      <c r="G745" s="247">
        <v>117</v>
      </c>
      <c r="H745" s="247">
        <f t="shared" si="55"/>
        <v>145.5585618676995</v>
      </c>
      <c r="I745" s="248"/>
      <c r="J745" s="248"/>
      <c r="AB745" s="77"/>
      <c r="AF745" s="142"/>
      <c r="AG745" s="151"/>
    </row>
    <row r="746" spans="1:33" ht="20.100000000000001" hidden="1" customHeight="1">
      <c r="A746" s="16" t="s">
        <v>26</v>
      </c>
      <c r="B746" s="275">
        <v>2005</v>
      </c>
      <c r="C746" s="14" t="s">
        <v>73</v>
      </c>
      <c r="D746" s="83" t="s">
        <v>630</v>
      </c>
      <c r="E746" s="66" t="s">
        <v>630</v>
      </c>
      <c r="F746" s="66"/>
      <c r="G746" s="247">
        <v>115</v>
      </c>
      <c r="H746" s="247">
        <f t="shared" si="55"/>
        <v>143.0703813229525</v>
      </c>
      <c r="I746" s="248"/>
      <c r="J746" s="248"/>
      <c r="AB746" s="77"/>
      <c r="AF746" s="142"/>
      <c r="AG746" s="151"/>
    </row>
    <row r="747" spans="1:33" ht="20.100000000000001" hidden="1" customHeight="1">
      <c r="A747" s="16" t="s">
        <v>26</v>
      </c>
      <c r="B747" s="275">
        <v>2005</v>
      </c>
      <c r="C747" s="14" t="s">
        <v>73</v>
      </c>
      <c r="D747" s="9" t="s">
        <v>607</v>
      </c>
      <c r="E747" s="9" t="s">
        <v>607</v>
      </c>
      <c r="F747" s="66"/>
      <c r="G747" s="247">
        <v>86.9</v>
      </c>
      <c r="H747" s="247">
        <f t="shared" si="55"/>
        <v>108.11144466925715</v>
      </c>
      <c r="I747" s="248"/>
      <c r="J747" s="248"/>
      <c r="AB747" s="77"/>
      <c r="AF747" s="142"/>
      <c r="AG747" s="151"/>
    </row>
    <row r="748" spans="1:33" ht="20.100000000000001" hidden="1" customHeight="1">
      <c r="A748" s="16" t="s">
        <v>26</v>
      </c>
      <c r="B748" s="275">
        <v>2005</v>
      </c>
      <c r="C748" s="14" t="s">
        <v>73</v>
      </c>
      <c r="D748" s="83" t="s">
        <v>631</v>
      </c>
      <c r="E748" s="66" t="s">
        <v>631</v>
      </c>
      <c r="F748" s="66"/>
      <c r="G748" s="247">
        <v>83</v>
      </c>
      <c r="H748" s="247">
        <f t="shared" si="55"/>
        <v>103.2594926070005</v>
      </c>
      <c r="I748" s="248"/>
      <c r="J748" s="248"/>
      <c r="AB748" s="77"/>
      <c r="AF748" s="142"/>
      <c r="AG748" s="151"/>
    </row>
    <row r="749" spans="1:33" ht="20.100000000000001" hidden="1" customHeight="1">
      <c r="A749" s="16" t="s">
        <v>26</v>
      </c>
      <c r="B749" s="275">
        <v>2005</v>
      </c>
      <c r="C749" s="14" t="s">
        <v>73</v>
      </c>
      <c r="D749" s="83" t="s">
        <v>632</v>
      </c>
      <c r="E749" s="66" t="s">
        <v>633</v>
      </c>
      <c r="F749" s="66"/>
      <c r="G749" s="247">
        <v>82.9</v>
      </c>
      <c r="H749" s="247">
        <f t="shared" si="55"/>
        <v>103.13508357976315</v>
      </c>
      <c r="I749" s="248"/>
      <c r="J749" s="248"/>
      <c r="AB749" s="77"/>
      <c r="AF749" s="142"/>
      <c r="AG749" s="151"/>
    </row>
    <row r="750" spans="1:33" ht="20.100000000000001" hidden="1" customHeight="1">
      <c r="A750" s="16" t="s">
        <v>26</v>
      </c>
      <c r="B750" s="275">
        <v>2005</v>
      </c>
      <c r="C750" s="14" t="s">
        <v>73</v>
      </c>
      <c r="D750" s="83" t="s">
        <v>634</v>
      </c>
      <c r="E750" s="66" t="s">
        <v>634</v>
      </c>
      <c r="F750" s="66"/>
      <c r="G750" s="247">
        <v>75.3</v>
      </c>
      <c r="H750" s="247">
        <f t="shared" si="55"/>
        <v>93.679997509724544</v>
      </c>
      <c r="I750" s="248"/>
      <c r="J750" s="248"/>
      <c r="AB750" s="77"/>
      <c r="AF750" s="142"/>
      <c r="AG750" s="151"/>
    </row>
    <row r="751" spans="1:33" ht="20.100000000000001" hidden="1" customHeight="1">
      <c r="A751" s="16" t="s">
        <v>26</v>
      </c>
      <c r="B751" s="275">
        <v>2005</v>
      </c>
      <c r="C751" s="14" t="s">
        <v>73</v>
      </c>
      <c r="D751" s="83" t="s">
        <v>635</v>
      </c>
      <c r="E751" s="66" t="s">
        <v>635</v>
      </c>
      <c r="F751" s="66"/>
      <c r="G751" s="247">
        <v>69.599999999999994</v>
      </c>
      <c r="H751" s="247">
        <f t="shared" si="55"/>
        <v>86.588682957195587</v>
      </c>
      <c r="I751" s="248"/>
      <c r="J751" s="248"/>
      <c r="AB751" s="77"/>
      <c r="AF751" s="142"/>
      <c r="AG751" s="151"/>
    </row>
    <row r="752" spans="1:33" ht="20.100000000000001" hidden="1" customHeight="1">
      <c r="A752" s="16" t="s">
        <v>26</v>
      </c>
      <c r="B752" s="275">
        <v>2005</v>
      </c>
      <c r="C752" s="14" t="s">
        <v>73</v>
      </c>
      <c r="D752" s="27" t="s">
        <v>202</v>
      </c>
      <c r="E752" s="66" t="s">
        <v>636</v>
      </c>
      <c r="F752" s="66"/>
      <c r="G752" s="249"/>
      <c r="H752" s="249"/>
      <c r="I752" s="250"/>
      <c r="J752" s="250"/>
      <c r="AB752" s="77"/>
      <c r="AF752" s="142"/>
      <c r="AG752" s="151"/>
    </row>
    <row r="753" spans="1:33" ht="20.100000000000001" hidden="1" customHeight="1">
      <c r="A753" s="16" t="s">
        <v>26</v>
      </c>
      <c r="B753" s="16">
        <v>2007</v>
      </c>
      <c r="C753" s="14" t="s">
        <v>73</v>
      </c>
      <c r="D753" s="83" t="s">
        <v>591</v>
      </c>
      <c r="E753" s="66" t="s">
        <v>592</v>
      </c>
      <c r="F753" s="17"/>
      <c r="G753" s="153"/>
      <c r="H753" s="226"/>
      <c r="I753" s="229">
        <v>4.4000000000000004</v>
      </c>
      <c r="J753" s="229"/>
      <c r="AB753" s="77"/>
      <c r="AF753" s="142"/>
      <c r="AG753" s="146"/>
    </row>
    <row r="754" spans="1:33" ht="20.100000000000001" hidden="1" customHeight="1">
      <c r="A754" s="16" t="s">
        <v>26</v>
      </c>
      <c r="B754" s="16">
        <v>2007</v>
      </c>
      <c r="C754" s="14" t="s">
        <v>73</v>
      </c>
      <c r="D754" s="123" t="s">
        <v>594</v>
      </c>
      <c r="E754" s="35" t="s">
        <v>595</v>
      </c>
      <c r="F754" s="17"/>
      <c r="G754" s="153"/>
      <c r="H754" s="226"/>
      <c r="I754" s="229">
        <v>3.8</v>
      </c>
      <c r="J754" s="229"/>
      <c r="AB754" s="77"/>
      <c r="AF754" s="142"/>
      <c r="AG754" s="146"/>
    </row>
    <row r="755" spans="1:33" ht="20.100000000000001" hidden="1" customHeight="1">
      <c r="A755" s="16" t="s">
        <v>26</v>
      </c>
      <c r="B755" s="16">
        <v>2007</v>
      </c>
      <c r="C755" s="14" t="s">
        <v>73</v>
      </c>
      <c r="D755" s="83" t="s">
        <v>442</v>
      </c>
      <c r="E755" s="66" t="s">
        <v>597</v>
      </c>
      <c r="F755" s="17"/>
      <c r="G755" s="153"/>
      <c r="H755" s="226"/>
      <c r="I755" s="229">
        <v>2.9</v>
      </c>
      <c r="J755" s="229"/>
      <c r="AB755" s="77"/>
      <c r="AF755" s="142"/>
      <c r="AG755" s="146"/>
    </row>
    <row r="756" spans="1:33" ht="20.100000000000001" hidden="1" customHeight="1">
      <c r="A756" s="16" t="s">
        <v>26</v>
      </c>
      <c r="B756" s="16">
        <v>2007</v>
      </c>
      <c r="C756" s="14" t="s">
        <v>73</v>
      </c>
      <c r="D756" s="9" t="s">
        <v>599</v>
      </c>
      <c r="E756" s="66"/>
      <c r="F756" s="17"/>
      <c r="G756" s="153"/>
      <c r="H756" s="226"/>
      <c r="I756" s="229">
        <v>2.5</v>
      </c>
      <c r="J756" s="229"/>
      <c r="AB756" s="77"/>
      <c r="AF756" s="142"/>
      <c r="AG756" s="146"/>
    </row>
    <row r="757" spans="1:33" ht="20.100000000000001" hidden="1" customHeight="1">
      <c r="A757" s="16" t="s">
        <v>26</v>
      </c>
      <c r="B757" s="16">
        <v>2007</v>
      </c>
      <c r="C757" s="14" t="s">
        <v>73</v>
      </c>
      <c r="D757" s="83" t="s">
        <v>618</v>
      </c>
      <c r="E757" s="66" t="s">
        <v>601</v>
      </c>
      <c r="F757" s="17"/>
      <c r="G757" s="153"/>
      <c r="H757" s="226"/>
      <c r="I757" s="229">
        <v>2.5</v>
      </c>
      <c r="J757" s="229"/>
      <c r="AB757" s="77"/>
      <c r="AF757" s="142"/>
      <c r="AG757" s="146"/>
    </row>
    <row r="758" spans="1:33" ht="20.100000000000001" hidden="1" customHeight="1">
      <c r="A758" s="16" t="s">
        <v>26</v>
      </c>
      <c r="B758" s="16">
        <v>2007</v>
      </c>
      <c r="C758" s="14" t="s">
        <v>73</v>
      </c>
      <c r="D758" s="9" t="s">
        <v>602</v>
      </c>
      <c r="E758" s="66"/>
      <c r="F758" s="17"/>
      <c r="G758" s="153"/>
      <c r="H758" s="226"/>
      <c r="I758" s="226"/>
      <c r="J758" s="226"/>
      <c r="AB758" s="77"/>
      <c r="AF758" s="142"/>
      <c r="AG758" s="146"/>
    </row>
    <row r="759" spans="1:33" ht="20.100000000000001" hidden="1" customHeight="1">
      <c r="A759" s="16" t="s">
        <v>26</v>
      </c>
      <c r="B759" s="16">
        <v>2007</v>
      </c>
      <c r="C759" s="14" t="s">
        <v>73</v>
      </c>
      <c r="D759" s="83" t="s">
        <v>622</v>
      </c>
      <c r="E759" s="17" t="s">
        <v>603</v>
      </c>
      <c r="F759" s="17"/>
      <c r="G759" s="153"/>
      <c r="H759" s="226"/>
      <c r="I759" s="229">
        <v>6.3</v>
      </c>
      <c r="J759" s="229"/>
      <c r="AB759" s="77"/>
      <c r="AF759" s="142"/>
      <c r="AG759" s="146"/>
    </row>
    <row r="760" spans="1:33" ht="20.100000000000001" hidden="1" customHeight="1">
      <c r="A760" s="16" t="s">
        <v>26</v>
      </c>
      <c r="B760" s="16">
        <v>2007</v>
      </c>
      <c r="C760" s="14" t="s">
        <v>73</v>
      </c>
      <c r="D760" s="9" t="s">
        <v>604</v>
      </c>
      <c r="E760" s="66"/>
      <c r="F760" s="17"/>
      <c r="G760" s="153"/>
      <c r="H760" s="226"/>
      <c r="I760" s="229">
        <v>2.2000000000000002</v>
      </c>
      <c r="J760" s="229"/>
      <c r="AB760" s="77"/>
      <c r="AF760" s="142"/>
      <c r="AG760" s="146"/>
    </row>
    <row r="761" spans="1:33" ht="20.100000000000001" hidden="1" customHeight="1">
      <c r="A761" s="16" t="s">
        <v>26</v>
      </c>
      <c r="B761" s="16">
        <v>2007</v>
      </c>
      <c r="C761" s="14" t="s">
        <v>73</v>
      </c>
      <c r="D761" s="9" t="s">
        <v>505</v>
      </c>
      <c r="E761" s="66"/>
      <c r="F761" s="17"/>
      <c r="G761" s="153"/>
      <c r="H761" s="226"/>
      <c r="I761" s="229">
        <v>2.1</v>
      </c>
      <c r="J761" s="229"/>
      <c r="AB761" s="77"/>
      <c r="AF761" s="142"/>
      <c r="AG761" s="146"/>
    </row>
    <row r="762" spans="1:33" ht="20.100000000000001" hidden="1" customHeight="1">
      <c r="A762" s="16" t="s">
        <v>26</v>
      </c>
      <c r="B762" s="16">
        <v>2007</v>
      </c>
      <c r="C762" s="14" t="s">
        <v>73</v>
      </c>
      <c r="D762" s="9" t="s">
        <v>606</v>
      </c>
      <c r="E762" s="66"/>
      <c r="F762" s="17"/>
      <c r="G762" s="153"/>
      <c r="H762" s="226"/>
      <c r="I762" s="229">
        <v>2.1</v>
      </c>
      <c r="J762" s="229"/>
      <c r="AB762" s="77"/>
      <c r="AF762" s="142"/>
      <c r="AG762" s="146"/>
    </row>
    <row r="763" spans="1:33" ht="20.100000000000001" hidden="1" customHeight="1">
      <c r="A763" s="16" t="s">
        <v>26</v>
      </c>
      <c r="B763" s="16">
        <v>2007</v>
      </c>
      <c r="C763" s="14" t="s">
        <v>73</v>
      </c>
      <c r="D763" s="9" t="s">
        <v>607</v>
      </c>
      <c r="E763" s="9" t="s">
        <v>607</v>
      </c>
      <c r="F763" s="17"/>
      <c r="G763" s="153"/>
      <c r="H763" s="226"/>
      <c r="I763" s="229">
        <v>1.9</v>
      </c>
      <c r="J763" s="229"/>
      <c r="AB763" s="77"/>
      <c r="AF763" s="142"/>
      <c r="AG763" s="146"/>
    </row>
    <row r="764" spans="1:33" ht="20.100000000000001" hidden="1" customHeight="1">
      <c r="A764" s="16" t="s">
        <v>26</v>
      </c>
      <c r="B764" s="276">
        <v>2007</v>
      </c>
      <c r="C764" s="14" t="s">
        <v>73</v>
      </c>
      <c r="D764" s="81" t="s">
        <v>608</v>
      </c>
      <c r="E764" s="82"/>
      <c r="F764" s="134"/>
      <c r="G764" s="251"/>
      <c r="H764" s="252"/>
      <c r="I764" s="226"/>
      <c r="J764" s="226"/>
      <c r="AB764" s="77"/>
      <c r="AF764" s="142"/>
      <c r="AG764" s="152"/>
    </row>
    <row r="765" spans="1:33" ht="20.100000000000001" hidden="1" customHeight="1">
      <c r="A765" s="16" t="s">
        <v>26</v>
      </c>
      <c r="B765" s="276">
        <v>2007</v>
      </c>
      <c r="C765" s="14" t="s">
        <v>73</v>
      </c>
      <c r="D765" s="9" t="s">
        <v>609</v>
      </c>
      <c r="E765" s="9" t="s">
        <v>609</v>
      </c>
      <c r="F765" s="134"/>
      <c r="G765" s="251"/>
      <c r="H765" s="252"/>
      <c r="I765" s="226"/>
      <c r="J765" s="226"/>
      <c r="AB765" s="77"/>
      <c r="AF765" s="142"/>
      <c r="AG765" s="152"/>
    </row>
    <row r="766" spans="1:33" ht="20.100000000000001" hidden="1" customHeight="1">
      <c r="A766" s="16" t="s">
        <v>26</v>
      </c>
      <c r="B766" s="276">
        <v>2007</v>
      </c>
      <c r="C766" s="14" t="s">
        <v>73</v>
      </c>
      <c r="D766" s="83" t="s">
        <v>610</v>
      </c>
      <c r="E766" s="66" t="s">
        <v>611</v>
      </c>
      <c r="F766" s="134"/>
      <c r="G766" s="251"/>
      <c r="H766" s="252"/>
      <c r="I766" s="226"/>
      <c r="J766" s="226"/>
      <c r="AB766" s="77"/>
      <c r="AF766" s="142"/>
      <c r="AG766" s="152"/>
    </row>
    <row r="767" spans="1:33" ht="20.100000000000001" hidden="1" customHeight="1">
      <c r="A767" s="16" t="s">
        <v>26</v>
      </c>
      <c r="B767" s="276">
        <v>2007</v>
      </c>
      <c r="C767" s="14" t="s">
        <v>73</v>
      </c>
      <c r="D767" s="81" t="s">
        <v>612</v>
      </c>
      <c r="E767" s="82"/>
      <c r="F767" s="134"/>
      <c r="G767" s="251"/>
      <c r="H767" s="252"/>
      <c r="I767" s="226"/>
      <c r="J767" s="226"/>
      <c r="AB767" s="77"/>
      <c r="AF767" s="142"/>
      <c r="AG767" s="152"/>
    </row>
    <row r="768" spans="1:33" ht="20.100000000000001" hidden="1" customHeight="1">
      <c r="A768" s="16" t="s">
        <v>26</v>
      </c>
      <c r="B768" s="276">
        <v>2007</v>
      </c>
      <c r="C768" s="14" t="s">
        <v>73</v>
      </c>
      <c r="D768" s="81" t="s">
        <v>613</v>
      </c>
      <c r="E768" s="82"/>
      <c r="F768" s="134"/>
      <c r="G768" s="251"/>
      <c r="H768" s="252"/>
      <c r="I768" s="226"/>
      <c r="J768" s="226"/>
      <c r="AB768" s="77"/>
      <c r="AF768" s="142"/>
      <c r="AG768" s="152"/>
    </row>
    <row r="769" spans="1:33" ht="20.100000000000001" hidden="1" customHeight="1">
      <c r="A769" s="16" t="s">
        <v>26</v>
      </c>
      <c r="B769" s="276">
        <v>2007</v>
      </c>
      <c r="C769" s="14" t="s">
        <v>73</v>
      </c>
      <c r="D769" s="81" t="s">
        <v>614</v>
      </c>
      <c r="E769" s="82"/>
      <c r="F769" s="134"/>
      <c r="G769" s="251"/>
      <c r="H769" s="252"/>
      <c r="I769" s="226"/>
      <c r="J769" s="226"/>
      <c r="AB769" s="77"/>
      <c r="AF769" s="142"/>
      <c r="AG769" s="152"/>
    </row>
    <row r="770" spans="1:33" ht="20.100000000000001" hidden="1" customHeight="1">
      <c r="A770" s="16" t="s">
        <v>26</v>
      </c>
      <c r="B770" s="276">
        <v>2007</v>
      </c>
      <c r="C770" s="14" t="s">
        <v>73</v>
      </c>
      <c r="D770" s="81" t="s">
        <v>615</v>
      </c>
      <c r="E770" s="82"/>
      <c r="F770" s="134"/>
      <c r="G770" s="251"/>
      <c r="H770" s="252"/>
      <c r="I770" s="226"/>
      <c r="J770" s="226"/>
      <c r="AB770" s="77"/>
      <c r="AF770" s="142"/>
      <c r="AG770" s="152"/>
    </row>
    <row r="771" spans="1:33" ht="20.100000000000001" hidden="1" customHeight="1">
      <c r="A771" s="16" t="s">
        <v>26</v>
      </c>
      <c r="B771" s="276">
        <v>2007</v>
      </c>
      <c r="C771" s="14" t="s">
        <v>73</v>
      </c>
      <c r="D771" s="81" t="s">
        <v>616</v>
      </c>
      <c r="E771" s="82"/>
      <c r="F771" s="134"/>
      <c r="G771" s="251"/>
      <c r="H771" s="252"/>
      <c r="I771" s="226"/>
      <c r="J771" s="226"/>
      <c r="AB771" s="77"/>
      <c r="AF771" s="142"/>
      <c r="AG771" s="152"/>
    </row>
    <row r="772" spans="1:33" ht="20.100000000000001" hidden="1" customHeight="1">
      <c r="A772" s="16" t="s">
        <v>26</v>
      </c>
      <c r="B772" s="276">
        <v>2007</v>
      </c>
      <c r="C772" s="14" t="s">
        <v>73</v>
      </c>
      <c r="D772" s="81" t="s">
        <v>617</v>
      </c>
      <c r="E772" s="82"/>
      <c r="F772" s="134"/>
      <c r="G772" s="251"/>
      <c r="H772" s="252"/>
      <c r="I772" s="226"/>
      <c r="J772" s="226"/>
      <c r="AB772" s="77"/>
      <c r="AF772" s="142"/>
      <c r="AG772" s="152"/>
    </row>
    <row r="773" spans="1:33" ht="20.100000000000001" hidden="1" customHeight="1">
      <c r="A773" s="16" t="s">
        <v>26</v>
      </c>
      <c r="B773" s="16">
        <v>2008</v>
      </c>
      <c r="C773" s="14" t="s">
        <v>73</v>
      </c>
      <c r="D773" s="83" t="s">
        <v>622</v>
      </c>
      <c r="E773" s="17" t="s">
        <v>603</v>
      </c>
      <c r="F773" s="62"/>
      <c r="G773" s="246">
        <v>569</v>
      </c>
      <c r="H773" s="235">
        <f t="shared" ref="H773:H782" si="56">G773/0.679922680042729</f>
        <v>836.85986171874981</v>
      </c>
      <c r="I773" s="227"/>
      <c r="J773" s="227"/>
      <c r="AB773" s="77"/>
      <c r="AF773" s="142"/>
      <c r="AG773" s="146"/>
    </row>
    <row r="774" spans="1:33" ht="20.100000000000001" hidden="1" customHeight="1">
      <c r="A774" s="16" t="s">
        <v>26</v>
      </c>
      <c r="B774" s="16">
        <v>2008</v>
      </c>
      <c r="C774" s="14" t="s">
        <v>73</v>
      </c>
      <c r="D774" s="83" t="s">
        <v>591</v>
      </c>
      <c r="E774" s="66" t="s">
        <v>592</v>
      </c>
      <c r="F774" s="62"/>
      <c r="G774" s="246">
        <v>434</v>
      </c>
      <c r="H774" s="235">
        <f t="shared" si="56"/>
        <v>638.30787343749989</v>
      </c>
      <c r="I774" s="227"/>
      <c r="J774" s="227"/>
      <c r="AB774" s="77"/>
      <c r="AF774" s="142"/>
      <c r="AG774" s="146"/>
    </row>
    <row r="775" spans="1:33" ht="20.100000000000001" hidden="1" customHeight="1">
      <c r="A775" s="16" t="s">
        <v>26</v>
      </c>
      <c r="B775" s="16">
        <v>2008</v>
      </c>
      <c r="C775" s="14" t="s">
        <v>73</v>
      </c>
      <c r="D775" s="123" t="s">
        <v>594</v>
      </c>
      <c r="E775" s="35" t="s">
        <v>595</v>
      </c>
      <c r="F775" s="62"/>
      <c r="G775" s="246">
        <v>354</v>
      </c>
      <c r="H775" s="235">
        <f t="shared" si="56"/>
        <v>520.64743593749984</v>
      </c>
      <c r="I775" s="227"/>
      <c r="J775" s="227"/>
      <c r="AB775" s="77"/>
      <c r="AF775" s="142"/>
      <c r="AG775" s="146"/>
    </row>
    <row r="776" spans="1:33" ht="20.100000000000001" hidden="1" customHeight="1">
      <c r="A776" s="16" t="s">
        <v>26</v>
      </c>
      <c r="B776" s="16">
        <v>2008</v>
      </c>
      <c r="C776" s="14" t="s">
        <v>73</v>
      </c>
      <c r="D776" s="83" t="s">
        <v>618</v>
      </c>
      <c r="E776" s="66" t="s">
        <v>601</v>
      </c>
      <c r="F776" s="62"/>
      <c r="G776" s="246">
        <v>259</v>
      </c>
      <c r="H776" s="235">
        <f t="shared" si="56"/>
        <v>380.92566640624989</v>
      </c>
      <c r="I776" s="227"/>
      <c r="J776" s="227"/>
      <c r="AB776" s="77"/>
      <c r="AF776" s="142"/>
      <c r="AG776" s="146"/>
    </row>
    <row r="777" spans="1:33" ht="20.100000000000001" hidden="1" customHeight="1">
      <c r="A777" s="16" t="s">
        <v>26</v>
      </c>
      <c r="B777" s="16">
        <v>2008</v>
      </c>
      <c r="C777" s="14" t="s">
        <v>73</v>
      </c>
      <c r="D777" s="83" t="s">
        <v>442</v>
      </c>
      <c r="E777" s="66" t="s">
        <v>597</v>
      </c>
      <c r="F777" s="62"/>
      <c r="G777" s="246">
        <v>247</v>
      </c>
      <c r="H777" s="235">
        <f t="shared" si="56"/>
        <v>363.2766007812499</v>
      </c>
      <c r="I777" s="227"/>
      <c r="J777" s="227"/>
      <c r="AB777" s="77"/>
      <c r="AF777" s="142"/>
      <c r="AG777" s="146"/>
    </row>
    <row r="778" spans="1:33" ht="20.100000000000001" hidden="1" customHeight="1">
      <c r="A778" s="16" t="s">
        <v>26</v>
      </c>
      <c r="B778" s="16">
        <v>2008</v>
      </c>
      <c r="C778" s="14" t="s">
        <v>73</v>
      </c>
      <c r="D778" s="83" t="s">
        <v>610</v>
      </c>
      <c r="E778" s="66" t="s">
        <v>611</v>
      </c>
      <c r="F778" s="62"/>
      <c r="G778" s="246">
        <v>186</v>
      </c>
      <c r="H778" s="235">
        <f t="shared" si="56"/>
        <v>273.56051718749995</v>
      </c>
      <c r="I778" s="227"/>
      <c r="J778" s="227"/>
      <c r="AB778" s="77"/>
      <c r="AF778" s="142"/>
      <c r="AG778" s="146"/>
    </row>
    <row r="779" spans="1:33" ht="20.100000000000001" hidden="1" customHeight="1">
      <c r="A779" s="16" t="s">
        <v>26</v>
      </c>
      <c r="B779" s="16">
        <v>2008</v>
      </c>
      <c r="C779" s="14" t="s">
        <v>73</v>
      </c>
      <c r="D779" s="27" t="s">
        <v>606</v>
      </c>
      <c r="E779" s="62"/>
      <c r="F779" s="62"/>
      <c r="G779" s="246">
        <v>177</v>
      </c>
      <c r="H779" s="235">
        <f t="shared" si="56"/>
        <v>260.32371796874992</v>
      </c>
      <c r="I779" s="227"/>
      <c r="J779" s="227"/>
      <c r="AB779" s="77"/>
      <c r="AF779" s="142"/>
      <c r="AG779" s="146"/>
    </row>
    <row r="780" spans="1:33" ht="20.100000000000001" hidden="1" customHeight="1">
      <c r="A780" s="16" t="s">
        <v>26</v>
      </c>
      <c r="B780" s="16">
        <v>2008</v>
      </c>
      <c r="C780" s="14" t="s">
        <v>73</v>
      </c>
      <c r="D780" s="27" t="s">
        <v>637</v>
      </c>
      <c r="E780" s="62"/>
      <c r="F780" s="62"/>
      <c r="G780" s="246">
        <v>175</v>
      </c>
      <c r="H780" s="235">
        <f t="shared" si="56"/>
        <v>257.38220703124995</v>
      </c>
      <c r="I780" s="227"/>
      <c r="J780" s="227"/>
      <c r="AB780" s="77"/>
      <c r="AF780" s="142"/>
      <c r="AG780" s="146"/>
    </row>
    <row r="781" spans="1:33" ht="20.100000000000001" hidden="1" customHeight="1">
      <c r="A781" s="16" t="s">
        <v>26</v>
      </c>
      <c r="B781" s="16">
        <v>2008</v>
      </c>
      <c r="C781" s="14" t="s">
        <v>73</v>
      </c>
      <c r="D781" s="125" t="s">
        <v>624</v>
      </c>
      <c r="E781" s="66" t="s">
        <v>625</v>
      </c>
      <c r="F781" s="62"/>
      <c r="G781" s="246">
        <v>175</v>
      </c>
      <c r="H781" s="235">
        <f t="shared" si="56"/>
        <v>257.38220703124995</v>
      </c>
      <c r="I781" s="227"/>
      <c r="J781" s="227"/>
      <c r="AB781" s="77"/>
      <c r="AF781" s="142"/>
      <c r="AG781" s="146"/>
    </row>
    <row r="782" spans="1:33" ht="20.100000000000001" hidden="1" customHeight="1">
      <c r="A782" s="16" t="s">
        <v>26</v>
      </c>
      <c r="B782" s="16">
        <v>2008</v>
      </c>
      <c r="C782" s="14" t="s">
        <v>73</v>
      </c>
      <c r="D782" s="27" t="s">
        <v>599</v>
      </c>
      <c r="E782" s="62"/>
      <c r="F782" s="62"/>
      <c r="G782" s="246">
        <v>175</v>
      </c>
      <c r="H782" s="235">
        <f t="shared" si="56"/>
        <v>257.38220703124995</v>
      </c>
      <c r="I782" s="227"/>
      <c r="J782" s="227"/>
      <c r="AB782" s="77"/>
      <c r="AF782" s="142"/>
      <c r="AG782" s="146"/>
    </row>
    <row r="783" spans="1:33" ht="20.100000000000001" hidden="1" customHeight="1">
      <c r="A783" s="16" t="s">
        <v>26</v>
      </c>
      <c r="B783" s="16">
        <v>2012</v>
      </c>
      <c r="C783" s="14" t="s">
        <v>73</v>
      </c>
      <c r="D783" s="83" t="s">
        <v>591</v>
      </c>
      <c r="E783" s="66" t="s">
        <v>592</v>
      </c>
      <c r="F783" s="17"/>
      <c r="G783" s="153"/>
      <c r="H783" s="226"/>
      <c r="I783" s="229">
        <v>4.7</v>
      </c>
      <c r="J783" s="229"/>
      <c r="AB783" s="77"/>
      <c r="AF783" s="142"/>
      <c r="AG783" s="146"/>
    </row>
    <row r="784" spans="1:33" ht="20.100000000000001" hidden="1" customHeight="1">
      <c r="A784" s="16" t="s">
        <v>26</v>
      </c>
      <c r="B784" s="16">
        <v>2012</v>
      </c>
      <c r="C784" s="14" t="s">
        <v>73</v>
      </c>
      <c r="D784" s="123" t="s">
        <v>594</v>
      </c>
      <c r="E784" s="35" t="s">
        <v>595</v>
      </c>
      <c r="F784" s="17"/>
      <c r="G784" s="153"/>
      <c r="H784" s="226"/>
      <c r="I784" s="229">
        <v>4.4000000000000004</v>
      </c>
      <c r="J784" s="229"/>
      <c r="AB784" s="77"/>
      <c r="AF784" s="142"/>
      <c r="AG784" s="146"/>
    </row>
    <row r="785" spans="1:33" ht="20.100000000000001" hidden="1" customHeight="1">
      <c r="A785" s="16" t="s">
        <v>26</v>
      </c>
      <c r="B785" s="16">
        <v>2012</v>
      </c>
      <c r="C785" s="14" t="s">
        <v>73</v>
      </c>
      <c r="D785" s="83" t="s">
        <v>442</v>
      </c>
      <c r="E785" s="66" t="s">
        <v>597</v>
      </c>
      <c r="F785" s="17"/>
      <c r="G785" s="153"/>
      <c r="H785" s="226"/>
      <c r="I785" s="229">
        <v>3.2</v>
      </c>
      <c r="J785" s="229"/>
      <c r="AB785" s="77"/>
      <c r="AF785" s="142"/>
      <c r="AG785" s="146"/>
    </row>
    <row r="786" spans="1:33" ht="20.100000000000001" hidden="1" customHeight="1">
      <c r="A786" s="16" t="s">
        <v>26</v>
      </c>
      <c r="B786" s="16">
        <v>2012</v>
      </c>
      <c r="C786" s="14" t="s">
        <v>73</v>
      </c>
      <c r="D786" s="9" t="s">
        <v>599</v>
      </c>
      <c r="E786" s="66"/>
      <c r="F786" s="17"/>
      <c r="G786" s="153"/>
      <c r="H786" s="226"/>
      <c r="I786" s="229">
        <v>2.6</v>
      </c>
      <c r="J786" s="229"/>
      <c r="AB786" s="77"/>
      <c r="AF786" s="142"/>
      <c r="AG786" s="146"/>
    </row>
    <row r="787" spans="1:33" ht="20.100000000000001" hidden="1" customHeight="1">
      <c r="A787" s="16" t="s">
        <v>26</v>
      </c>
      <c r="B787" s="16">
        <v>2012</v>
      </c>
      <c r="C787" s="14" t="s">
        <v>73</v>
      </c>
      <c r="D787" s="83" t="s">
        <v>618</v>
      </c>
      <c r="E787" s="66" t="s">
        <v>601</v>
      </c>
      <c r="F787" s="17"/>
      <c r="G787" s="153"/>
      <c r="H787" s="226"/>
      <c r="I787" s="229">
        <v>3.6</v>
      </c>
      <c r="J787" s="229"/>
      <c r="AB787" s="77"/>
      <c r="AF787" s="142"/>
      <c r="AG787" s="146"/>
    </row>
    <row r="788" spans="1:33" ht="20.100000000000001" hidden="1" customHeight="1">
      <c r="A788" s="16" t="s">
        <v>26</v>
      </c>
      <c r="B788" s="16">
        <v>2012</v>
      </c>
      <c r="C788" s="14" t="s">
        <v>73</v>
      </c>
      <c r="D788" s="9" t="s">
        <v>602</v>
      </c>
      <c r="E788" s="66"/>
      <c r="F788" s="17"/>
      <c r="G788" s="153"/>
      <c r="H788" s="226"/>
      <c r="I788" s="226"/>
      <c r="J788" s="226"/>
      <c r="AB788" s="77"/>
      <c r="AF788" s="142"/>
      <c r="AG788" s="146"/>
    </row>
    <row r="789" spans="1:33" ht="20.100000000000001" hidden="1" customHeight="1">
      <c r="A789" s="16" t="s">
        <v>26</v>
      </c>
      <c r="B789" s="16">
        <v>2012</v>
      </c>
      <c r="C789" s="14" t="s">
        <v>73</v>
      </c>
      <c r="D789" s="27" t="s">
        <v>221</v>
      </c>
      <c r="E789" s="17" t="s">
        <v>603</v>
      </c>
      <c r="F789" s="17"/>
      <c r="G789" s="153"/>
      <c r="H789" s="226"/>
      <c r="I789" s="229">
        <v>5</v>
      </c>
      <c r="J789" s="229"/>
      <c r="AB789" s="77"/>
      <c r="AG789" s="35" t="s">
        <v>638</v>
      </c>
    </row>
    <row r="790" spans="1:33" ht="20.100000000000001" hidden="1" customHeight="1">
      <c r="A790" s="16" t="s">
        <v>26</v>
      </c>
      <c r="B790" s="16">
        <v>2012</v>
      </c>
      <c r="C790" s="14" t="s">
        <v>73</v>
      </c>
      <c r="D790" s="9" t="s">
        <v>604</v>
      </c>
      <c r="E790" s="66"/>
      <c r="F790" s="17"/>
      <c r="G790" s="153"/>
      <c r="H790" s="226"/>
      <c r="I790" s="229">
        <v>2.2999999999999998</v>
      </c>
      <c r="J790" s="229"/>
      <c r="AB790" s="77"/>
      <c r="AF790" s="142"/>
      <c r="AG790" s="146"/>
    </row>
    <row r="791" spans="1:33" ht="20.100000000000001" hidden="1" customHeight="1">
      <c r="A791" s="16" t="s">
        <v>26</v>
      </c>
      <c r="B791" s="16">
        <v>2012</v>
      </c>
      <c r="C791" s="14" t="s">
        <v>73</v>
      </c>
      <c r="D791" s="9" t="s">
        <v>505</v>
      </c>
      <c r="E791" s="66"/>
      <c r="F791" s="17"/>
      <c r="G791" s="153"/>
      <c r="H791" s="226"/>
      <c r="I791" s="229">
        <v>2.2000000000000002</v>
      </c>
      <c r="J791" s="229"/>
      <c r="AB791" s="77"/>
      <c r="AF791" s="142"/>
      <c r="AG791" s="146"/>
    </row>
    <row r="792" spans="1:33" ht="20.100000000000001" hidden="1" customHeight="1">
      <c r="A792" s="16" t="s">
        <v>26</v>
      </c>
      <c r="B792" s="16">
        <v>2012</v>
      </c>
      <c r="C792" s="14" t="s">
        <v>73</v>
      </c>
      <c r="D792" s="9" t="s">
        <v>606</v>
      </c>
      <c r="E792" s="66"/>
      <c r="F792" s="17"/>
      <c r="G792" s="153"/>
      <c r="H792" s="226"/>
      <c r="I792" s="229">
        <v>2</v>
      </c>
      <c r="J792" s="229"/>
      <c r="AB792" s="77"/>
      <c r="AF792" s="142"/>
      <c r="AG792" s="146"/>
    </row>
    <row r="793" spans="1:33" ht="20.100000000000001" hidden="1" customHeight="1">
      <c r="A793" s="16" t="s">
        <v>26</v>
      </c>
      <c r="B793" s="16">
        <v>2012</v>
      </c>
      <c r="C793" s="14" t="s">
        <v>73</v>
      </c>
      <c r="D793" s="9" t="s">
        <v>607</v>
      </c>
      <c r="E793" s="9" t="s">
        <v>607</v>
      </c>
      <c r="F793" s="17"/>
      <c r="G793" s="153"/>
      <c r="H793" s="226"/>
      <c r="I793" s="226"/>
      <c r="J793" s="226"/>
      <c r="AB793" s="77"/>
      <c r="AF793" s="142"/>
      <c r="AG793" s="146"/>
    </row>
    <row r="794" spans="1:33" ht="20.100000000000001" hidden="1" customHeight="1">
      <c r="A794" s="16" t="s">
        <v>26</v>
      </c>
      <c r="B794" s="16">
        <v>2012</v>
      </c>
      <c r="C794" s="14" t="s">
        <v>73</v>
      </c>
      <c r="D794" s="9" t="s">
        <v>608</v>
      </c>
      <c r="E794" s="66"/>
      <c r="F794" s="17"/>
      <c r="G794" s="153"/>
      <c r="H794" s="226"/>
      <c r="I794" s="226"/>
      <c r="J794" s="226"/>
      <c r="AB794" s="77"/>
      <c r="AF794" s="142"/>
      <c r="AG794" s="146"/>
    </row>
    <row r="795" spans="1:33" ht="20.100000000000001" hidden="1" customHeight="1">
      <c r="A795" s="16" t="s">
        <v>26</v>
      </c>
      <c r="B795" s="16">
        <v>2012</v>
      </c>
      <c r="C795" s="14" t="s">
        <v>73</v>
      </c>
      <c r="D795" s="9" t="s">
        <v>609</v>
      </c>
      <c r="E795" s="9" t="s">
        <v>609</v>
      </c>
      <c r="F795" s="17"/>
      <c r="G795" s="153"/>
      <c r="H795" s="226"/>
      <c r="I795" s="229">
        <v>1.1000000000000001</v>
      </c>
      <c r="J795" s="229"/>
      <c r="AB795" s="77"/>
      <c r="AF795" s="142"/>
      <c r="AG795" s="146"/>
    </row>
    <row r="796" spans="1:33" ht="20.100000000000001" hidden="1" customHeight="1">
      <c r="A796" s="16" t="s">
        <v>26</v>
      </c>
      <c r="B796" s="16">
        <v>2012</v>
      </c>
      <c r="C796" s="14" t="s">
        <v>73</v>
      </c>
      <c r="D796" s="83" t="s">
        <v>610</v>
      </c>
      <c r="E796" s="66" t="s">
        <v>611</v>
      </c>
      <c r="F796" s="17"/>
      <c r="G796" s="153"/>
      <c r="H796" s="226"/>
      <c r="I796" s="229">
        <v>2.2999999999999998</v>
      </c>
      <c r="J796" s="229"/>
      <c r="AB796" s="77"/>
      <c r="AF796" s="142"/>
      <c r="AG796" s="146"/>
    </row>
    <row r="797" spans="1:33" ht="20.100000000000001" hidden="1" customHeight="1">
      <c r="A797" s="16" t="s">
        <v>26</v>
      </c>
      <c r="B797" s="16">
        <v>2012</v>
      </c>
      <c r="C797" s="14" t="s">
        <v>73</v>
      </c>
      <c r="D797" s="9" t="s">
        <v>612</v>
      </c>
      <c r="E797" s="66"/>
      <c r="F797" s="17"/>
      <c r="G797" s="153"/>
      <c r="H797" s="226"/>
      <c r="I797" s="229">
        <v>1.1000000000000001</v>
      </c>
      <c r="J797" s="229"/>
      <c r="AB797" s="77"/>
      <c r="AF797" s="142"/>
      <c r="AG797" s="146"/>
    </row>
    <row r="798" spans="1:33" ht="20.100000000000001" hidden="1" customHeight="1">
      <c r="A798" s="16" t="s">
        <v>26</v>
      </c>
      <c r="B798" s="16">
        <v>2012</v>
      </c>
      <c r="C798" s="14" t="s">
        <v>73</v>
      </c>
      <c r="D798" s="9" t="s">
        <v>613</v>
      </c>
      <c r="E798" s="66"/>
      <c r="F798" s="17"/>
      <c r="G798" s="153"/>
      <c r="H798" s="226"/>
      <c r="I798" s="226"/>
      <c r="J798" s="226"/>
      <c r="AB798" s="77"/>
      <c r="AF798" s="142"/>
      <c r="AG798" s="146"/>
    </row>
    <row r="799" spans="1:33" ht="20.100000000000001" hidden="1" customHeight="1">
      <c r="A799" s="16" t="s">
        <v>26</v>
      </c>
      <c r="B799" s="16">
        <v>2012</v>
      </c>
      <c r="C799" s="14" t="s">
        <v>73</v>
      </c>
      <c r="D799" s="9" t="s">
        <v>614</v>
      </c>
      <c r="E799" s="66"/>
      <c r="F799" s="17"/>
      <c r="G799" s="153"/>
      <c r="H799" s="226"/>
      <c r="I799" s="226"/>
      <c r="J799" s="226"/>
      <c r="AB799" s="77"/>
      <c r="AF799" s="142"/>
      <c r="AG799" s="146"/>
    </row>
    <row r="800" spans="1:33" ht="20.100000000000001" hidden="1" customHeight="1">
      <c r="A800" s="16" t="s">
        <v>26</v>
      </c>
      <c r="B800" s="16">
        <v>2012</v>
      </c>
      <c r="C800" s="14" t="s">
        <v>73</v>
      </c>
      <c r="D800" s="9" t="s">
        <v>615</v>
      </c>
      <c r="E800" s="66"/>
      <c r="F800" s="17"/>
      <c r="G800" s="153"/>
      <c r="H800" s="226"/>
      <c r="I800" s="229">
        <v>0.8</v>
      </c>
      <c r="J800" s="229"/>
      <c r="AB800" s="77"/>
      <c r="AF800" s="142"/>
      <c r="AG800" s="146"/>
    </row>
    <row r="801" spans="1:33" ht="20.100000000000001" hidden="1" customHeight="1">
      <c r="A801" s="16" t="s">
        <v>26</v>
      </c>
      <c r="B801" s="16">
        <v>2012</v>
      </c>
      <c r="C801" s="14" t="s">
        <v>73</v>
      </c>
      <c r="D801" s="9" t="s">
        <v>616</v>
      </c>
      <c r="E801" s="66"/>
      <c r="F801" s="17"/>
      <c r="G801" s="153"/>
      <c r="H801" s="226"/>
      <c r="I801" s="226"/>
      <c r="J801" s="226"/>
      <c r="AB801" s="77"/>
      <c r="AF801" s="142"/>
      <c r="AG801" s="146"/>
    </row>
    <row r="802" spans="1:33" ht="20.100000000000001" hidden="1" customHeight="1">
      <c r="A802" s="16" t="s">
        <v>26</v>
      </c>
      <c r="B802" s="16">
        <v>2012</v>
      </c>
      <c r="C802" s="14" t="s">
        <v>73</v>
      </c>
      <c r="D802" s="9" t="s">
        <v>617</v>
      </c>
      <c r="E802" s="66"/>
      <c r="F802" s="17"/>
      <c r="G802" s="153"/>
      <c r="H802" s="226"/>
      <c r="I802" s="229">
        <v>1.4</v>
      </c>
      <c r="J802" s="229"/>
      <c r="AB802" s="77"/>
      <c r="AF802" s="142"/>
      <c r="AG802" s="146"/>
    </row>
    <row r="803" spans="1:33" ht="20.100000000000001" hidden="1" customHeight="1">
      <c r="A803" s="16" t="s">
        <v>26</v>
      </c>
      <c r="B803" s="275">
        <v>2015</v>
      </c>
      <c r="C803" s="14" t="s">
        <v>73</v>
      </c>
      <c r="D803" s="9" t="s">
        <v>505</v>
      </c>
      <c r="E803" s="66" t="s">
        <v>639</v>
      </c>
      <c r="F803" s="66"/>
      <c r="G803" s="248">
        <f>G819-(G819*(4.5%))</f>
        <v>509.39699999999999</v>
      </c>
      <c r="H803" s="247">
        <f>G803/0.901296423367096</f>
        <v>565.18253794570285</v>
      </c>
      <c r="I803" s="248"/>
      <c r="J803" s="248"/>
      <c r="AB803" s="77"/>
      <c r="AG803" s="66" t="s">
        <v>640</v>
      </c>
    </row>
    <row r="804" spans="1:33" ht="20.100000000000001" hidden="1" customHeight="1">
      <c r="A804" s="16" t="s">
        <v>26</v>
      </c>
      <c r="B804" s="275">
        <v>2015</v>
      </c>
      <c r="C804" s="14" t="s">
        <v>73</v>
      </c>
      <c r="D804" s="83" t="s">
        <v>618</v>
      </c>
      <c r="E804" s="66" t="s">
        <v>641</v>
      </c>
      <c r="F804" s="66"/>
      <c r="G804" s="248">
        <f>G820+(G820*(6.1%))</f>
        <v>327.84899999999999</v>
      </c>
      <c r="H804" s="247">
        <f t="shared" ref="H804:H817" si="57">G804/0.901296423367096</f>
        <v>363.75269167851542</v>
      </c>
      <c r="I804" s="248"/>
      <c r="J804" s="248"/>
      <c r="AB804" s="77"/>
      <c r="AG804" s="66" t="s">
        <v>642</v>
      </c>
    </row>
    <row r="805" spans="1:33" ht="20.100000000000001" hidden="1" customHeight="1">
      <c r="A805" s="16" t="s">
        <v>26</v>
      </c>
      <c r="B805" s="275">
        <v>2015</v>
      </c>
      <c r="C805" s="14" t="s">
        <v>73</v>
      </c>
      <c r="D805" s="83" t="s">
        <v>442</v>
      </c>
      <c r="E805" s="66" t="s">
        <v>597</v>
      </c>
      <c r="F805" s="66"/>
      <c r="G805" s="248">
        <v>300</v>
      </c>
      <c r="H805" s="247">
        <f t="shared" si="57"/>
        <v>332.85386718749982</v>
      </c>
      <c r="I805" s="248"/>
      <c r="J805" s="248"/>
      <c r="AB805" s="77"/>
      <c r="AG805" s="66" t="s">
        <v>643</v>
      </c>
    </row>
    <row r="806" spans="1:33" ht="20.100000000000001" hidden="1" customHeight="1">
      <c r="A806" s="16" t="s">
        <v>26</v>
      </c>
      <c r="B806" s="275">
        <v>2015</v>
      </c>
      <c r="C806" s="14" t="s">
        <v>73</v>
      </c>
      <c r="D806" s="83" t="s">
        <v>591</v>
      </c>
      <c r="E806" s="66" t="s">
        <v>592</v>
      </c>
      <c r="F806" s="66"/>
      <c r="G806" s="248">
        <f>G822-(G822*(4.3%))</f>
        <v>283.27199999999999</v>
      </c>
      <c r="H806" s="247">
        <f t="shared" si="57"/>
        <v>314.29393555312481</v>
      </c>
      <c r="I806" s="248"/>
      <c r="J806" s="248"/>
      <c r="AB806" s="77"/>
      <c r="AG806" s="66" t="s">
        <v>644</v>
      </c>
    </row>
    <row r="807" spans="1:33" ht="20.100000000000001" hidden="1" customHeight="1">
      <c r="A807" s="16" t="s">
        <v>26</v>
      </c>
      <c r="B807" s="275">
        <v>2015</v>
      </c>
      <c r="C807" s="14" t="s">
        <v>73</v>
      </c>
      <c r="D807" s="123" t="s">
        <v>594</v>
      </c>
      <c r="E807" s="35" t="s">
        <v>595</v>
      </c>
      <c r="F807" s="66"/>
      <c r="G807" s="248">
        <f>G823-(G823*(4.6%))</f>
        <v>259.488</v>
      </c>
      <c r="H807" s="247">
        <f t="shared" si="57"/>
        <v>287.90528096249983</v>
      </c>
      <c r="I807" s="248"/>
      <c r="J807" s="248"/>
      <c r="AB807" s="77"/>
      <c r="AG807" s="66" t="s">
        <v>644</v>
      </c>
    </row>
    <row r="808" spans="1:33" ht="20.100000000000001" hidden="1" customHeight="1">
      <c r="A808" s="16" t="s">
        <v>26</v>
      </c>
      <c r="B808" s="275">
        <v>2015</v>
      </c>
      <c r="C808" s="14" t="s">
        <v>73</v>
      </c>
      <c r="D808" s="83" t="s">
        <v>610</v>
      </c>
      <c r="E808" s="66" t="s">
        <v>611</v>
      </c>
      <c r="F808" s="66"/>
      <c r="G808" s="248">
        <f>G824-(G824*(4.3%))</f>
        <v>255.2319</v>
      </c>
      <c r="H808" s="247">
        <f t="shared" si="57"/>
        <v>283.18308314871081</v>
      </c>
      <c r="I808" s="248"/>
      <c r="J808" s="248"/>
      <c r="AB808" s="77"/>
      <c r="AG808" s="66" t="s">
        <v>644</v>
      </c>
    </row>
    <row r="809" spans="1:33" ht="20.100000000000001" hidden="1" customHeight="1">
      <c r="A809" s="16" t="s">
        <v>26</v>
      </c>
      <c r="B809" s="275">
        <v>2015</v>
      </c>
      <c r="C809" s="14" t="s">
        <v>73</v>
      </c>
      <c r="D809" s="125" t="s">
        <v>624</v>
      </c>
      <c r="E809" s="66" t="s">
        <v>625</v>
      </c>
      <c r="F809" s="66"/>
      <c r="G809" s="248">
        <f>G825+(G825*(7.4%))</f>
        <v>214.8</v>
      </c>
      <c r="H809" s="247">
        <f t="shared" si="57"/>
        <v>238.3233689062499</v>
      </c>
      <c r="I809" s="248"/>
      <c r="J809" s="248"/>
      <c r="AB809" s="77"/>
      <c r="AG809" s="66" t="s">
        <v>643</v>
      </c>
    </row>
    <row r="810" spans="1:33" ht="20.100000000000001" hidden="1" customHeight="1">
      <c r="A810" s="16" t="s">
        <v>26</v>
      </c>
      <c r="B810" s="275">
        <v>2015</v>
      </c>
      <c r="C810" s="14" t="s">
        <v>73</v>
      </c>
      <c r="D810" s="83" t="s">
        <v>606</v>
      </c>
      <c r="E810" s="66"/>
      <c r="F810" s="66"/>
      <c r="G810" s="248">
        <f>G826-(G826*(6.7%))</f>
        <v>178.203</v>
      </c>
      <c r="H810" s="247">
        <f t="shared" si="57"/>
        <v>197.71852564804678</v>
      </c>
      <c r="I810" s="248"/>
      <c r="J810" s="248"/>
      <c r="AB810" s="77"/>
      <c r="AG810" s="66" t="s">
        <v>644</v>
      </c>
    </row>
    <row r="811" spans="1:33" ht="20.100000000000001" hidden="1" customHeight="1">
      <c r="A811" s="16" t="s">
        <v>26</v>
      </c>
      <c r="B811" s="275">
        <v>2015</v>
      </c>
      <c r="C811" s="14" t="s">
        <v>73</v>
      </c>
      <c r="D811" s="83" t="s">
        <v>645</v>
      </c>
      <c r="E811" s="62" t="s">
        <v>628</v>
      </c>
      <c r="F811" s="66"/>
      <c r="G811" s="248">
        <f>G827-(G827*(7.9%))</f>
        <v>170.66130000000001</v>
      </c>
      <c r="H811" s="247">
        <f t="shared" si="57"/>
        <v>189.35091228082024</v>
      </c>
      <c r="I811" s="248"/>
      <c r="J811" s="248"/>
      <c r="AB811" s="77"/>
      <c r="AG811" s="66" t="s">
        <v>644</v>
      </c>
    </row>
    <row r="812" spans="1:33" ht="20.100000000000001" hidden="1" customHeight="1">
      <c r="A812" s="16" t="s">
        <v>26</v>
      </c>
      <c r="B812" s="275">
        <v>2015</v>
      </c>
      <c r="C812" s="14" t="s">
        <v>73</v>
      </c>
      <c r="D812" s="83" t="s">
        <v>617</v>
      </c>
      <c r="E812" s="66"/>
      <c r="F812" s="66"/>
      <c r="G812" s="248">
        <f>G828-(G828*(1%))</f>
        <v>148.5</v>
      </c>
      <c r="H812" s="247">
        <f t="shared" si="57"/>
        <v>164.76266425781242</v>
      </c>
      <c r="I812" s="248"/>
      <c r="J812" s="248"/>
      <c r="AB812" s="77"/>
      <c r="AG812" s="66" t="s">
        <v>644</v>
      </c>
    </row>
    <row r="813" spans="1:33" ht="20.100000000000001" hidden="1" customHeight="1">
      <c r="A813" s="16" t="s">
        <v>26</v>
      </c>
      <c r="B813" s="275">
        <v>2015</v>
      </c>
      <c r="C813" s="14" t="s">
        <v>73</v>
      </c>
      <c r="D813" s="83" t="s">
        <v>646</v>
      </c>
      <c r="E813" s="66"/>
      <c r="F813" s="66"/>
      <c r="G813" s="248">
        <f>G829-(G829*(0.9%))</f>
        <v>141.11840000000001</v>
      </c>
      <c r="H813" s="247">
        <f t="shared" si="57"/>
        <v>156.57268390437494</v>
      </c>
      <c r="I813" s="248"/>
      <c r="J813" s="248"/>
      <c r="AB813" s="77"/>
      <c r="AG813" s="66" t="s">
        <v>644</v>
      </c>
    </row>
    <row r="814" spans="1:33" ht="20.100000000000001" hidden="1" customHeight="1">
      <c r="A814" s="16" t="s">
        <v>26</v>
      </c>
      <c r="B814" s="275">
        <v>2015</v>
      </c>
      <c r="C814" s="14" t="s">
        <v>73</v>
      </c>
      <c r="D814" s="83" t="s">
        <v>630</v>
      </c>
      <c r="E814" s="66"/>
      <c r="F814" s="66"/>
      <c r="G814" s="248">
        <f>G830-(G830*(8.1%))</f>
        <v>122.227</v>
      </c>
      <c r="H814" s="247">
        <f t="shared" si="57"/>
        <v>135.6124320824218</v>
      </c>
      <c r="I814" s="248"/>
      <c r="J814" s="248"/>
      <c r="AB814" s="77"/>
      <c r="AG814" s="66" t="s">
        <v>644</v>
      </c>
    </row>
    <row r="815" spans="1:33" ht="20.100000000000001" hidden="1" customHeight="1">
      <c r="A815" s="16" t="s">
        <v>26</v>
      </c>
      <c r="B815" s="275">
        <v>2015</v>
      </c>
      <c r="C815" s="14" t="s">
        <v>73</v>
      </c>
      <c r="D815" s="83" t="s">
        <v>632</v>
      </c>
      <c r="E815" s="66" t="s">
        <v>633</v>
      </c>
      <c r="F815" s="66"/>
      <c r="G815" s="248">
        <f>G831-(G831*(4.7%))</f>
        <v>126.55840000000001</v>
      </c>
      <c r="H815" s="247">
        <f t="shared" si="57"/>
        <v>140.41817621687494</v>
      </c>
      <c r="I815" s="248"/>
      <c r="J815" s="248"/>
      <c r="AB815" s="77"/>
      <c r="AG815" s="66" t="s">
        <v>644</v>
      </c>
    </row>
    <row r="816" spans="1:33" ht="20.100000000000001" hidden="1" customHeight="1">
      <c r="A816" s="16" t="s">
        <v>26</v>
      </c>
      <c r="B816" s="275">
        <v>2015</v>
      </c>
      <c r="C816" s="14" t="s">
        <v>73</v>
      </c>
      <c r="D816" s="83" t="s">
        <v>637</v>
      </c>
      <c r="E816" s="66"/>
      <c r="F816" s="66"/>
      <c r="G816" s="248">
        <v>100</v>
      </c>
      <c r="H816" s="247">
        <f t="shared" si="57"/>
        <v>110.95128906249994</v>
      </c>
      <c r="I816" s="248">
        <f ca="1">I816</f>
        <v>0</v>
      </c>
      <c r="J816" s="248"/>
      <c r="AB816" s="77"/>
      <c r="AG816" s="66" t="s">
        <v>644</v>
      </c>
    </row>
    <row r="817" spans="1:33" ht="20.100000000000001" hidden="1" customHeight="1">
      <c r="A817" s="16" t="s">
        <v>26</v>
      </c>
      <c r="B817" s="275">
        <v>2015</v>
      </c>
      <c r="C817" s="14" t="s">
        <v>73</v>
      </c>
      <c r="D817" s="9" t="s">
        <v>609</v>
      </c>
      <c r="E817" s="9" t="s">
        <v>609</v>
      </c>
      <c r="F817" s="66"/>
      <c r="G817" s="253">
        <v>85</v>
      </c>
      <c r="H817" s="247">
        <f t="shared" si="57"/>
        <v>94.308595703124951</v>
      </c>
      <c r="I817" s="250"/>
      <c r="J817" s="250"/>
      <c r="AB817" s="77"/>
      <c r="AG817" s="66" t="s">
        <v>647</v>
      </c>
    </row>
    <row r="818" spans="1:33" ht="20.100000000000001" hidden="1" customHeight="1">
      <c r="A818" s="16" t="s">
        <v>26</v>
      </c>
      <c r="B818" s="275">
        <v>2015</v>
      </c>
      <c r="C818" s="14" t="s">
        <v>73</v>
      </c>
      <c r="D818" s="27" t="s">
        <v>202</v>
      </c>
      <c r="E818" s="66"/>
      <c r="F818" s="66"/>
      <c r="G818" s="249"/>
      <c r="H818" s="249"/>
      <c r="I818" s="250"/>
      <c r="J818" s="250"/>
      <c r="AB818" s="77"/>
      <c r="AG818" s="77"/>
    </row>
    <row r="819" spans="1:33" ht="20.100000000000001" hidden="1" customHeight="1">
      <c r="A819" s="16" t="s">
        <v>26</v>
      </c>
      <c r="B819" s="275">
        <v>2016</v>
      </c>
      <c r="C819" s="14" t="s">
        <v>73</v>
      </c>
      <c r="D819" s="9" t="s">
        <v>505</v>
      </c>
      <c r="E819" s="66" t="s">
        <v>639</v>
      </c>
      <c r="F819" s="66"/>
      <c r="G819" s="253">
        <v>533.4</v>
      </c>
      <c r="H819" s="168">
        <f t="shared" ref="H819:H834" si="58">G819/0.903421436257263</f>
        <v>590.42212038912282</v>
      </c>
      <c r="I819" s="248"/>
      <c r="J819" s="248"/>
      <c r="AB819" s="77"/>
      <c r="AG819" s="66" t="s">
        <v>648</v>
      </c>
    </row>
    <row r="820" spans="1:33" ht="20.100000000000001" hidden="1" customHeight="1">
      <c r="A820" s="16" t="s">
        <v>26</v>
      </c>
      <c r="B820" s="275">
        <v>2016</v>
      </c>
      <c r="C820" s="14" t="s">
        <v>73</v>
      </c>
      <c r="D820" s="83" t="s">
        <v>618</v>
      </c>
      <c r="E820" s="66" t="s">
        <v>641</v>
      </c>
      <c r="F820" s="66"/>
      <c r="G820" s="253">
        <v>309</v>
      </c>
      <c r="H820" s="168">
        <f t="shared" si="58"/>
        <v>342.03306186771459</v>
      </c>
      <c r="I820" s="248"/>
      <c r="J820" s="248"/>
      <c r="AB820" s="77"/>
      <c r="AG820" s="66" t="s">
        <v>648</v>
      </c>
    </row>
    <row r="821" spans="1:33" ht="20.100000000000001" hidden="1" customHeight="1">
      <c r="A821" s="16" t="s">
        <v>26</v>
      </c>
      <c r="B821" s="275">
        <v>2016</v>
      </c>
      <c r="C821" s="14" t="s">
        <v>73</v>
      </c>
      <c r="D821" s="83" t="s">
        <v>442</v>
      </c>
      <c r="E821" s="66" t="s">
        <v>597</v>
      </c>
      <c r="F821" s="66"/>
      <c r="G821" s="253">
        <v>300</v>
      </c>
      <c r="H821" s="168">
        <f t="shared" si="58"/>
        <v>332.07093385215006</v>
      </c>
      <c r="I821" s="248"/>
      <c r="J821" s="248"/>
      <c r="AB821" s="77"/>
      <c r="AG821" s="66" t="s">
        <v>649</v>
      </c>
    </row>
    <row r="822" spans="1:33" ht="20.100000000000001" hidden="1" customHeight="1">
      <c r="A822" s="16" t="s">
        <v>26</v>
      </c>
      <c r="B822" s="275">
        <v>2016</v>
      </c>
      <c r="C822" s="14" t="s">
        <v>73</v>
      </c>
      <c r="D822" s="83" t="s">
        <v>591</v>
      </c>
      <c r="E822" s="66" t="s">
        <v>592</v>
      </c>
      <c r="F822" s="66"/>
      <c r="G822" s="253">
        <v>296</v>
      </c>
      <c r="H822" s="168">
        <f t="shared" si="58"/>
        <v>327.64332140078807</v>
      </c>
      <c r="I822" s="248"/>
      <c r="J822" s="248"/>
      <c r="AB822" s="77"/>
      <c r="AG822" s="66" t="s">
        <v>648</v>
      </c>
    </row>
    <row r="823" spans="1:33" ht="20.100000000000001" hidden="1" customHeight="1">
      <c r="A823" s="16" t="s">
        <v>26</v>
      </c>
      <c r="B823" s="275">
        <v>2016</v>
      </c>
      <c r="C823" s="14" t="s">
        <v>73</v>
      </c>
      <c r="D823" s="123" t="s">
        <v>594</v>
      </c>
      <c r="E823" s="35" t="s">
        <v>595</v>
      </c>
      <c r="F823" s="66"/>
      <c r="G823" s="253">
        <v>272</v>
      </c>
      <c r="H823" s="168">
        <f t="shared" si="58"/>
        <v>301.07764669261604</v>
      </c>
      <c r="I823" s="248"/>
      <c r="J823" s="248"/>
      <c r="AB823" s="77"/>
      <c r="AG823" s="66" t="s">
        <v>648</v>
      </c>
    </row>
    <row r="824" spans="1:33" ht="20.100000000000001" hidden="1" customHeight="1">
      <c r="A824" s="16" t="s">
        <v>26</v>
      </c>
      <c r="B824" s="275">
        <v>2016</v>
      </c>
      <c r="C824" s="14" t="s">
        <v>73</v>
      </c>
      <c r="D824" s="83" t="s">
        <v>610</v>
      </c>
      <c r="E824" s="66" t="s">
        <v>611</v>
      </c>
      <c r="F824" s="66"/>
      <c r="G824" s="253">
        <v>266.7</v>
      </c>
      <c r="H824" s="168">
        <f t="shared" si="58"/>
        <v>295.21106019456141</v>
      </c>
      <c r="I824" s="248"/>
      <c r="J824" s="248"/>
      <c r="AB824" s="77"/>
      <c r="AG824" s="66" t="s">
        <v>648</v>
      </c>
    </row>
    <row r="825" spans="1:33" ht="20.100000000000001" hidden="1" customHeight="1">
      <c r="A825" s="16" t="s">
        <v>26</v>
      </c>
      <c r="B825" s="275">
        <v>2016</v>
      </c>
      <c r="C825" s="14" t="s">
        <v>73</v>
      </c>
      <c r="D825" s="125" t="s">
        <v>624</v>
      </c>
      <c r="E825" s="66" t="s">
        <v>625</v>
      </c>
      <c r="F825" s="66"/>
      <c r="G825" s="253">
        <v>200</v>
      </c>
      <c r="H825" s="168">
        <f t="shared" si="58"/>
        <v>221.38062256810005</v>
      </c>
      <c r="I825" s="248"/>
      <c r="J825" s="248"/>
      <c r="AB825" s="77"/>
      <c r="AG825" s="66" t="s">
        <v>649</v>
      </c>
    </row>
    <row r="826" spans="1:33" ht="20.100000000000001" hidden="1" customHeight="1">
      <c r="A826" s="16" t="s">
        <v>26</v>
      </c>
      <c r="B826" s="275">
        <v>2016</v>
      </c>
      <c r="C826" s="14" t="s">
        <v>73</v>
      </c>
      <c r="D826" s="83" t="s">
        <v>606</v>
      </c>
      <c r="E826" s="66"/>
      <c r="F826" s="66"/>
      <c r="G826" s="253">
        <v>191</v>
      </c>
      <c r="H826" s="168">
        <f t="shared" si="58"/>
        <v>211.41849455253555</v>
      </c>
      <c r="I826" s="248"/>
      <c r="J826" s="248"/>
      <c r="AB826" s="77"/>
      <c r="AG826" s="66" t="s">
        <v>648</v>
      </c>
    </row>
    <row r="827" spans="1:33" ht="20.100000000000001" hidden="1" customHeight="1">
      <c r="A827" s="16" t="s">
        <v>26</v>
      </c>
      <c r="B827" s="275">
        <v>2016</v>
      </c>
      <c r="C827" s="14" t="s">
        <v>73</v>
      </c>
      <c r="D827" s="83" t="s">
        <v>645</v>
      </c>
      <c r="E827" s="62" t="s">
        <v>628</v>
      </c>
      <c r="F827" s="66"/>
      <c r="G827" s="253">
        <v>185.3</v>
      </c>
      <c r="H827" s="168">
        <f t="shared" si="58"/>
        <v>205.10914680934471</v>
      </c>
      <c r="I827" s="248"/>
      <c r="J827" s="248"/>
      <c r="AB827" s="77"/>
      <c r="AG827" s="66" t="s">
        <v>648</v>
      </c>
    </row>
    <row r="828" spans="1:33" ht="20.100000000000001" hidden="1" customHeight="1">
      <c r="A828" s="16" t="s">
        <v>26</v>
      </c>
      <c r="B828" s="275">
        <v>2016</v>
      </c>
      <c r="C828" s="14" t="s">
        <v>73</v>
      </c>
      <c r="D828" s="83" t="s">
        <v>617</v>
      </c>
      <c r="E828" s="66"/>
      <c r="F828" s="66"/>
      <c r="G828" s="253">
        <v>150</v>
      </c>
      <c r="H828" s="168">
        <f t="shared" si="58"/>
        <v>166.03546692607503</v>
      </c>
      <c r="I828" s="248"/>
      <c r="J828" s="248"/>
      <c r="AB828" s="77"/>
      <c r="AG828" s="66" t="s">
        <v>648</v>
      </c>
    </row>
    <row r="829" spans="1:33" ht="20.100000000000001" hidden="1" customHeight="1">
      <c r="A829" s="16" t="s">
        <v>26</v>
      </c>
      <c r="B829" s="275">
        <v>2016</v>
      </c>
      <c r="C829" s="14" t="s">
        <v>73</v>
      </c>
      <c r="D829" s="83" t="s">
        <v>646</v>
      </c>
      <c r="E829" s="66"/>
      <c r="F829" s="66"/>
      <c r="G829" s="253">
        <v>142.4</v>
      </c>
      <c r="H829" s="168">
        <f t="shared" si="58"/>
        <v>157.62300326848725</v>
      </c>
      <c r="I829" s="248"/>
      <c r="J829" s="248"/>
      <c r="AB829" s="77"/>
      <c r="AG829" s="66" t="s">
        <v>648</v>
      </c>
    </row>
    <row r="830" spans="1:33" ht="20.100000000000001" hidden="1" customHeight="1">
      <c r="A830" s="16" t="s">
        <v>26</v>
      </c>
      <c r="B830" s="275">
        <v>2016</v>
      </c>
      <c r="C830" s="14" t="s">
        <v>73</v>
      </c>
      <c r="D830" s="83" t="s">
        <v>630</v>
      </c>
      <c r="E830" s="66"/>
      <c r="F830" s="66"/>
      <c r="G830" s="253">
        <v>133</v>
      </c>
      <c r="H830" s="168">
        <f t="shared" si="58"/>
        <v>147.21811400778654</v>
      </c>
      <c r="I830" s="248"/>
      <c r="J830" s="248"/>
      <c r="AB830" s="77"/>
      <c r="AG830" s="66" t="s">
        <v>648</v>
      </c>
    </row>
    <row r="831" spans="1:33" ht="20.100000000000001" hidden="1" customHeight="1">
      <c r="A831" s="16" t="s">
        <v>26</v>
      </c>
      <c r="B831" s="275">
        <v>2016</v>
      </c>
      <c r="C831" s="14" t="s">
        <v>73</v>
      </c>
      <c r="D831" s="83" t="s">
        <v>632</v>
      </c>
      <c r="E831" s="66" t="s">
        <v>633</v>
      </c>
      <c r="F831" s="66"/>
      <c r="G831" s="253">
        <v>132.80000000000001</v>
      </c>
      <c r="H831" s="168">
        <f t="shared" si="58"/>
        <v>146.99673338521845</v>
      </c>
      <c r="I831" s="248"/>
      <c r="J831" s="248"/>
      <c r="AB831" s="77"/>
      <c r="AG831" s="66" t="s">
        <v>648</v>
      </c>
    </row>
    <row r="832" spans="1:33" ht="20.100000000000001" hidden="1" customHeight="1">
      <c r="A832" s="16" t="s">
        <v>26</v>
      </c>
      <c r="B832" s="275">
        <v>2016</v>
      </c>
      <c r="C832" s="14" t="s">
        <v>73</v>
      </c>
      <c r="D832" s="83" t="s">
        <v>637</v>
      </c>
      <c r="E832" s="66"/>
      <c r="F832" s="66"/>
      <c r="G832" s="253">
        <v>100</v>
      </c>
      <c r="H832" s="168">
        <f t="shared" si="58"/>
        <v>110.69031128405003</v>
      </c>
      <c r="I832" s="248"/>
      <c r="J832" s="248"/>
      <c r="AB832" s="77"/>
      <c r="AG832" s="66" t="s">
        <v>648</v>
      </c>
    </row>
    <row r="833" spans="1:33" s="116" customFormat="1" ht="20.100000000000001" hidden="1" customHeight="1">
      <c r="A833" s="16" t="s">
        <v>26</v>
      </c>
      <c r="B833" s="275">
        <v>2016</v>
      </c>
      <c r="C833" s="14" t="s">
        <v>73</v>
      </c>
      <c r="D833" s="9" t="s">
        <v>609</v>
      </c>
      <c r="E833" s="9" t="s">
        <v>609</v>
      </c>
      <c r="F833" s="66"/>
      <c r="G833" s="253">
        <v>85</v>
      </c>
      <c r="H833" s="168">
        <f t="shared" si="58"/>
        <v>94.086764591442517</v>
      </c>
      <c r="I833" s="248"/>
      <c r="J833" s="248"/>
      <c r="K833" s="77"/>
      <c r="L833" s="77"/>
      <c r="M833" s="77"/>
      <c r="N833" s="77"/>
      <c r="O833" s="77"/>
      <c r="P833" s="77"/>
      <c r="Q833" s="77"/>
      <c r="R833" s="77"/>
      <c r="S833" s="77"/>
      <c r="T833" s="77"/>
      <c r="U833" s="77"/>
      <c r="V833" s="77"/>
      <c r="W833" s="77"/>
      <c r="X833" s="77"/>
      <c r="Y833" s="77"/>
      <c r="Z833" s="77"/>
      <c r="AA833" s="77"/>
      <c r="AB833" s="77"/>
      <c r="AC833" s="77"/>
      <c r="AD833" s="111"/>
      <c r="AE833" s="77"/>
      <c r="AF833" s="77"/>
      <c r="AG833" s="66" t="s">
        <v>648</v>
      </c>
    </row>
    <row r="834" spans="1:33" s="116" customFormat="1" ht="20.100000000000001" hidden="1" customHeight="1">
      <c r="A834" s="16" t="s">
        <v>26</v>
      </c>
      <c r="B834" s="275">
        <v>2016</v>
      </c>
      <c r="C834" s="14" t="s">
        <v>73</v>
      </c>
      <c r="D834" s="27" t="s">
        <v>202</v>
      </c>
      <c r="E834" s="66"/>
      <c r="F834" s="66"/>
      <c r="G834" s="254"/>
      <c r="H834" s="168">
        <f t="shared" si="58"/>
        <v>0</v>
      </c>
      <c r="I834" s="250"/>
      <c r="J834" s="250"/>
      <c r="K834" s="77"/>
      <c r="L834" s="77"/>
      <c r="M834" s="77"/>
      <c r="N834" s="77"/>
      <c r="O834" s="77"/>
      <c r="P834" s="77"/>
      <c r="Q834" s="77"/>
      <c r="R834" s="77"/>
      <c r="S834" s="77"/>
      <c r="T834" s="77"/>
      <c r="U834" s="77"/>
      <c r="V834" s="77"/>
      <c r="W834" s="77"/>
      <c r="X834" s="77"/>
      <c r="Y834" s="77"/>
      <c r="Z834" s="77"/>
      <c r="AA834" s="77"/>
      <c r="AB834" s="77"/>
      <c r="AC834" s="77"/>
      <c r="AD834" s="111"/>
      <c r="AE834" s="77"/>
      <c r="AF834" s="77"/>
      <c r="AG834" s="77" t="s">
        <v>546</v>
      </c>
    </row>
    <row r="835" spans="1:33" s="116" customFormat="1" ht="20.100000000000001" hidden="1" customHeight="1">
      <c r="A835" s="16" t="s">
        <v>26</v>
      </c>
      <c r="B835" s="275">
        <v>2018</v>
      </c>
      <c r="C835" s="14" t="s">
        <v>73</v>
      </c>
      <c r="D835" s="9" t="s">
        <v>505</v>
      </c>
      <c r="E835" s="66" t="s">
        <v>639</v>
      </c>
      <c r="F835" s="66"/>
      <c r="G835" s="253">
        <f>G851-(G851*(2.4%))</f>
        <v>575.93759999999997</v>
      </c>
      <c r="H835" s="168">
        <f t="shared" ref="H835:H850" si="59">G835/0.846772667108111</f>
        <v>680.15610608563441</v>
      </c>
      <c r="I835" s="248"/>
      <c r="J835" s="248"/>
      <c r="K835" s="77"/>
      <c r="L835" s="77"/>
      <c r="M835" s="77"/>
      <c r="N835" s="77"/>
      <c r="O835" s="77"/>
      <c r="P835" s="77"/>
      <c r="Q835" s="77"/>
      <c r="R835" s="77"/>
      <c r="S835" s="77"/>
      <c r="T835" s="77"/>
      <c r="U835" s="77"/>
      <c r="V835" s="77"/>
      <c r="W835" s="77"/>
      <c r="X835" s="77"/>
      <c r="Y835" s="77"/>
      <c r="Z835" s="77"/>
      <c r="AA835" s="77"/>
      <c r="AB835" s="77"/>
      <c r="AC835" s="77"/>
      <c r="AD835" s="111"/>
      <c r="AE835" s="77"/>
      <c r="AF835" s="77"/>
      <c r="AG835" s="66" t="s">
        <v>650</v>
      </c>
    </row>
    <row r="836" spans="1:33" s="116" customFormat="1" ht="20.100000000000001" hidden="1" customHeight="1">
      <c r="A836" s="16" t="s">
        <v>26</v>
      </c>
      <c r="B836" s="275">
        <v>2018</v>
      </c>
      <c r="C836" s="14" t="s">
        <v>73</v>
      </c>
      <c r="D836" s="83" t="s">
        <v>610</v>
      </c>
      <c r="E836" s="66" t="s">
        <v>611</v>
      </c>
      <c r="F836" s="66"/>
      <c r="G836" s="253">
        <f>G852-(G852*(10%))</f>
        <v>319.5</v>
      </c>
      <c r="H836" s="168">
        <f t="shared" si="59"/>
        <v>377.31496588234592</v>
      </c>
      <c r="I836" s="248"/>
      <c r="J836" s="248"/>
      <c r="K836" s="77"/>
      <c r="L836" s="77"/>
      <c r="M836" s="77"/>
      <c r="N836" s="77"/>
      <c r="O836" s="77"/>
      <c r="P836" s="77"/>
      <c r="Q836" s="77"/>
      <c r="R836" s="77"/>
      <c r="S836" s="77"/>
      <c r="T836" s="77"/>
      <c r="U836" s="77"/>
      <c r="V836" s="77"/>
      <c r="W836" s="77"/>
      <c r="X836" s="77"/>
      <c r="Y836" s="77"/>
      <c r="Z836" s="77"/>
      <c r="AA836" s="77"/>
      <c r="AB836" s="77"/>
      <c r="AC836" s="77"/>
      <c r="AD836" s="111"/>
      <c r="AE836" s="77"/>
      <c r="AF836" s="77"/>
      <c r="AG836" s="66" t="s">
        <v>651</v>
      </c>
    </row>
    <row r="837" spans="1:33" s="116" customFormat="1" ht="20.100000000000001" hidden="1" customHeight="1">
      <c r="A837" s="16" t="s">
        <v>26</v>
      </c>
      <c r="B837" s="275">
        <v>2018</v>
      </c>
      <c r="C837" s="14" t="s">
        <v>73</v>
      </c>
      <c r="D837" s="83" t="s">
        <v>591</v>
      </c>
      <c r="E837" s="66" t="s">
        <v>592</v>
      </c>
      <c r="F837" s="66"/>
      <c r="G837" s="253">
        <f>G853-(G853*(3.7%))</f>
        <v>317.79000000000002</v>
      </c>
      <c r="H837" s="168">
        <f t="shared" si="59"/>
        <v>375.29553367058128</v>
      </c>
      <c r="I837" s="248"/>
      <c r="J837" s="248"/>
      <c r="K837" s="77"/>
      <c r="L837" s="77"/>
      <c r="M837" s="77"/>
      <c r="N837" s="77"/>
      <c r="O837" s="77"/>
      <c r="P837" s="77"/>
      <c r="Q837" s="77"/>
      <c r="R837" s="77"/>
      <c r="S837" s="77"/>
      <c r="T837" s="77"/>
      <c r="U837" s="77"/>
      <c r="V837" s="77"/>
      <c r="W837" s="77"/>
      <c r="X837" s="77"/>
      <c r="Y837" s="77"/>
      <c r="Z837" s="77"/>
      <c r="AA837" s="77"/>
      <c r="AB837" s="77"/>
      <c r="AC837" s="77"/>
      <c r="AD837" s="111"/>
      <c r="AE837" s="77"/>
      <c r="AF837" s="77"/>
      <c r="AG837" s="66" t="s">
        <v>650</v>
      </c>
    </row>
    <row r="838" spans="1:33" ht="20.100000000000001" hidden="1" customHeight="1">
      <c r="A838" s="16" t="s">
        <v>26</v>
      </c>
      <c r="B838" s="275">
        <v>2018</v>
      </c>
      <c r="C838" s="14" t="s">
        <v>73</v>
      </c>
      <c r="D838" s="83" t="s">
        <v>618</v>
      </c>
      <c r="E838" s="66" t="s">
        <v>641</v>
      </c>
      <c r="F838" s="66"/>
      <c r="G838" s="253">
        <f>G854-(309*(5.6%))</f>
        <v>291.69600000000003</v>
      </c>
      <c r="H838" s="168">
        <f t="shared" si="59"/>
        <v>344.47970669175834</v>
      </c>
      <c r="I838" s="248"/>
      <c r="J838" s="248"/>
      <c r="AB838" s="77"/>
      <c r="AG838" s="66" t="s">
        <v>650</v>
      </c>
    </row>
    <row r="839" spans="1:33" ht="20.100000000000001" hidden="1" customHeight="1">
      <c r="A839" s="16" t="s">
        <v>26</v>
      </c>
      <c r="B839" s="275">
        <v>2018</v>
      </c>
      <c r="C839" s="14" t="s">
        <v>73</v>
      </c>
      <c r="D839" s="83" t="s">
        <v>442</v>
      </c>
      <c r="E839" s="66" t="s">
        <v>597</v>
      </c>
      <c r="F839" s="66"/>
      <c r="G839" s="253">
        <v>300</v>
      </c>
      <c r="H839" s="168">
        <f t="shared" si="59"/>
        <v>354.28635294116992</v>
      </c>
      <c r="I839" s="248"/>
      <c r="J839" s="248"/>
      <c r="AB839" s="77"/>
      <c r="AG839" s="66" t="s">
        <v>651</v>
      </c>
    </row>
    <row r="840" spans="1:33" ht="20.100000000000001" hidden="1" customHeight="1">
      <c r="A840" s="16" t="s">
        <v>26</v>
      </c>
      <c r="B840" s="275">
        <v>2018</v>
      </c>
      <c r="C840" s="14" t="s">
        <v>73</v>
      </c>
      <c r="D840" s="125" t="s">
        <v>624</v>
      </c>
      <c r="E840" s="66" t="s">
        <v>625</v>
      </c>
      <c r="F840" s="66"/>
      <c r="G840" s="253">
        <f>G856-(G856*(3.4%))</f>
        <v>267.58199999999999</v>
      </c>
      <c r="H840" s="168">
        <f t="shared" si="59"/>
        <v>316.0021696423471</v>
      </c>
      <c r="I840" s="248"/>
      <c r="J840" s="248"/>
      <c r="AB840" s="77"/>
      <c r="AG840" s="66" t="s">
        <v>650</v>
      </c>
    </row>
    <row r="841" spans="1:33" ht="20.100000000000001" hidden="1" customHeight="1">
      <c r="A841" s="16" t="s">
        <v>26</v>
      </c>
      <c r="B841" s="275">
        <v>2018</v>
      </c>
      <c r="C841" s="14" t="s">
        <v>73</v>
      </c>
      <c r="D841" s="123" t="s">
        <v>594</v>
      </c>
      <c r="E841" s="35" t="s">
        <v>595</v>
      </c>
      <c r="F841" s="35"/>
      <c r="G841" s="253">
        <f>G857+(G857*(2%))</f>
        <v>255</v>
      </c>
      <c r="H841" s="168">
        <f t="shared" si="59"/>
        <v>301.14339999999441</v>
      </c>
      <c r="I841" s="248"/>
      <c r="J841" s="248"/>
      <c r="AB841" s="77"/>
      <c r="AG841" s="66" t="s">
        <v>650</v>
      </c>
    </row>
    <row r="842" spans="1:33" ht="20.100000000000001" hidden="1" customHeight="1">
      <c r="A842" s="16" t="s">
        <v>26</v>
      </c>
      <c r="B842" s="275">
        <v>2018</v>
      </c>
      <c r="C842" s="14" t="s">
        <v>73</v>
      </c>
      <c r="D842" s="83" t="s">
        <v>645</v>
      </c>
      <c r="E842" s="62" t="s">
        <v>628</v>
      </c>
      <c r="F842" s="66"/>
      <c r="G842" s="253">
        <f>G858-(G858*(2.1%))</f>
        <v>204.51310000000001</v>
      </c>
      <c r="H842" s="168">
        <f t="shared" si="59"/>
        <v>241.52066775897592</v>
      </c>
      <c r="I842" s="248"/>
      <c r="J842" s="248"/>
      <c r="AB842" s="77"/>
      <c r="AG842" s="66" t="s">
        <v>650</v>
      </c>
    </row>
    <row r="843" spans="1:33" ht="20.100000000000001" hidden="1" customHeight="1">
      <c r="A843" s="16" t="s">
        <v>26</v>
      </c>
      <c r="B843" s="275">
        <v>2018</v>
      </c>
      <c r="C843" s="14" t="s">
        <v>73</v>
      </c>
      <c r="D843" s="83" t="s">
        <v>652</v>
      </c>
      <c r="E843" s="66"/>
      <c r="F843" s="66"/>
      <c r="G843" s="253">
        <f>G859+(198.6*(1.2%))</f>
        <v>200.98319999999998</v>
      </c>
      <c r="H843" s="168">
        <f t="shared" si="59"/>
        <v>237.35201643481909</v>
      </c>
      <c r="I843" s="248"/>
      <c r="J843" s="248"/>
      <c r="AB843" s="77"/>
      <c r="AG843" s="66" t="s">
        <v>650</v>
      </c>
    </row>
    <row r="844" spans="1:33" ht="20.100000000000001" hidden="1" customHeight="1">
      <c r="A844" s="16" t="s">
        <v>26</v>
      </c>
      <c r="B844" s="275">
        <v>2018</v>
      </c>
      <c r="C844" s="14" t="s">
        <v>73</v>
      </c>
      <c r="D844" s="83" t="s">
        <v>617</v>
      </c>
      <c r="E844" s="66"/>
      <c r="F844" s="66"/>
      <c r="G844" s="253">
        <f>G860+(G860*(0.9%))</f>
        <v>162.44900000000001</v>
      </c>
      <c r="H844" s="168">
        <f t="shared" si="59"/>
        <v>191.8448791631337</v>
      </c>
      <c r="I844" s="248"/>
      <c r="J844" s="248"/>
      <c r="AB844" s="77"/>
      <c r="AG844" s="66" t="s">
        <v>650</v>
      </c>
    </row>
    <row r="845" spans="1:33" ht="20.100000000000001" hidden="1" customHeight="1">
      <c r="A845" s="16" t="s">
        <v>26</v>
      </c>
      <c r="B845" s="275">
        <v>2018</v>
      </c>
      <c r="C845" s="14" t="s">
        <v>73</v>
      </c>
      <c r="D845" s="83" t="s">
        <v>632</v>
      </c>
      <c r="E845" s="66" t="s">
        <v>633</v>
      </c>
      <c r="F845" s="66"/>
      <c r="G845" s="253">
        <f>G861+(G861*(0.4%))</f>
        <v>139.35520000000002</v>
      </c>
      <c r="H845" s="168">
        <f t="shared" si="59"/>
        <v>164.57215190462443</v>
      </c>
      <c r="I845" s="248"/>
      <c r="J845" s="248"/>
      <c r="AB845" s="77"/>
      <c r="AG845" s="66" t="s">
        <v>650</v>
      </c>
    </row>
    <row r="846" spans="1:33" ht="20.100000000000001" hidden="1" customHeight="1">
      <c r="A846" s="16" t="s">
        <v>26</v>
      </c>
      <c r="B846" s="275">
        <v>2018</v>
      </c>
      <c r="C846" s="14" t="s">
        <v>73</v>
      </c>
      <c r="D846" s="83" t="s">
        <v>646</v>
      </c>
      <c r="E846" s="66"/>
      <c r="F846" s="66"/>
      <c r="G846" s="253">
        <f>G862+(G862*(3.4%))</f>
        <v>139.38320000000002</v>
      </c>
      <c r="H846" s="168">
        <f t="shared" si="59"/>
        <v>164.60521863089892</v>
      </c>
      <c r="I846" s="248"/>
      <c r="J846" s="248"/>
      <c r="AB846" s="77"/>
      <c r="AG846" s="66" t="s">
        <v>650</v>
      </c>
    </row>
    <row r="847" spans="1:33" ht="20.100000000000001" hidden="1" customHeight="1">
      <c r="A847" s="16" t="s">
        <v>26</v>
      </c>
      <c r="B847" s="275">
        <v>2018</v>
      </c>
      <c r="C847" s="14" t="s">
        <v>73</v>
      </c>
      <c r="D847" s="83" t="s">
        <v>630</v>
      </c>
      <c r="E847" s="66"/>
      <c r="F847" s="66"/>
      <c r="G847" s="253">
        <f>G863+(G863*(7.4%))</f>
        <v>135.32400000000001</v>
      </c>
      <c r="H847" s="168">
        <f t="shared" si="59"/>
        <v>159.81148808470294</v>
      </c>
      <c r="I847" s="248"/>
      <c r="J847" s="248"/>
      <c r="AB847" s="77"/>
      <c r="AG847" s="66" t="s">
        <v>650</v>
      </c>
    </row>
    <row r="848" spans="1:33" ht="20.100000000000001" hidden="1" customHeight="1">
      <c r="A848" s="16" t="s">
        <v>26</v>
      </c>
      <c r="B848" s="275">
        <v>2018</v>
      </c>
      <c r="C848" s="14" t="s">
        <v>73</v>
      </c>
      <c r="D848" s="9" t="s">
        <v>609</v>
      </c>
      <c r="E848" s="9" t="s">
        <v>609</v>
      </c>
      <c r="F848" s="66"/>
      <c r="G848" s="253">
        <v>100</v>
      </c>
      <c r="H848" s="168">
        <f t="shared" si="59"/>
        <v>118.09545098038997</v>
      </c>
      <c r="I848" s="250"/>
      <c r="J848" s="250"/>
      <c r="AB848" s="77"/>
      <c r="AG848" s="66" t="s">
        <v>650</v>
      </c>
    </row>
    <row r="849" spans="1:33" ht="20.100000000000001" hidden="1" customHeight="1">
      <c r="A849" s="16" t="s">
        <v>26</v>
      </c>
      <c r="B849" s="275">
        <v>2018</v>
      </c>
      <c r="C849" s="14" t="s">
        <v>73</v>
      </c>
      <c r="D849" s="83" t="s">
        <v>637</v>
      </c>
      <c r="E849" s="66"/>
      <c r="F849" s="66"/>
      <c r="G849" s="253">
        <f>G865+(G865*(5%))</f>
        <v>104.78999999999999</v>
      </c>
      <c r="H849" s="168">
        <f t="shared" si="59"/>
        <v>123.75222308235064</v>
      </c>
      <c r="I849" s="248"/>
      <c r="J849" s="248"/>
      <c r="AB849" s="77"/>
      <c r="AG849" s="66" t="s">
        <v>650</v>
      </c>
    </row>
    <row r="850" spans="1:33" ht="20.100000000000001" hidden="1" customHeight="1">
      <c r="A850" s="16" t="s">
        <v>26</v>
      </c>
      <c r="B850" s="275">
        <v>2018</v>
      </c>
      <c r="C850" s="14" t="s">
        <v>73</v>
      </c>
      <c r="D850" s="27" t="s">
        <v>202</v>
      </c>
      <c r="E850" s="66"/>
      <c r="F850" s="66"/>
      <c r="G850" s="246">
        <v>5619.6966999999995</v>
      </c>
      <c r="H850" s="168">
        <f t="shared" si="59"/>
        <v>6636.6061615950921</v>
      </c>
      <c r="I850" s="250"/>
      <c r="J850" s="250"/>
      <c r="AB850" s="77"/>
      <c r="AG850" s="77" t="s">
        <v>546</v>
      </c>
    </row>
    <row r="851" spans="1:33" ht="20.100000000000001" hidden="1" customHeight="1">
      <c r="A851" s="16" t="s">
        <v>26</v>
      </c>
      <c r="B851" s="275">
        <v>2019</v>
      </c>
      <c r="C851" s="14" t="s">
        <v>73</v>
      </c>
      <c r="D851" s="9" t="s">
        <v>505</v>
      </c>
      <c r="E851" s="66" t="s">
        <v>639</v>
      </c>
      <c r="F851" s="66"/>
      <c r="G851" s="246">
        <v>590.1</v>
      </c>
      <c r="H851" s="170">
        <f t="shared" ref="H851:H866" si="60">G851/0.893276257067409</f>
        <v>660.60190823528126</v>
      </c>
      <c r="I851" s="227">
        <f>(G851/'Total Revenue (Millions)'!$D$177)*100</f>
        <v>13.852535406010045</v>
      </c>
      <c r="J851" s="227"/>
      <c r="AB851" s="77"/>
      <c r="AG851" s="66" t="s">
        <v>653</v>
      </c>
    </row>
    <row r="852" spans="1:33" ht="20.100000000000001" hidden="1" customHeight="1">
      <c r="A852" s="16" t="s">
        <v>26</v>
      </c>
      <c r="B852" s="275">
        <v>2019</v>
      </c>
      <c r="C852" s="14" t="s">
        <v>73</v>
      </c>
      <c r="D852" s="83" t="s">
        <v>610</v>
      </c>
      <c r="E852" s="66" t="s">
        <v>611</v>
      </c>
      <c r="F852" s="66"/>
      <c r="G852" s="246">
        <v>355</v>
      </c>
      <c r="H852" s="170">
        <f t="shared" si="60"/>
        <v>397.41345098038443</v>
      </c>
      <c r="I852" s="227">
        <f>(G852/'Total Revenue (Millions)'!$D$177)*100</f>
        <v>8.3335876446933828</v>
      </c>
      <c r="J852" s="227"/>
      <c r="AB852" s="77"/>
      <c r="AG852" s="66" t="s">
        <v>654</v>
      </c>
    </row>
    <row r="853" spans="1:33" ht="20.100000000000001" hidden="1" customHeight="1">
      <c r="A853" s="16" t="s">
        <v>26</v>
      </c>
      <c r="B853" s="275">
        <v>2019</v>
      </c>
      <c r="C853" s="14" t="s">
        <v>73</v>
      </c>
      <c r="D853" s="83" t="s">
        <v>591</v>
      </c>
      <c r="E853" s="66" t="s">
        <v>592</v>
      </c>
      <c r="F853" s="66"/>
      <c r="G853" s="246">
        <v>330</v>
      </c>
      <c r="H853" s="170">
        <f t="shared" si="60"/>
        <v>369.42658823528689</v>
      </c>
      <c r="I853" s="227">
        <f>(G853/'Total Revenue (Millions)'!$D$177)*100</f>
        <v>7.7467152753487785</v>
      </c>
      <c r="J853" s="227"/>
      <c r="AB853" s="77"/>
      <c r="AG853" s="66" t="s">
        <v>653</v>
      </c>
    </row>
    <row r="854" spans="1:33" ht="20.100000000000001" hidden="1" customHeight="1">
      <c r="A854" s="16" t="s">
        <v>26</v>
      </c>
      <c r="B854" s="275">
        <v>2019</v>
      </c>
      <c r="C854" s="14" t="s">
        <v>73</v>
      </c>
      <c r="D854" s="83" t="s">
        <v>482</v>
      </c>
      <c r="E854" s="66" t="s">
        <v>641</v>
      </c>
      <c r="F854" s="66"/>
      <c r="G854" s="246">
        <v>309</v>
      </c>
      <c r="H854" s="170">
        <f t="shared" si="60"/>
        <v>345.91762352940503</v>
      </c>
      <c r="I854" s="227">
        <f>(G854/'Total Revenue (Millions)'!$D$177)*100</f>
        <v>7.2537424850993109</v>
      </c>
      <c r="J854" s="227"/>
      <c r="AB854" s="77"/>
      <c r="AG854" s="66" t="s">
        <v>655</v>
      </c>
    </row>
    <row r="855" spans="1:33" ht="20.100000000000001" hidden="1" customHeight="1">
      <c r="A855" s="16" t="s">
        <v>26</v>
      </c>
      <c r="B855" s="275">
        <v>2019</v>
      </c>
      <c r="C855" s="14" t="s">
        <v>73</v>
      </c>
      <c r="D855" s="83" t="s">
        <v>442</v>
      </c>
      <c r="E855" s="66" t="s">
        <v>597</v>
      </c>
      <c r="F855" s="66"/>
      <c r="G855" s="246">
        <v>300</v>
      </c>
      <c r="H855" s="170">
        <f t="shared" si="60"/>
        <v>335.84235294116991</v>
      </c>
      <c r="I855" s="227">
        <f>(G855/'Total Revenue (Millions)'!$D$177)*100</f>
        <v>7.0424684321352533</v>
      </c>
      <c r="J855" s="227"/>
      <c r="AB855" s="77"/>
      <c r="AG855" s="66" t="s">
        <v>654</v>
      </c>
    </row>
    <row r="856" spans="1:33" ht="20.100000000000001" hidden="1" customHeight="1">
      <c r="A856" s="16" t="s">
        <v>26</v>
      </c>
      <c r="B856" s="275">
        <v>2019</v>
      </c>
      <c r="C856" s="14" t="s">
        <v>73</v>
      </c>
      <c r="D856" s="125" t="s">
        <v>624</v>
      </c>
      <c r="E856" s="66" t="s">
        <v>625</v>
      </c>
      <c r="F856" s="62"/>
      <c r="G856" s="246">
        <v>277</v>
      </c>
      <c r="H856" s="170">
        <f t="shared" si="60"/>
        <v>310.09443921568021</v>
      </c>
      <c r="I856" s="227">
        <f>(G856/'Total Revenue (Millions)'!$D$177)*100</f>
        <v>6.5025458523382165</v>
      </c>
      <c r="J856" s="227"/>
      <c r="AB856" s="77"/>
      <c r="AG856" s="66" t="s">
        <v>653</v>
      </c>
    </row>
    <row r="857" spans="1:33" ht="20.100000000000001" hidden="1" customHeight="1">
      <c r="A857" s="16" t="s">
        <v>26</v>
      </c>
      <c r="B857" s="275">
        <v>2019</v>
      </c>
      <c r="C857" s="14" t="s">
        <v>73</v>
      </c>
      <c r="D857" s="9" t="s">
        <v>594</v>
      </c>
      <c r="E857" s="35" t="s">
        <v>595</v>
      </c>
      <c r="F857" s="84"/>
      <c r="G857" s="246">
        <v>250</v>
      </c>
      <c r="H857" s="170">
        <f t="shared" si="60"/>
        <v>279.86862745097494</v>
      </c>
      <c r="I857" s="227">
        <f>(G857/'Total Revenue (Millions)'!$D$177)*100</f>
        <v>5.8687236934460447</v>
      </c>
      <c r="J857" s="227"/>
      <c r="AB857" s="77"/>
      <c r="AG857" s="66" t="s">
        <v>653</v>
      </c>
    </row>
    <row r="858" spans="1:33" ht="20.100000000000001" hidden="1" customHeight="1">
      <c r="A858" s="16" t="s">
        <v>26</v>
      </c>
      <c r="B858" s="275">
        <v>2019</v>
      </c>
      <c r="C858" s="14" t="s">
        <v>73</v>
      </c>
      <c r="D858" s="27" t="s">
        <v>645</v>
      </c>
      <c r="E858" s="62" t="s">
        <v>628</v>
      </c>
      <c r="F858" s="66"/>
      <c r="G858" s="246">
        <v>208.9</v>
      </c>
      <c r="H858" s="170">
        <f t="shared" si="60"/>
        <v>233.85822509803467</v>
      </c>
      <c r="I858" s="227">
        <f>(G858/'Total Revenue (Millions)'!$D$177)*100</f>
        <v>4.9039055182435147</v>
      </c>
      <c r="J858" s="227"/>
      <c r="AB858" s="77"/>
      <c r="AG858" s="66" t="s">
        <v>653</v>
      </c>
    </row>
    <row r="859" spans="1:33" ht="20.100000000000001" hidden="1" customHeight="1">
      <c r="A859" s="16" t="s">
        <v>26</v>
      </c>
      <c r="B859" s="275">
        <v>2019</v>
      </c>
      <c r="C859" s="14" t="s">
        <v>73</v>
      </c>
      <c r="D859" s="27" t="s">
        <v>606</v>
      </c>
      <c r="E859" s="66"/>
      <c r="F859" s="66"/>
      <c r="G859" s="246">
        <v>198.6</v>
      </c>
      <c r="H859" s="170">
        <f t="shared" si="60"/>
        <v>222.32763764705447</v>
      </c>
      <c r="I859" s="227">
        <f>(G859/'Total Revenue (Millions)'!$D$177)*100</f>
        <v>4.6621141020735379</v>
      </c>
      <c r="J859" s="227"/>
      <c r="AB859" s="77"/>
      <c r="AG859" s="66" t="s">
        <v>653</v>
      </c>
    </row>
    <row r="860" spans="1:33" ht="20.100000000000001" hidden="1" customHeight="1">
      <c r="A860" s="16" t="s">
        <v>26</v>
      </c>
      <c r="B860" s="275">
        <v>2019</v>
      </c>
      <c r="C860" s="14" t="s">
        <v>73</v>
      </c>
      <c r="D860" s="27" t="s">
        <v>617</v>
      </c>
      <c r="E860" s="66"/>
      <c r="F860" s="66"/>
      <c r="G860" s="246">
        <v>161</v>
      </c>
      <c r="H860" s="170">
        <f t="shared" si="60"/>
        <v>180.23539607842787</v>
      </c>
      <c r="I860" s="227">
        <f>(G860/'Total Revenue (Millions)'!$D$177)*100</f>
        <v>3.7794580585792525</v>
      </c>
      <c r="J860" s="227"/>
      <c r="AB860" s="77"/>
      <c r="AG860" s="66" t="s">
        <v>653</v>
      </c>
    </row>
    <row r="861" spans="1:33" ht="20.100000000000001" hidden="1" customHeight="1">
      <c r="A861" s="16" t="s">
        <v>26</v>
      </c>
      <c r="B861" s="275">
        <v>2019</v>
      </c>
      <c r="C861" s="14" t="s">
        <v>73</v>
      </c>
      <c r="D861" s="27" t="s">
        <v>632</v>
      </c>
      <c r="E861" s="66" t="s">
        <v>633</v>
      </c>
      <c r="F861" s="66"/>
      <c r="G861" s="246">
        <v>138.80000000000001</v>
      </c>
      <c r="H861" s="170">
        <f t="shared" si="60"/>
        <v>155.3830619607813</v>
      </c>
      <c r="I861" s="227">
        <f>(G861/'Total Revenue (Millions)'!$D$177)*100</f>
        <v>3.2583153946012438</v>
      </c>
      <c r="J861" s="227"/>
      <c r="AB861" s="77"/>
      <c r="AG861" s="66" t="s">
        <v>653</v>
      </c>
    </row>
    <row r="862" spans="1:33" ht="20.100000000000001" hidden="1" customHeight="1">
      <c r="A862" s="16" t="s">
        <v>26</v>
      </c>
      <c r="B862" s="275">
        <v>2019</v>
      </c>
      <c r="C862" s="14" t="s">
        <v>73</v>
      </c>
      <c r="D862" s="27" t="s">
        <v>646</v>
      </c>
      <c r="E862" s="66"/>
      <c r="F862" s="66"/>
      <c r="G862" s="246">
        <v>134.80000000000001</v>
      </c>
      <c r="H862" s="170">
        <f t="shared" si="60"/>
        <v>150.9051639215657</v>
      </c>
      <c r="I862" s="227">
        <f>(G862/'Total Revenue (Millions)'!$D$177)*100</f>
        <v>3.1644158155061075</v>
      </c>
      <c r="J862" s="227"/>
      <c r="AB862" s="77"/>
      <c r="AG862" s="66" t="s">
        <v>653</v>
      </c>
    </row>
    <row r="863" spans="1:33" ht="20.100000000000001" hidden="1" customHeight="1">
      <c r="A863" s="16" t="s">
        <v>26</v>
      </c>
      <c r="B863" s="275">
        <v>2019</v>
      </c>
      <c r="C863" s="14" t="s">
        <v>73</v>
      </c>
      <c r="D863" s="27" t="s">
        <v>630</v>
      </c>
      <c r="E863" s="66"/>
      <c r="F863" s="66"/>
      <c r="G863" s="246">
        <v>126</v>
      </c>
      <c r="H863" s="170">
        <f t="shared" si="60"/>
        <v>141.05378823529136</v>
      </c>
      <c r="I863" s="227">
        <f>(G863/'Total Revenue (Millions)'!$D$177)*100</f>
        <v>2.9578367414968065</v>
      </c>
      <c r="J863" s="227"/>
      <c r="AB863" s="77"/>
      <c r="AG863" s="66" t="s">
        <v>653</v>
      </c>
    </row>
    <row r="864" spans="1:33" ht="20.100000000000001" hidden="1" customHeight="1">
      <c r="A864" s="16" t="s">
        <v>26</v>
      </c>
      <c r="B864" s="275">
        <v>2019</v>
      </c>
      <c r="C864" s="14" t="s">
        <v>73</v>
      </c>
      <c r="D864" s="9" t="s">
        <v>609</v>
      </c>
      <c r="E864" s="9" t="s">
        <v>609</v>
      </c>
      <c r="F864" s="66"/>
      <c r="G864" s="246">
        <v>100</v>
      </c>
      <c r="H864" s="170">
        <f t="shared" si="60"/>
        <v>111.94745098038997</v>
      </c>
      <c r="I864" s="227">
        <f>(G864/'Total Revenue (Millions)'!$D$177)*100</f>
        <v>2.3474894773784181</v>
      </c>
      <c r="J864" s="227"/>
      <c r="AB864" s="77"/>
      <c r="AG864" s="66" t="s">
        <v>653</v>
      </c>
    </row>
    <row r="865" spans="1:33" ht="20.100000000000001" hidden="1" customHeight="1">
      <c r="A865" s="16" t="s">
        <v>26</v>
      </c>
      <c r="B865" s="275">
        <v>2019</v>
      </c>
      <c r="C865" s="14" t="s">
        <v>73</v>
      </c>
      <c r="D865" s="27" t="s">
        <v>637</v>
      </c>
      <c r="E865" s="66"/>
      <c r="F865" s="66"/>
      <c r="G865" s="246">
        <v>99.8</v>
      </c>
      <c r="H865" s="170">
        <f t="shared" si="60"/>
        <v>111.72355607842918</v>
      </c>
      <c r="I865" s="227">
        <f>(G865/'Total Revenue (Millions)'!$D$177)*100</f>
        <v>2.3427944984236606</v>
      </c>
      <c r="J865" s="227"/>
      <c r="AB865" s="77"/>
      <c r="AG865" s="66" t="s">
        <v>653</v>
      </c>
    </row>
    <row r="866" spans="1:33" ht="20.100000000000001" hidden="1" customHeight="1">
      <c r="A866" s="16" t="s">
        <v>26</v>
      </c>
      <c r="B866" s="275">
        <v>2019</v>
      </c>
      <c r="C866" s="14" t="s">
        <v>73</v>
      </c>
      <c r="D866" s="27" t="s">
        <v>202</v>
      </c>
      <c r="E866" s="66"/>
      <c r="F866" s="66"/>
      <c r="G866" s="246">
        <v>5712</v>
      </c>
      <c r="H866" s="170">
        <f t="shared" si="60"/>
        <v>6394.4383999998754</v>
      </c>
      <c r="I866" s="227">
        <f>(G866/'Total Revenue (Millions)'!$D$177)*100</f>
        <v>134.08859894785522</v>
      </c>
      <c r="J866" s="227"/>
      <c r="AB866" s="77"/>
      <c r="AG866" s="77" t="s">
        <v>546</v>
      </c>
    </row>
    <row r="867" spans="1:33" ht="20.100000000000001" hidden="1" customHeight="1">
      <c r="A867" s="16" t="s">
        <v>26</v>
      </c>
      <c r="B867" s="275">
        <v>2021</v>
      </c>
      <c r="C867" s="14" t="s">
        <v>73</v>
      </c>
      <c r="D867" s="9" t="s">
        <v>505</v>
      </c>
      <c r="E867" s="66" t="s">
        <v>639</v>
      </c>
      <c r="F867" s="66"/>
      <c r="G867" s="246">
        <v>584.5</v>
      </c>
      <c r="H867" s="170">
        <f t="shared" ref="H867:H877" si="61">G867/0.84549413889045</f>
        <v>691.31171124029902</v>
      </c>
      <c r="I867" s="227">
        <f>(G867/'Total Revenue (Millions)'!$D$179)*100</f>
        <v>11.44375331614323</v>
      </c>
      <c r="J867" s="227"/>
      <c r="AB867" s="77"/>
      <c r="AG867" s="66" t="s">
        <v>656</v>
      </c>
    </row>
    <row r="868" spans="1:33" ht="20.100000000000001" hidden="1" customHeight="1">
      <c r="A868" s="16" t="s">
        <v>26</v>
      </c>
      <c r="B868" s="275">
        <v>2021</v>
      </c>
      <c r="C868" s="14" t="s">
        <v>73</v>
      </c>
      <c r="D868" s="27" t="s">
        <v>591</v>
      </c>
      <c r="E868" s="66" t="s">
        <v>592</v>
      </c>
      <c r="F868" s="66"/>
      <c r="G868" s="246">
        <v>346</v>
      </c>
      <c r="H868" s="170">
        <f t="shared" si="61"/>
        <v>409.22814728681516</v>
      </c>
      <c r="I868" s="227">
        <f>(G868/'Total Revenue (Millions)'!$D$179)*100</f>
        <v>6.7742320742267879</v>
      </c>
      <c r="J868" s="227"/>
      <c r="AB868" s="77"/>
      <c r="AG868" s="66" t="s">
        <v>656</v>
      </c>
    </row>
    <row r="869" spans="1:33" ht="20.100000000000001" hidden="1" customHeight="1">
      <c r="A869" s="16" t="s">
        <v>26</v>
      </c>
      <c r="B869" s="275">
        <v>2021</v>
      </c>
      <c r="C869" s="14" t="s">
        <v>73</v>
      </c>
      <c r="D869" s="27" t="s">
        <v>482</v>
      </c>
      <c r="E869" s="66" t="s">
        <v>641</v>
      </c>
      <c r="F869" s="66"/>
      <c r="G869" s="246">
        <v>332</v>
      </c>
      <c r="H869" s="170">
        <f t="shared" si="61"/>
        <v>392.66978294573011</v>
      </c>
      <c r="I869" s="227">
        <f>(G869/'Total Revenue (Millions)'!$D$179)*100</f>
        <v>6.5001301983910214</v>
      </c>
      <c r="J869" s="227"/>
      <c r="AB869" s="77"/>
      <c r="AG869" s="66" t="s">
        <v>656</v>
      </c>
    </row>
    <row r="870" spans="1:33" ht="20.100000000000001" hidden="1" customHeight="1">
      <c r="A870" s="16" t="s">
        <v>26</v>
      </c>
      <c r="B870" s="275">
        <v>2021</v>
      </c>
      <c r="C870" s="14" t="s">
        <v>73</v>
      </c>
      <c r="D870" s="27" t="s">
        <v>610</v>
      </c>
      <c r="E870" s="66" t="s">
        <v>611</v>
      </c>
      <c r="F870" s="66"/>
      <c r="G870" s="246">
        <v>330</v>
      </c>
      <c r="H870" s="170">
        <f t="shared" si="61"/>
        <v>390.30430232557512</v>
      </c>
      <c r="I870" s="227">
        <f>(G870/'Total Revenue (Millions)'!$D$179)*100</f>
        <v>6.4609727875573411</v>
      </c>
      <c r="J870" s="227"/>
      <c r="AB870" s="77"/>
      <c r="AG870" s="66" t="s">
        <v>656</v>
      </c>
    </row>
    <row r="871" spans="1:33" ht="20.100000000000001" hidden="1" customHeight="1">
      <c r="A871" s="16" t="s">
        <v>26</v>
      </c>
      <c r="B871" s="275">
        <v>2021</v>
      </c>
      <c r="C871" s="14" t="s">
        <v>73</v>
      </c>
      <c r="D871" s="27" t="s">
        <v>442</v>
      </c>
      <c r="E871" s="66" t="s">
        <v>597</v>
      </c>
      <c r="F871" s="66"/>
      <c r="G871" s="246">
        <v>290</v>
      </c>
      <c r="H871" s="170">
        <f t="shared" si="61"/>
        <v>342.99468992247512</v>
      </c>
      <c r="I871" s="227">
        <f>(G871/'Total Revenue (Millions)'!$D$179)*100</f>
        <v>5.6778245708837236</v>
      </c>
      <c r="J871" s="227"/>
      <c r="AB871" s="77"/>
      <c r="AG871" s="66" t="s">
        <v>656</v>
      </c>
    </row>
    <row r="872" spans="1:33" ht="20.100000000000001" hidden="1" customHeight="1">
      <c r="A872" s="16" t="s">
        <v>26</v>
      </c>
      <c r="B872" s="275">
        <v>2021</v>
      </c>
      <c r="C872" s="14" t="s">
        <v>73</v>
      </c>
      <c r="D872" s="7" t="s">
        <v>624</v>
      </c>
      <c r="E872" s="66" t="s">
        <v>625</v>
      </c>
      <c r="F872" s="66"/>
      <c r="G872" s="246">
        <v>263.89999999999998</v>
      </c>
      <c r="H872" s="170">
        <f t="shared" si="61"/>
        <v>312.12516782945232</v>
      </c>
      <c r="I872" s="227">
        <f>(G872/'Total Revenue (Millions)'!$D$179)*100</f>
        <v>5.1668203595041877</v>
      </c>
      <c r="J872" s="227"/>
      <c r="AB872" s="77"/>
      <c r="AG872" s="66" t="s">
        <v>656</v>
      </c>
    </row>
    <row r="873" spans="1:33" ht="20.100000000000001" hidden="1" customHeight="1">
      <c r="A873" s="16" t="s">
        <v>26</v>
      </c>
      <c r="B873" s="275">
        <v>2021</v>
      </c>
      <c r="C873" s="14" t="s">
        <v>73</v>
      </c>
      <c r="D873" s="9" t="s">
        <v>594</v>
      </c>
      <c r="E873" s="35" t="s">
        <v>595</v>
      </c>
      <c r="F873" s="66"/>
      <c r="G873" s="246">
        <v>252</v>
      </c>
      <c r="H873" s="170">
        <f t="shared" si="61"/>
        <v>298.0505581395301</v>
      </c>
      <c r="I873" s="227">
        <f>(G873/'Total Revenue (Millions)'!$D$179)*100</f>
        <v>4.9338337650437873</v>
      </c>
      <c r="J873" s="227"/>
      <c r="AB873" s="77"/>
      <c r="AG873" s="66" t="s">
        <v>656</v>
      </c>
    </row>
    <row r="874" spans="1:33" ht="20.100000000000001" hidden="1" customHeight="1">
      <c r="A874" s="16" t="s">
        <v>26</v>
      </c>
      <c r="B874" s="275">
        <v>2021</v>
      </c>
      <c r="C874" s="14" t="s">
        <v>73</v>
      </c>
      <c r="D874" s="27" t="s">
        <v>645</v>
      </c>
      <c r="E874" s="62" t="s">
        <v>628</v>
      </c>
      <c r="F874" s="66"/>
      <c r="G874" s="246">
        <v>231.5</v>
      </c>
      <c r="H874" s="170">
        <f t="shared" si="61"/>
        <v>273.80438178294133</v>
      </c>
      <c r="I874" s="227">
        <f>(G874/'Total Revenue (Millions)'!$D$179)*100</f>
        <v>4.5324703039985597</v>
      </c>
      <c r="J874" s="227"/>
      <c r="AB874" s="77"/>
      <c r="AG874" s="66" t="s">
        <v>656</v>
      </c>
    </row>
    <row r="875" spans="1:33" ht="20.100000000000001" hidden="1" customHeight="1">
      <c r="A875" s="16" t="s">
        <v>26</v>
      </c>
      <c r="B875" s="275">
        <v>2021</v>
      </c>
      <c r="C875" s="14" t="s">
        <v>73</v>
      </c>
      <c r="D875" s="27" t="s">
        <v>657</v>
      </c>
      <c r="E875" s="66" t="s">
        <v>606</v>
      </c>
      <c r="F875" s="62"/>
      <c r="G875" s="246">
        <v>174.4</v>
      </c>
      <c r="H875" s="170">
        <f t="shared" si="61"/>
        <v>206.26991007751607</v>
      </c>
      <c r="I875" s="227">
        <f>(G875/'Total Revenue (Millions)'!$D$179)*100</f>
        <v>3.4145262246969703</v>
      </c>
      <c r="J875" s="227"/>
      <c r="AB875" s="77"/>
      <c r="AG875" s="66" t="s">
        <v>658</v>
      </c>
    </row>
    <row r="876" spans="1:33" ht="20.100000000000001" hidden="1" customHeight="1">
      <c r="A876" s="16" t="s">
        <v>26</v>
      </c>
      <c r="B876" s="275">
        <v>2021</v>
      </c>
      <c r="C876" s="14" t="s">
        <v>73</v>
      </c>
      <c r="D876" s="27" t="s">
        <v>659</v>
      </c>
      <c r="E876" s="62"/>
      <c r="F876" s="62"/>
      <c r="G876" s="246">
        <v>173.2</v>
      </c>
      <c r="H876" s="170">
        <f t="shared" si="61"/>
        <v>204.85062170542304</v>
      </c>
      <c r="I876" s="227">
        <f>(G876/'Total Revenue (Millions)'!$D$179)*100</f>
        <v>3.3910317781967616</v>
      </c>
      <c r="J876" s="227"/>
      <c r="AB876" s="77"/>
      <c r="AG876" s="66" t="s">
        <v>656</v>
      </c>
    </row>
    <row r="877" spans="1:33" ht="20.100000000000001" hidden="1" customHeight="1">
      <c r="A877" s="16" t="s">
        <v>26</v>
      </c>
      <c r="B877" s="275">
        <v>2021</v>
      </c>
      <c r="C877" s="14" t="s">
        <v>73</v>
      </c>
      <c r="D877" s="27" t="s">
        <v>202</v>
      </c>
      <c r="E877" s="62"/>
      <c r="F877" s="62"/>
      <c r="G877" s="246">
        <f>'Total Revenue (Millions)'!D179-SUM('Unified sheet'!G1445:G1454)</f>
        <v>5107.59</v>
      </c>
      <c r="H877" s="170">
        <f t="shared" si="61"/>
        <v>6040.9525803487404</v>
      </c>
      <c r="I877" s="227">
        <f>100-SUM(I867:I876)</f>
        <v>41.704404621357632</v>
      </c>
      <c r="J877" s="227"/>
      <c r="AB877" s="77"/>
      <c r="AG877" s="77" t="s">
        <v>546</v>
      </c>
    </row>
    <row r="878" spans="1:33" ht="20.100000000000001" hidden="1" customHeight="1">
      <c r="A878" s="16" t="s">
        <v>26</v>
      </c>
      <c r="B878" s="16">
        <v>2022</v>
      </c>
      <c r="C878" s="14" t="s">
        <v>73</v>
      </c>
      <c r="D878" s="9" t="s">
        <v>505</v>
      </c>
      <c r="E878" s="66" t="s">
        <v>639</v>
      </c>
      <c r="F878" s="66"/>
      <c r="G878" s="246">
        <v>517.79999999999995</v>
      </c>
      <c r="H878" s="170">
        <f t="shared" ref="H878:H886" si="62">G878/0.949623753156941</f>
        <v>545.26858482490479</v>
      </c>
      <c r="I878" s="227">
        <f>(G878/'Total Revenue (Millions)'!$D$180)*100</f>
        <v>9.5640224305694073</v>
      </c>
      <c r="J878" s="227"/>
      <c r="AB878" s="77"/>
      <c r="AG878" s="66" t="s">
        <v>660</v>
      </c>
    </row>
    <row r="879" spans="1:33" ht="20.100000000000001" hidden="1" customHeight="1">
      <c r="A879" s="16" t="s">
        <v>26</v>
      </c>
      <c r="B879" s="16">
        <v>2022</v>
      </c>
      <c r="C879" s="14" t="s">
        <v>73</v>
      </c>
      <c r="D879" s="27" t="s">
        <v>610</v>
      </c>
      <c r="E879" s="66" t="s">
        <v>611</v>
      </c>
      <c r="F879" s="66"/>
      <c r="G879" s="246">
        <v>370</v>
      </c>
      <c r="H879" s="170">
        <f t="shared" si="62"/>
        <v>389.62799610895092</v>
      </c>
      <c r="I879" s="227">
        <f>(G879/'Total Revenue (Millions)'!$D$180)*100</f>
        <v>6.8340832354397083</v>
      </c>
      <c r="J879" s="227"/>
      <c r="AB879" s="77"/>
      <c r="AG879" s="66" t="s">
        <v>660</v>
      </c>
    </row>
    <row r="880" spans="1:33" ht="20.100000000000001" hidden="1" customHeight="1">
      <c r="A880" s="16" t="s">
        <v>26</v>
      </c>
      <c r="B880" s="16">
        <v>2022</v>
      </c>
      <c r="C880" s="14" t="s">
        <v>73</v>
      </c>
      <c r="D880" s="27" t="s">
        <v>591</v>
      </c>
      <c r="E880" s="66" t="s">
        <v>592</v>
      </c>
      <c r="F880" s="66"/>
      <c r="G880" s="246">
        <v>349.6</v>
      </c>
      <c r="H880" s="170">
        <f t="shared" si="62"/>
        <v>368.14580389105203</v>
      </c>
      <c r="I880" s="227">
        <f>(G880/'Total Revenue (Millions)'!$D$180)*100</f>
        <v>6.4572851327289795</v>
      </c>
      <c r="J880" s="227"/>
      <c r="AB880" s="77"/>
      <c r="AG880" s="66" t="s">
        <v>660</v>
      </c>
    </row>
    <row r="881" spans="1:33" ht="20.100000000000001" hidden="1" customHeight="1">
      <c r="A881" s="16" t="s">
        <v>26</v>
      </c>
      <c r="B881" s="16">
        <v>2022</v>
      </c>
      <c r="C881" s="14" t="s">
        <v>73</v>
      </c>
      <c r="D881" s="27" t="s">
        <v>482</v>
      </c>
      <c r="E881" s="66" t="s">
        <v>641</v>
      </c>
      <c r="F881" s="66"/>
      <c r="G881" s="246">
        <v>313.7</v>
      </c>
      <c r="H881" s="170">
        <f t="shared" si="62"/>
        <v>330.34135778210242</v>
      </c>
      <c r="I881" s="227">
        <f>(G881/'Total Revenue (Millions)'!$D$180)*100</f>
        <v>5.7941943539390177</v>
      </c>
      <c r="J881" s="227"/>
      <c r="AB881" s="77"/>
      <c r="AG881" s="66" t="s">
        <v>660</v>
      </c>
    </row>
    <row r="882" spans="1:33" ht="20.100000000000001" hidden="1" customHeight="1">
      <c r="A882" s="16" t="s">
        <v>26</v>
      </c>
      <c r="B882" s="16">
        <v>2022</v>
      </c>
      <c r="C882" s="14" t="s">
        <v>73</v>
      </c>
      <c r="D882" s="27" t="s">
        <v>442</v>
      </c>
      <c r="E882" s="66" t="s">
        <v>597</v>
      </c>
      <c r="F882" s="66"/>
      <c r="G882" s="246">
        <v>290</v>
      </c>
      <c r="H882" s="170">
        <f t="shared" si="62"/>
        <v>305.38410505836697</v>
      </c>
      <c r="I882" s="227">
        <f>(G882/'Total Revenue (Millions)'!$D$180)*100</f>
        <v>5.3564436169662581</v>
      </c>
      <c r="J882" s="227"/>
      <c r="AB882" s="77"/>
      <c r="AG882" s="66" t="s">
        <v>660</v>
      </c>
    </row>
    <row r="883" spans="1:33" ht="20.100000000000001" hidden="1" customHeight="1">
      <c r="A883" s="16" t="s">
        <v>26</v>
      </c>
      <c r="B883" s="16">
        <v>2022</v>
      </c>
      <c r="C883" s="14" t="s">
        <v>73</v>
      </c>
      <c r="D883" s="7" t="s">
        <v>624</v>
      </c>
      <c r="E883" s="66" t="s">
        <v>625</v>
      </c>
      <c r="F883" s="66"/>
      <c r="G883" s="246">
        <v>284.5</v>
      </c>
      <c r="H883" s="170">
        <f t="shared" si="62"/>
        <v>299.59233754863931</v>
      </c>
      <c r="I883" s="227">
        <f>(G883/'Total Revenue (Millions)'!$D$180)*100</f>
        <v>5.2548558931962086</v>
      </c>
      <c r="J883" s="227"/>
      <c r="AB883" s="77"/>
      <c r="AG883" s="66" t="s">
        <v>660</v>
      </c>
    </row>
    <row r="884" spans="1:33" ht="20.100000000000001" hidden="1" customHeight="1">
      <c r="A884" s="16" t="s">
        <v>26</v>
      </c>
      <c r="B884" s="16">
        <v>2022</v>
      </c>
      <c r="C884" s="14" t="s">
        <v>73</v>
      </c>
      <c r="D884" s="9" t="s">
        <v>661</v>
      </c>
      <c r="E884" s="35" t="s">
        <v>595</v>
      </c>
      <c r="F884" s="62"/>
      <c r="G884" s="246">
        <v>249</v>
      </c>
      <c r="H884" s="170">
        <f t="shared" si="62"/>
        <v>262.20911089494263</v>
      </c>
      <c r="I884" s="227">
        <f>(G884/'Total Revenue (Millions)'!$D$180)*100</f>
        <v>4.5991533124986148</v>
      </c>
      <c r="J884" s="227"/>
      <c r="AB884" s="77"/>
      <c r="AG884" s="66" t="s">
        <v>660</v>
      </c>
    </row>
    <row r="885" spans="1:33" ht="20.100000000000001" hidden="1" customHeight="1">
      <c r="A885" s="16" t="s">
        <v>26</v>
      </c>
      <c r="B885" s="16">
        <v>2022</v>
      </c>
      <c r="C885" s="14" t="s">
        <v>73</v>
      </c>
      <c r="D885" s="27" t="s">
        <v>645</v>
      </c>
      <c r="E885" s="62" t="s">
        <v>628</v>
      </c>
      <c r="F885" s="62"/>
      <c r="G885" s="246">
        <v>240.8</v>
      </c>
      <c r="H885" s="170">
        <f t="shared" si="62"/>
        <v>253.5741120622578</v>
      </c>
      <c r="I885" s="227">
        <f>(G885/'Total Revenue (Millions)'!$D$180)*100</f>
        <v>4.4476952516050865</v>
      </c>
      <c r="J885" s="227"/>
      <c r="AB885" s="77"/>
      <c r="AG885" s="66" t="s">
        <v>660</v>
      </c>
    </row>
    <row r="886" spans="1:33" ht="20.100000000000001" hidden="1" customHeight="1">
      <c r="A886" s="16" t="s">
        <v>26</v>
      </c>
      <c r="B886" s="16">
        <v>2022</v>
      </c>
      <c r="C886" s="14" t="s">
        <v>73</v>
      </c>
      <c r="D886" s="27" t="s">
        <v>202</v>
      </c>
      <c r="E886" s="62"/>
      <c r="F886" s="62"/>
      <c r="G886" s="246">
        <f>'Total Revenue (Millions)'!D180-SUM('Unified sheet'!G1456:G1463)</f>
        <v>5414.04</v>
      </c>
      <c r="H886" s="170">
        <f t="shared" si="62"/>
        <v>5701.2474487937961</v>
      </c>
      <c r="I886" s="227">
        <f>100-SUM(I878:I885)</f>
        <v>51.692266773056716</v>
      </c>
      <c r="J886" s="227"/>
      <c r="AB886" s="77"/>
      <c r="AG886" s="77" t="s">
        <v>546</v>
      </c>
    </row>
    <row r="887" spans="1:33" ht="20.100000000000001" hidden="1" customHeight="1">
      <c r="A887" s="16" t="s">
        <v>26</v>
      </c>
      <c r="B887" s="140">
        <v>2015</v>
      </c>
      <c r="C887" s="104" t="s">
        <v>662</v>
      </c>
      <c r="D887" s="77" t="s">
        <v>663</v>
      </c>
      <c r="G887" s="168">
        <v>2436.3200000000002</v>
      </c>
      <c r="H887" s="247">
        <f t="shared" ref="H887:H889" si="63">G887/0.901296423367096</f>
        <v>2703.1284456874987</v>
      </c>
      <c r="I887" s="170">
        <v>45</v>
      </c>
      <c r="AB887" s="77"/>
      <c r="AG887" s="77" t="s">
        <v>94</v>
      </c>
    </row>
    <row r="888" spans="1:33" ht="20.100000000000001" hidden="1" customHeight="1">
      <c r="A888" s="16" t="s">
        <v>26</v>
      </c>
      <c r="B888" s="140">
        <v>2015</v>
      </c>
      <c r="C888" s="104" t="s">
        <v>662</v>
      </c>
      <c r="D888" s="77" t="s">
        <v>664</v>
      </c>
      <c r="G888" s="168">
        <v>435.93</v>
      </c>
      <c r="H888" s="247">
        <f t="shared" si="63"/>
        <v>483.66995441015598</v>
      </c>
      <c r="I888" s="170">
        <v>8.0500000000000007</v>
      </c>
      <c r="AB888" s="77"/>
      <c r="AG888" s="77" t="s">
        <v>94</v>
      </c>
    </row>
    <row r="889" spans="1:33" ht="20.100000000000001" hidden="1" customHeight="1">
      <c r="A889" s="16" t="s">
        <v>26</v>
      </c>
      <c r="B889" s="140">
        <v>2015</v>
      </c>
      <c r="C889" s="104" t="s">
        <v>662</v>
      </c>
      <c r="D889" s="27" t="s">
        <v>202</v>
      </c>
      <c r="G889" s="168">
        <v>2541.79</v>
      </c>
      <c r="H889" s="247">
        <f t="shared" si="63"/>
        <v>2820.1487702617173</v>
      </c>
      <c r="I889" s="170">
        <v>46.95</v>
      </c>
      <c r="AB889" s="77"/>
      <c r="AG889" s="77" t="s">
        <v>546</v>
      </c>
    </row>
    <row r="890" spans="1:33" ht="20.100000000000001" hidden="1" customHeight="1">
      <c r="A890" s="16" t="s">
        <v>26</v>
      </c>
      <c r="B890" s="140">
        <v>2016</v>
      </c>
      <c r="C890" s="104" t="s">
        <v>662</v>
      </c>
      <c r="D890" s="77" t="s">
        <v>663</v>
      </c>
      <c r="G890" s="168">
        <v>2565.44</v>
      </c>
      <c r="H890" s="168">
        <f t="shared" ref="H890:H892" si="64">G890/0.903421436257263</f>
        <v>2839.6935218055332</v>
      </c>
      <c r="I890" s="170">
        <v>45</v>
      </c>
      <c r="AB890" s="77"/>
      <c r="AG890" s="77" t="s">
        <v>94</v>
      </c>
    </row>
    <row r="891" spans="1:33" ht="20.100000000000001" hidden="1" customHeight="1">
      <c r="A891" s="16" t="s">
        <v>26</v>
      </c>
      <c r="B891" s="140">
        <v>2016</v>
      </c>
      <c r="C891" s="104" t="s">
        <v>662</v>
      </c>
      <c r="D891" s="77" t="s">
        <v>664</v>
      </c>
      <c r="G891" s="168">
        <v>757.31</v>
      </c>
      <c r="H891" s="168">
        <f t="shared" si="64"/>
        <v>838.26879638523917</v>
      </c>
      <c r="I891" s="170">
        <v>13.28</v>
      </c>
      <c r="AB891" s="77"/>
      <c r="AG891" s="77" t="s">
        <v>94</v>
      </c>
    </row>
    <row r="892" spans="1:33" ht="20.100000000000001" hidden="1" customHeight="1">
      <c r="A892" s="16" t="s">
        <v>26</v>
      </c>
      <c r="B892" s="140">
        <v>2016</v>
      </c>
      <c r="C892" s="104" t="s">
        <v>662</v>
      </c>
      <c r="D892" s="27" t="s">
        <v>202</v>
      </c>
      <c r="G892" s="168">
        <v>2378.17</v>
      </c>
      <c r="H892" s="168">
        <f t="shared" si="64"/>
        <v>2632.4037758638924</v>
      </c>
      <c r="I892" s="170">
        <v>41.72</v>
      </c>
      <c r="AB892" s="77"/>
      <c r="AG892" s="77" t="s">
        <v>546</v>
      </c>
    </row>
    <row r="893" spans="1:33" ht="20.100000000000001" hidden="1" customHeight="1">
      <c r="A893" s="16" t="s">
        <v>26</v>
      </c>
      <c r="B893" s="140">
        <v>2017</v>
      </c>
      <c r="C893" s="104" t="s">
        <v>662</v>
      </c>
      <c r="D893" s="77" t="s">
        <v>663</v>
      </c>
      <c r="G893" s="168">
        <v>2942.65</v>
      </c>
      <c r="H893" s="168">
        <f>G893/0.885205508269372</f>
        <v>3324.2563139412123</v>
      </c>
      <c r="I893" s="170">
        <v>45.8</v>
      </c>
      <c r="AB893" s="77"/>
      <c r="AG893" s="77" t="s">
        <v>94</v>
      </c>
    </row>
    <row r="894" spans="1:33" ht="20.100000000000001" hidden="1" customHeight="1">
      <c r="A894" s="16" t="s">
        <v>26</v>
      </c>
      <c r="B894" s="140">
        <v>2017</v>
      </c>
      <c r="C894" s="104" t="s">
        <v>662</v>
      </c>
      <c r="D894" s="77" t="s">
        <v>664</v>
      </c>
      <c r="G894" s="168">
        <v>1199.48</v>
      </c>
      <c r="H894" s="168">
        <f t="shared" ref="H894:H895" si="65">G894/0.885205508269372</f>
        <v>1355.0299775529559</v>
      </c>
      <c r="I894" s="170">
        <v>18.670000000000002</v>
      </c>
      <c r="AB894" s="77"/>
      <c r="AG894" s="77" t="s">
        <v>94</v>
      </c>
    </row>
    <row r="895" spans="1:33" ht="20.100000000000001" hidden="1" customHeight="1">
      <c r="A895" s="16" t="s">
        <v>26</v>
      </c>
      <c r="B895" s="140">
        <v>2017</v>
      </c>
      <c r="C895" s="104" t="s">
        <v>662</v>
      </c>
      <c r="D895" s="27" t="s">
        <v>202</v>
      </c>
      <c r="G895" s="168">
        <v>2282.88</v>
      </c>
      <c r="H895" s="168">
        <f t="shared" si="65"/>
        <v>2578.9265641412044</v>
      </c>
      <c r="I895" s="170">
        <v>35.53</v>
      </c>
      <c r="AB895" s="77"/>
      <c r="AG895" s="77" t="s">
        <v>546</v>
      </c>
    </row>
    <row r="896" spans="1:33" ht="20.100000000000001" hidden="1" customHeight="1">
      <c r="A896" s="16" t="s">
        <v>26</v>
      </c>
      <c r="B896" s="140">
        <v>2018</v>
      </c>
      <c r="C896" s="104" t="s">
        <v>662</v>
      </c>
      <c r="D896" s="77" t="s">
        <v>663</v>
      </c>
      <c r="G896" s="168">
        <v>3190.79</v>
      </c>
      <c r="H896" s="168">
        <f t="shared" ref="H896:H898" si="66">G896/0.846772667108111</f>
        <v>3768.177840337185</v>
      </c>
      <c r="I896" s="170">
        <v>44.5</v>
      </c>
      <c r="AB896" s="77"/>
      <c r="AG896" s="77" t="s">
        <v>94</v>
      </c>
    </row>
    <row r="897" spans="1:33" ht="20.100000000000001" hidden="1" customHeight="1">
      <c r="A897" s="16" t="s">
        <v>26</v>
      </c>
      <c r="B897" s="140">
        <v>2018</v>
      </c>
      <c r="C897" s="104" t="s">
        <v>662</v>
      </c>
      <c r="D897" s="77" t="s">
        <v>664</v>
      </c>
      <c r="G897" s="168">
        <v>1559.97</v>
      </c>
      <c r="H897" s="168">
        <f t="shared" si="66"/>
        <v>1842.2536066587893</v>
      </c>
      <c r="I897" s="170">
        <v>21.76</v>
      </c>
      <c r="AB897" s="77"/>
      <c r="AG897" s="77" t="s">
        <v>94</v>
      </c>
    </row>
    <row r="898" spans="1:33" ht="20.100000000000001" hidden="1" customHeight="1">
      <c r="A898" s="16" t="s">
        <v>26</v>
      </c>
      <c r="B898" s="140">
        <v>2018</v>
      </c>
      <c r="C898" s="104" t="s">
        <v>662</v>
      </c>
      <c r="D898" s="27" t="s">
        <v>202</v>
      </c>
      <c r="G898" s="168">
        <v>2419.56</v>
      </c>
      <c r="H898" s="168">
        <f t="shared" si="66"/>
        <v>2857.3902937411235</v>
      </c>
      <c r="I898" s="170">
        <v>33.74</v>
      </c>
      <c r="AB898" s="77"/>
      <c r="AG898" s="77" t="s">
        <v>546</v>
      </c>
    </row>
    <row r="899" spans="1:33" ht="20.100000000000001" customHeight="1">
      <c r="A899" s="16" t="s">
        <v>26</v>
      </c>
      <c r="B899" s="140">
        <v>2019</v>
      </c>
      <c r="C899" s="104" t="s">
        <v>662</v>
      </c>
      <c r="D899" s="77" t="s">
        <v>391</v>
      </c>
      <c r="G899" s="168">
        <v>545.51</v>
      </c>
      <c r="H899" s="170">
        <f t="shared" ref="H899:H902" si="67">G899/0.893276257067409</f>
        <v>610.68453984312532</v>
      </c>
      <c r="I899" s="170">
        <v>6.88</v>
      </c>
      <c r="AB899" s="77"/>
      <c r="AG899" s="77" t="s">
        <v>94</v>
      </c>
    </row>
    <row r="900" spans="1:33" ht="20.100000000000001" customHeight="1">
      <c r="A900" s="16" t="s">
        <v>26</v>
      </c>
      <c r="B900" s="140">
        <v>2019</v>
      </c>
      <c r="C900" s="104" t="s">
        <v>662</v>
      </c>
      <c r="D900" s="77" t="s">
        <v>663</v>
      </c>
      <c r="G900" s="168">
        <v>3470.36</v>
      </c>
      <c r="H900" s="170">
        <f t="shared" si="67"/>
        <v>3884.9795598430615</v>
      </c>
      <c r="I900" s="170">
        <v>43.8</v>
      </c>
      <c r="AB900" s="77"/>
      <c r="AG900" s="77" t="s">
        <v>94</v>
      </c>
    </row>
    <row r="901" spans="1:33" ht="20.100000000000001" customHeight="1">
      <c r="A901" s="16" t="s">
        <v>26</v>
      </c>
      <c r="B901" s="140">
        <v>2019</v>
      </c>
      <c r="C901" s="104" t="s">
        <v>662</v>
      </c>
      <c r="D901" s="77" t="s">
        <v>664</v>
      </c>
      <c r="G901" s="168">
        <v>1974.77</v>
      </c>
      <c r="H901" s="170">
        <f t="shared" si="67"/>
        <v>2210.7046777254473</v>
      </c>
      <c r="I901" s="170">
        <v>24.92</v>
      </c>
      <c r="AB901" s="77"/>
      <c r="AG901" s="77" t="s">
        <v>94</v>
      </c>
    </row>
    <row r="902" spans="1:33" ht="20.100000000000001" hidden="1" customHeight="1">
      <c r="A902" s="16" t="s">
        <v>26</v>
      </c>
      <c r="B902" s="140">
        <v>2019</v>
      </c>
      <c r="C902" s="104" t="s">
        <v>662</v>
      </c>
      <c r="D902" s="27" t="s">
        <v>202</v>
      </c>
      <c r="G902" s="168">
        <v>1932.56</v>
      </c>
      <c r="H902" s="170">
        <f t="shared" si="67"/>
        <v>2163.4516586666246</v>
      </c>
      <c r="I902" s="170">
        <v>24.39</v>
      </c>
      <c r="AB902" s="77"/>
      <c r="AG902" s="77" t="s">
        <v>546</v>
      </c>
    </row>
    <row r="903" spans="1:33" ht="20.100000000000001" customHeight="1">
      <c r="A903" s="16" t="s">
        <v>26</v>
      </c>
      <c r="B903" s="140">
        <v>2020</v>
      </c>
      <c r="C903" s="104" t="s">
        <v>662</v>
      </c>
      <c r="D903" s="77" t="s">
        <v>391</v>
      </c>
      <c r="G903" s="168">
        <v>740.87</v>
      </c>
      <c r="H903" s="170">
        <f t="shared" ref="H903:H906" si="68">G903/0.875506396987998</f>
        <v>846.21883123734199</v>
      </c>
      <c r="I903" s="170">
        <v>8.42</v>
      </c>
      <c r="AB903" s="77"/>
      <c r="AG903" s="77" t="s">
        <v>94</v>
      </c>
    </row>
    <row r="904" spans="1:33" ht="20.100000000000001" customHeight="1">
      <c r="A904" s="16" t="s">
        <v>26</v>
      </c>
      <c r="B904" s="140">
        <v>2020</v>
      </c>
      <c r="C904" s="104" t="s">
        <v>662</v>
      </c>
      <c r="D904" s="77" t="s">
        <v>663</v>
      </c>
      <c r="G904" s="168">
        <v>3693.79</v>
      </c>
      <c r="H904" s="170">
        <f t="shared" si="68"/>
        <v>4219.032565276204</v>
      </c>
      <c r="I904" s="170">
        <v>42</v>
      </c>
      <c r="AB904" s="77"/>
      <c r="AG904" s="77" t="s">
        <v>94</v>
      </c>
    </row>
    <row r="905" spans="1:33" ht="20.100000000000001" customHeight="1">
      <c r="A905" s="16" t="s">
        <v>26</v>
      </c>
      <c r="B905" s="140">
        <v>2020</v>
      </c>
      <c r="C905" s="104" t="s">
        <v>662</v>
      </c>
      <c r="D905" s="77" t="s">
        <v>664</v>
      </c>
      <c r="G905" s="168">
        <v>2493.98</v>
      </c>
      <c r="H905" s="170">
        <f t="shared" si="68"/>
        <v>2848.6142517976245</v>
      </c>
      <c r="I905" s="170">
        <v>28.36</v>
      </c>
      <c r="AB905" s="77"/>
      <c r="AG905" s="77" t="s">
        <v>94</v>
      </c>
    </row>
    <row r="906" spans="1:33" ht="20.100000000000001" hidden="1" customHeight="1">
      <c r="A906" s="16" t="s">
        <v>26</v>
      </c>
      <c r="B906" s="140">
        <v>2020</v>
      </c>
      <c r="C906" s="104" t="s">
        <v>662</v>
      </c>
      <c r="D906" s="27" t="s">
        <v>202</v>
      </c>
      <c r="G906" s="168">
        <v>1866.11</v>
      </c>
      <c r="H906" s="170">
        <f t="shared" si="68"/>
        <v>2131.4635808715648</v>
      </c>
      <c r="I906" s="170">
        <v>21.22</v>
      </c>
      <c r="AB906" s="77"/>
      <c r="AG906" s="77" t="s">
        <v>546</v>
      </c>
    </row>
    <row r="907" spans="1:33" ht="20.100000000000001" customHeight="1">
      <c r="A907" s="16" t="s">
        <v>26</v>
      </c>
      <c r="B907" s="140">
        <v>2021</v>
      </c>
      <c r="C907" s="104" t="s">
        <v>662</v>
      </c>
      <c r="D907" s="77" t="s">
        <v>391</v>
      </c>
      <c r="G907" s="168">
        <v>1209.32</v>
      </c>
      <c r="H907" s="170">
        <f t="shared" ref="H907:H910" si="69">G907/0.84549413889045</f>
        <v>1430.3115117829227</v>
      </c>
      <c r="I907" s="170">
        <v>10.78</v>
      </c>
      <c r="AB907" s="77"/>
      <c r="AG907" s="77" t="s">
        <v>94</v>
      </c>
    </row>
    <row r="908" spans="1:33" ht="20.100000000000001" customHeight="1">
      <c r="A908" s="16" t="s">
        <v>26</v>
      </c>
      <c r="B908" s="140">
        <v>2021</v>
      </c>
      <c r="C908" s="104" t="s">
        <v>662</v>
      </c>
      <c r="D908" s="77" t="s">
        <v>663</v>
      </c>
      <c r="G908" s="168">
        <v>4586.24</v>
      </c>
      <c r="H908" s="170">
        <f t="shared" si="69"/>
        <v>5424.3309196898354</v>
      </c>
      <c r="I908" s="170">
        <v>40.9</v>
      </c>
      <c r="AB908" s="77"/>
      <c r="AG908" s="77" t="s">
        <v>94</v>
      </c>
    </row>
    <row r="909" spans="1:33" ht="20.100000000000001" customHeight="1">
      <c r="A909" s="16" t="s">
        <v>26</v>
      </c>
      <c r="B909" s="140">
        <v>2021</v>
      </c>
      <c r="C909" s="104" t="s">
        <v>662</v>
      </c>
      <c r="D909" s="77" t="s">
        <v>664</v>
      </c>
      <c r="G909" s="168">
        <v>3368.55</v>
      </c>
      <c r="H909" s="170">
        <f t="shared" si="69"/>
        <v>3984.1198715115643</v>
      </c>
      <c r="I909" s="170">
        <v>30.04</v>
      </c>
      <c r="AB909" s="77"/>
      <c r="AG909" s="77" t="s">
        <v>94</v>
      </c>
    </row>
    <row r="910" spans="1:33" ht="20.100000000000001" hidden="1" customHeight="1">
      <c r="A910" s="16" t="s">
        <v>26</v>
      </c>
      <c r="B910" s="140">
        <v>2021</v>
      </c>
      <c r="C910" s="104" t="s">
        <v>662</v>
      </c>
      <c r="D910" s="27" t="s">
        <v>202</v>
      </c>
      <c r="G910" s="168">
        <v>2037.25</v>
      </c>
      <c r="H910" s="170">
        <f t="shared" si="69"/>
        <v>2409.5376967053876</v>
      </c>
      <c r="I910" s="170">
        <v>18.170000000000002</v>
      </c>
      <c r="AB910" s="77"/>
      <c r="AG910" s="77" t="s">
        <v>546</v>
      </c>
    </row>
    <row r="911" spans="1:33" ht="20.100000000000001" customHeight="1">
      <c r="A911" s="16" t="s">
        <v>26</v>
      </c>
      <c r="B911" s="140">
        <v>2022</v>
      </c>
      <c r="C911" s="104" t="s">
        <v>662</v>
      </c>
      <c r="D911" s="77" t="s">
        <v>391</v>
      </c>
      <c r="G911" s="168">
        <v>1430.05</v>
      </c>
      <c r="H911" s="170">
        <f t="shared" ref="H911:H914" si="70">G911/0.949623753156941</f>
        <v>1505.9122049610953</v>
      </c>
      <c r="I911" s="170">
        <v>12.5</v>
      </c>
      <c r="AB911" s="77"/>
      <c r="AG911" s="77" t="s">
        <v>94</v>
      </c>
    </row>
    <row r="912" spans="1:33" ht="20.100000000000001" customHeight="1">
      <c r="A912" s="16" t="s">
        <v>26</v>
      </c>
      <c r="B912" s="140">
        <v>2022</v>
      </c>
      <c r="C912" s="104" t="s">
        <v>662</v>
      </c>
      <c r="D912" s="77" t="s">
        <v>663</v>
      </c>
      <c r="G912" s="168">
        <v>4689.3999999999996</v>
      </c>
      <c r="H912" s="170">
        <f t="shared" si="70"/>
        <v>4938.1662836576061</v>
      </c>
      <c r="I912" s="170">
        <v>41</v>
      </c>
      <c r="AB912" s="77"/>
      <c r="AG912" s="77" t="s">
        <v>94</v>
      </c>
    </row>
    <row r="913" spans="1:33" ht="20.100000000000001" customHeight="1">
      <c r="A913" s="16" t="s">
        <v>26</v>
      </c>
      <c r="B913" s="140">
        <v>2022</v>
      </c>
      <c r="C913" s="104" t="s">
        <v>662</v>
      </c>
      <c r="D913" s="77" t="s">
        <v>664</v>
      </c>
      <c r="G913" s="168">
        <v>3323.58</v>
      </c>
      <c r="H913" s="170">
        <f t="shared" si="70"/>
        <v>3499.891392723749</v>
      </c>
      <c r="I913" s="170">
        <v>29.06</v>
      </c>
      <c r="AB913" s="77"/>
      <c r="AG913" s="77" t="s">
        <v>94</v>
      </c>
    </row>
    <row r="914" spans="1:33" ht="20.100000000000001" hidden="1" customHeight="1">
      <c r="A914" s="16" t="s">
        <v>26</v>
      </c>
      <c r="B914" s="140">
        <v>2022</v>
      </c>
      <c r="C914" s="104" t="s">
        <v>662</v>
      </c>
      <c r="D914" s="27" t="s">
        <v>202</v>
      </c>
      <c r="G914" s="168">
        <v>1976.64</v>
      </c>
      <c r="H914" s="170">
        <f t="shared" si="70"/>
        <v>2081.498060077829</v>
      </c>
      <c r="I914" s="170">
        <v>17.28</v>
      </c>
      <c r="AB914" s="77"/>
      <c r="AG914" s="77" t="s">
        <v>546</v>
      </c>
    </row>
    <row r="915" spans="1:33" ht="20.100000000000001" customHeight="1">
      <c r="A915" s="16" t="s">
        <v>26</v>
      </c>
      <c r="B915" s="140">
        <v>2023</v>
      </c>
      <c r="C915" s="104" t="s">
        <v>662</v>
      </c>
      <c r="D915" s="77" t="s">
        <v>391</v>
      </c>
      <c r="G915" s="168">
        <v>1750.74</v>
      </c>
      <c r="H915" s="170">
        <f t="shared" ref="H915:H918" si="71">G915/0.924839558470698</f>
        <v>1893.0202368235628</v>
      </c>
      <c r="I915" s="170">
        <v>13.78</v>
      </c>
      <c r="AB915" s="77"/>
      <c r="AG915" s="77" t="s">
        <v>94</v>
      </c>
    </row>
    <row r="916" spans="1:33" ht="20.100000000000001" customHeight="1">
      <c r="A916" s="16" t="s">
        <v>26</v>
      </c>
      <c r="B916" s="140">
        <v>2023</v>
      </c>
      <c r="C916" s="104" t="s">
        <v>662</v>
      </c>
      <c r="D916" s="77" t="s">
        <v>663</v>
      </c>
      <c r="G916" s="168">
        <v>4866.83</v>
      </c>
      <c r="H916" s="170">
        <f t="shared" si="71"/>
        <v>5262.3505941373478</v>
      </c>
      <c r="I916" s="170">
        <v>38.299999999999997</v>
      </c>
      <c r="AB916" s="77"/>
      <c r="AG916" s="77" t="s">
        <v>94</v>
      </c>
    </row>
    <row r="917" spans="1:33" ht="20.100000000000001" customHeight="1">
      <c r="A917" s="16" t="s">
        <v>26</v>
      </c>
      <c r="B917" s="140">
        <v>2023</v>
      </c>
      <c r="C917" s="104" t="s">
        <v>662</v>
      </c>
      <c r="D917" s="77" t="s">
        <v>664</v>
      </c>
      <c r="G917" s="168">
        <v>3715.24</v>
      </c>
      <c r="H917" s="170">
        <f t="shared" si="71"/>
        <v>4017.1724554510511</v>
      </c>
      <c r="I917" s="170">
        <v>29.24</v>
      </c>
      <c r="AB917" s="77"/>
      <c r="AG917" s="77" t="s">
        <v>94</v>
      </c>
    </row>
    <row r="918" spans="1:33" ht="20.100000000000001" hidden="1" customHeight="1">
      <c r="A918" s="16" t="s">
        <v>26</v>
      </c>
      <c r="B918" s="140">
        <v>2023</v>
      </c>
      <c r="C918" s="104" t="s">
        <v>662</v>
      </c>
      <c r="D918" s="27" t="s">
        <v>202</v>
      </c>
      <c r="G918" s="168">
        <v>2350.5500000000002</v>
      </c>
      <c r="H918" s="170">
        <f t="shared" si="71"/>
        <v>2541.5759722549469</v>
      </c>
      <c r="I918" s="170">
        <v>18.5</v>
      </c>
      <c r="AB918" s="77"/>
      <c r="AG918" s="77" t="s">
        <v>546</v>
      </c>
    </row>
    <row r="919" spans="1:33" ht="20.100000000000001" hidden="1" customHeight="1">
      <c r="A919" s="16" t="s">
        <v>26</v>
      </c>
      <c r="B919" s="16">
        <v>2018</v>
      </c>
      <c r="C919" s="14" t="s">
        <v>81</v>
      </c>
      <c r="D919" s="27" t="s">
        <v>665</v>
      </c>
      <c r="E919" s="62" t="s">
        <v>666</v>
      </c>
      <c r="F919" s="132" t="s">
        <v>666</v>
      </c>
      <c r="G919" s="255"/>
      <c r="AA919" s="34">
        <v>98.52</v>
      </c>
      <c r="AB919" s="77"/>
      <c r="AG919" s="53" t="s">
        <v>667</v>
      </c>
    </row>
    <row r="920" spans="1:33" ht="20.100000000000001" hidden="1" customHeight="1">
      <c r="A920" s="16" t="s">
        <v>26</v>
      </c>
      <c r="B920" s="16">
        <v>2018</v>
      </c>
      <c r="C920" s="14" t="s">
        <v>81</v>
      </c>
      <c r="D920" s="27" t="s">
        <v>202</v>
      </c>
      <c r="E920" s="62"/>
      <c r="F920" s="132"/>
      <c r="G920" s="255"/>
      <c r="AA920" s="34">
        <f>(100-AA919)</f>
        <v>1.480000000000004</v>
      </c>
      <c r="AB920" s="77"/>
      <c r="AG920" s="53" t="s">
        <v>667</v>
      </c>
    </row>
    <row r="921" spans="1:33" ht="20.100000000000001" customHeight="1">
      <c r="A921" s="16" t="s">
        <v>26</v>
      </c>
      <c r="B921" s="16">
        <v>2019</v>
      </c>
      <c r="C921" s="14" t="s">
        <v>81</v>
      </c>
      <c r="D921" s="27" t="s">
        <v>663</v>
      </c>
      <c r="E921" s="35" t="s">
        <v>666</v>
      </c>
      <c r="F921" s="133" t="s">
        <v>666</v>
      </c>
      <c r="G921" s="168"/>
      <c r="H921" s="170">
        <f t="shared" ref="H921:H922" si="72">G921/0.893276257067409</f>
        <v>0</v>
      </c>
      <c r="AA921" s="34">
        <v>98.31</v>
      </c>
      <c r="AB921" s="77"/>
      <c r="AG921" s="53" t="s">
        <v>668</v>
      </c>
    </row>
    <row r="922" spans="1:33" ht="20.100000000000001" hidden="1" customHeight="1">
      <c r="A922" s="16" t="s">
        <v>26</v>
      </c>
      <c r="B922" s="16">
        <v>2019</v>
      </c>
      <c r="C922" s="14" t="s">
        <v>81</v>
      </c>
      <c r="D922" s="27" t="s">
        <v>202</v>
      </c>
      <c r="E922" s="35"/>
      <c r="F922" s="133"/>
      <c r="G922" s="168"/>
      <c r="H922" s="170">
        <f t="shared" si="72"/>
        <v>0</v>
      </c>
      <c r="AA922" s="34">
        <f>(100-AA921)</f>
        <v>1.6899999999999977</v>
      </c>
      <c r="AB922" s="77"/>
      <c r="AG922" s="53" t="s">
        <v>668</v>
      </c>
    </row>
    <row r="923" spans="1:33" ht="20.100000000000001" customHeight="1">
      <c r="A923" s="16" t="s">
        <v>26</v>
      </c>
      <c r="B923" s="16">
        <v>2020</v>
      </c>
      <c r="C923" s="14" t="s">
        <v>81</v>
      </c>
      <c r="D923" s="27" t="s">
        <v>665</v>
      </c>
      <c r="E923" s="62" t="s">
        <v>666</v>
      </c>
      <c r="F923" s="133" t="s">
        <v>669</v>
      </c>
      <c r="G923" s="168"/>
      <c r="AA923" s="34">
        <v>97.85</v>
      </c>
      <c r="AB923" s="77"/>
      <c r="AG923" s="53" t="s">
        <v>670</v>
      </c>
    </row>
    <row r="924" spans="1:33" ht="20.100000000000001" hidden="1" customHeight="1">
      <c r="A924" s="16" t="s">
        <v>26</v>
      </c>
      <c r="B924" s="16">
        <v>2020</v>
      </c>
      <c r="C924" s="14" t="s">
        <v>81</v>
      </c>
      <c r="D924" s="27" t="s">
        <v>202</v>
      </c>
      <c r="E924" s="62"/>
      <c r="F924" s="133"/>
      <c r="G924" s="168"/>
      <c r="AA924" s="34">
        <f>100-AA923</f>
        <v>2.1500000000000057</v>
      </c>
      <c r="AB924" s="77"/>
      <c r="AG924" s="53" t="s">
        <v>670</v>
      </c>
    </row>
    <row r="925" spans="1:33" ht="20.100000000000001" customHeight="1">
      <c r="A925" s="16" t="s">
        <v>26</v>
      </c>
      <c r="B925" s="16">
        <v>2021</v>
      </c>
      <c r="C925" s="14" t="s">
        <v>81</v>
      </c>
      <c r="D925" s="27" t="s">
        <v>665</v>
      </c>
      <c r="E925" s="35" t="s">
        <v>666</v>
      </c>
      <c r="F925" s="132" t="s">
        <v>666</v>
      </c>
      <c r="G925" s="168"/>
      <c r="AA925" s="34">
        <v>96.78</v>
      </c>
      <c r="AB925" s="77"/>
      <c r="AG925" s="53" t="s">
        <v>671</v>
      </c>
    </row>
    <row r="926" spans="1:33" ht="20.100000000000001" hidden="1" customHeight="1">
      <c r="A926" s="16" t="s">
        <v>26</v>
      </c>
      <c r="B926" s="16">
        <v>2021</v>
      </c>
      <c r="C926" s="14" t="s">
        <v>81</v>
      </c>
      <c r="D926" s="27" t="s">
        <v>202</v>
      </c>
      <c r="E926" s="35"/>
      <c r="F926" s="132"/>
      <c r="G926" s="168"/>
      <c r="AA926" s="34">
        <f>(100-AA925)</f>
        <v>3.2199999999999989</v>
      </c>
      <c r="AB926" s="77"/>
      <c r="AG926" s="53" t="s">
        <v>671</v>
      </c>
    </row>
    <row r="927" spans="1:33" ht="20.100000000000001" customHeight="1">
      <c r="A927" s="16" t="s">
        <v>26</v>
      </c>
      <c r="B927" s="16">
        <v>2022</v>
      </c>
      <c r="C927" s="14" t="s">
        <v>81</v>
      </c>
      <c r="D927" s="27" t="s">
        <v>663</v>
      </c>
      <c r="E927" s="35" t="s">
        <v>666</v>
      </c>
      <c r="F927" s="132" t="s">
        <v>666</v>
      </c>
      <c r="G927" s="168"/>
      <c r="AA927" s="34">
        <v>96.53</v>
      </c>
      <c r="AB927" s="77"/>
      <c r="AG927" s="53" t="s">
        <v>672</v>
      </c>
    </row>
    <row r="928" spans="1:33" ht="20.100000000000001" hidden="1" customHeight="1">
      <c r="A928" s="16" t="s">
        <v>26</v>
      </c>
      <c r="B928" s="16">
        <v>2022</v>
      </c>
      <c r="C928" s="14" t="s">
        <v>81</v>
      </c>
      <c r="D928" s="27" t="s">
        <v>202</v>
      </c>
      <c r="E928" s="62"/>
      <c r="F928" s="132"/>
      <c r="G928" s="168"/>
      <c r="AA928" s="34">
        <f>(100-AA927)</f>
        <v>3.4699999999999989</v>
      </c>
      <c r="AB928" s="77"/>
      <c r="AG928" s="53" t="s">
        <v>672</v>
      </c>
    </row>
    <row r="929" spans="1:33" ht="20.100000000000001" customHeight="1">
      <c r="A929" s="16" t="s">
        <v>26</v>
      </c>
      <c r="B929" s="16">
        <v>2023</v>
      </c>
      <c r="C929" s="14" t="s">
        <v>81</v>
      </c>
      <c r="D929" s="27" t="s">
        <v>663</v>
      </c>
      <c r="E929" s="62" t="s">
        <v>666</v>
      </c>
      <c r="F929" s="132" t="s">
        <v>666</v>
      </c>
      <c r="G929" s="168"/>
      <c r="AA929" s="34">
        <v>96.43</v>
      </c>
      <c r="AB929" s="77"/>
      <c r="AG929" s="53" t="s">
        <v>673</v>
      </c>
    </row>
    <row r="930" spans="1:33" ht="20.100000000000001" hidden="1" customHeight="1">
      <c r="A930" s="16" t="s">
        <v>26</v>
      </c>
      <c r="B930" s="16">
        <v>2023</v>
      </c>
      <c r="C930" s="14" t="s">
        <v>81</v>
      </c>
      <c r="D930" s="48" t="s">
        <v>674</v>
      </c>
      <c r="E930" s="132" t="s">
        <v>674</v>
      </c>
      <c r="F930" s="132" t="s">
        <v>674</v>
      </c>
      <c r="G930" s="168"/>
      <c r="AA930" s="34">
        <v>1.08</v>
      </c>
      <c r="AB930" s="77"/>
      <c r="AG930" s="53" t="s">
        <v>673</v>
      </c>
    </row>
    <row r="931" spans="1:33" ht="20.100000000000001" hidden="1" customHeight="1">
      <c r="A931" s="16" t="s">
        <v>26</v>
      </c>
      <c r="B931" s="16">
        <v>2023</v>
      </c>
      <c r="C931" s="14" t="s">
        <v>81</v>
      </c>
      <c r="D931" s="27" t="s">
        <v>202</v>
      </c>
      <c r="E931" s="17"/>
      <c r="F931" s="133"/>
      <c r="G931" s="168"/>
      <c r="AA931" s="34">
        <f>(100-AA929-AA930)</f>
        <v>2.4899999999999931</v>
      </c>
      <c r="AB931" s="77"/>
      <c r="AG931" s="53" t="s">
        <v>673</v>
      </c>
    </row>
    <row r="932" spans="1:33" ht="20.100000000000001" hidden="1" customHeight="1">
      <c r="A932" s="16" t="s">
        <v>26</v>
      </c>
      <c r="B932" s="16">
        <v>2018</v>
      </c>
      <c r="C932" s="14" t="s">
        <v>83</v>
      </c>
      <c r="D932" s="27" t="s">
        <v>663</v>
      </c>
      <c r="E932" s="35" t="s">
        <v>666</v>
      </c>
      <c r="F932" s="17" t="s">
        <v>666</v>
      </c>
      <c r="G932" s="168"/>
      <c r="AA932" s="31">
        <v>89.01</v>
      </c>
      <c r="AB932" s="77"/>
      <c r="AG932" s="53" t="s">
        <v>675</v>
      </c>
    </row>
    <row r="933" spans="1:33" ht="20.100000000000001" hidden="1" customHeight="1">
      <c r="A933" s="16" t="s">
        <v>26</v>
      </c>
      <c r="B933" s="16">
        <v>2018</v>
      </c>
      <c r="C933" s="14" t="s">
        <v>83</v>
      </c>
      <c r="D933" s="27" t="s">
        <v>676</v>
      </c>
      <c r="E933" s="35" t="s">
        <v>677</v>
      </c>
      <c r="F933" s="17" t="s">
        <v>678</v>
      </c>
      <c r="G933" s="168"/>
      <c r="AA933" s="31">
        <v>7.38</v>
      </c>
      <c r="AB933" s="77"/>
      <c r="AG933" s="53" t="s">
        <v>675</v>
      </c>
    </row>
    <row r="934" spans="1:33" ht="20.100000000000001" hidden="1" customHeight="1">
      <c r="A934" s="16" t="s">
        <v>26</v>
      </c>
      <c r="B934" s="16">
        <v>2018</v>
      </c>
      <c r="C934" s="14" t="s">
        <v>83</v>
      </c>
      <c r="D934" s="9" t="s">
        <v>679</v>
      </c>
      <c r="E934" s="17" t="s">
        <v>679</v>
      </c>
      <c r="F934" s="17" t="s">
        <v>679</v>
      </c>
      <c r="G934" s="168"/>
      <c r="AA934" s="31">
        <v>1.36</v>
      </c>
      <c r="AB934" s="77"/>
      <c r="AG934" s="53" t="s">
        <v>675</v>
      </c>
    </row>
    <row r="935" spans="1:33" ht="20.100000000000001" hidden="1" customHeight="1">
      <c r="A935" s="16" t="s">
        <v>26</v>
      </c>
      <c r="B935" s="16">
        <v>2018</v>
      </c>
      <c r="C935" s="14" t="s">
        <v>83</v>
      </c>
      <c r="D935" s="27" t="s">
        <v>202</v>
      </c>
      <c r="E935" s="35"/>
      <c r="F935" s="17"/>
      <c r="G935" s="168"/>
      <c r="AA935" s="31">
        <f>(100-AA932-AA933-AA934)</f>
        <v>2.2499999999999947</v>
      </c>
      <c r="AB935" s="77"/>
      <c r="AG935" s="53" t="s">
        <v>675</v>
      </c>
    </row>
    <row r="936" spans="1:33" ht="20.100000000000001" customHeight="1">
      <c r="A936" s="16" t="s">
        <v>26</v>
      </c>
      <c r="B936" s="16">
        <v>2019</v>
      </c>
      <c r="C936" s="14" t="s">
        <v>83</v>
      </c>
      <c r="D936" s="27" t="s">
        <v>663</v>
      </c>
      <c r="E936" s="35" t="s">
        <v>666</v>
      </c>
      <c r="F936" s="17" t="s">
        <v>666</v>
      </c>
      <c r="G936" s="168"/>
      <c r="H936" s="170">
        <f t="shared" ref="H936:H939" si="73">G936/0.893276257067409</f>
        <v>0</v>
      </c>
      <c r="AA936" s="31">
        <v>89.96</v>
      </c>
      <c r="AB936" s="77"/>
      <c r="AG936" s="53" t="s">
        <v>680</v>
      </c>
    </row>
    <row r="937" spans="1:33" ht="20.100000000000001" customHeight="1">
      <c r="A937" s="16" t="s">
        <v>26</v>
      </c>
      <c r="B937" s="16">
        <v>2019</v>
      </c>
      <c r="C937" s="14" t="s">
        <v>83</v>
      </c>
      <c r="D937" s="27" t="s">
        <v>676</v>
      </c>
      <c r="E937" s="35" t="s">
        <v>677</v>
      </c>
      <c r="F937" s="17" t="s">
        <v>678</v>
      </c>
      <c r="G937" s="168"/>
      <c r="H937" s="170">
        <f t="shared" si="73"/>
        <v>0</v>
      </c>
      <c r="AA937" s="31">
        <v>5.85</v>
      </c>
      <c r="AB937" s="77"/>
      <c r="AG937" s="53" t="s">
        <v>680</v>
      </c>
    </row>
    <row r="938" spans="1:33" ht="20.100000000000001" hidden="1" customHeight="1">
      <c r="A938" s="16" t="s">
        <v>26</v>
      </c>
      <c r="B938" s="16">
        <v>2019</v>
      </c>
      <c r="C938" s="14" t="s">
        <v>83</v>
      </c>
      <c r="D938" s="9" t="s">
        <v>679</v>
      </c>
      <c r="E938" s="17" t="s">
        <v>679</v>
      </c>
      <c r="F938" s="17" t="s">
        <v>679</v>
      </c>
      <c r="G938" s="168"/>
      <c r="H938" s="170">
        <f t="shared" si="73"/>
        <v>0</v>
      </c>
      <c r="AA938" s="31">
        <v>1.17</v>
      </c>
      <c r="AB938" s="77"/>
      <c r="AG938" s="53" t="s">
        <v>680</v>
      </c>
    </row>
    <row r="939" spans="1:33" ht="20.100000000000001" hidden="1" customHeight="1">
      <c r="A939" s="16" t="s">
        <v>26</v>
      </c>
      <c r="B939" s="16">
        <v>2019</v>
      </c>
      <c r="C939" s="14" t="s">
        <v>83</v>
      </c>
      <c r="D939" s="27" t="s">
        <v>202</v>
      </c>
      <c r="E939" s="35"/>
      <c r="F939" s="17"/>
      <c r="G939" s="168"/>
      <c r="H939" s="170">
        <f t="shared" si="73"/>
        <v>0</v>
      </c>
      <c r="AA939" s="31">
        <f>(100-AA936-AA937-AA938)</f>
        <v>3.0200000000000067</v>
      </c>
      <c r="AB939" s="77"/>
      <c r="AG939" s="53" t="s">
        <v>680</v>
      </c>
    </row>
    <row r="940" spans="1:33" ht="20.100000000000001" customHeight="1">
      <c r="A940" s="16" t="s">
        <v>26</v>
      </c>
      <c r="B940" s="16">
        <v>2020</v>
      </c>
      <c r="C940" s="14" t="s">
        <v>83</v>
      </c>
      <c r="D940" s="27" t="s">
        <v>663</v>
      </c>
      <c r="E940" s="35" t="s">
        <v>666</v>
      </c>
      <c r="F940" s="17" t="s">
        <v>666</v>
      </c>
      <c r="G940" s="168"/>
      <c r="AA940" s="31">
        <v>86.66</v>
      </c>
      <c r="AB940" s="77"/>
      <c r="AG940" s="53" t="s">
        <v>681</v>
      </c>
    </row>
    <row r="941" spans="1:33" ht="20.100000000000001" customHeight="1">
      <c r="A941" s="16" t="s">
        <v>26</v>
      </c>
      <c r="B941" s="16">
        <v>2020</v>
      </c>
      <c r="C941" s="14" t="s">
        <v>83</v>
      </c>
      <c r="D941" s="27" t="s">
        <v>676</v>
      </c>
      <c r="E941" s="17" t="s">
        <v>682</v>
      </c>
      <c r="F941" s="17" t="s">
        <v>678</v>
      </c>
      <c r="G941" s="168"/>
      <c r="AA941" s="31">
        <v>8.91</v>
      </c>
      <c r="AB941" s="77"/>
      <c r="AG941" s="53" t="s">
        <v>681</v>
      </c>
    </row>
    <row r="942" spans="1:33" ht="20.100000000000001" hidden="1" customHeight="1">
      <c r="A942" s="16" t="s">
        <v>26</v>
      </c>
      <c r="B942" s="16">
        <v>2020</v>
      </c>
      <c r="C942" s="14" t="s">
        <v>83</v>
      </c>
      <c r="D942" s="9" t="s">
        <v>679</v>
      </c>
      <c r="E942" s="17" t="s">
        <v>679</v>
      </c>
      <c r="F942" s="17" t="s">
        <v>679</v>
      </c>
      <c r="G942" s="168"/>
      <c r="AA942" s="31">
        <v>1.05</v>
      </c>
      <c r="AB942" s="77"/>
      <c r="AG942" s="53" t="s">
        <v>681</v>
      </c>
    </row>
    <row r="943" spans="1:33" ht="20.100000000000001" hidden="1" customHeight="1">
      <c r="A943" s="16" t="s">
        <v>26</v>
      </c>
      <c r="B943" s="16">
        <v>2020</v>
      </c>
      <c r="C943" s="14" t="s">
        <v>83</v>
      </c>
      <c r="D943" s="9" t="s">
        <v>683</v>
      </c>
      <c r="E943" s="17" t="s">
        <v>683</v>
      </c>
      <c r="F943" s="17" t="s">
        <v>683</v>
      </c>
      <c r="G943" s="168"/>
      <c r="AA943" s="31">
        <v>1.04</v>
      </c>
      <c r="AB943" s="77"/>
      <c r="AG943" s="53" t="s">
        <v>681</v>
      </c>
    </row>
    <row r="944" spans="1:33" ht="20.100000000000001" hidden="1" customHeight="1">
      <c r="A944" s="16" t="s">
        <v>26</v>
      </c>
      <c r="B944" s="16">
        <v>2020</v>
      </c>
      <c r="C944" s="14" t="s">
        <v>83</v>
      </c>
      <c r="D944" s="27" t="s">
        <v>202</v>
      </c>
      <c r="E944" s="35"/>
      <c r="F944" s="17"/>
      <c r="G944" s="168"/>
      <c r="AA944" s="31">
        <f>(100-AA940-AA941-AA942-AA943)</f>
        <v>2.3400000000000034</v>
      </c>
      <c r="AB944" s="77"/>
      <c r="AG944" s="53" t="s">
        <v>681</v>
      </c>
    </row>
    <row r="945" spans="1:33" ht="20.100000000000001" customHeight="1">
      <c r="A945" s="16" t="s">
        <v>26</v>
      </c>
      <c r="B945" s="16">
        <v>2021</v>
      </c>
      <c r="C945" s="14" t="s">
        <v>83</v>
      </c>
      <c r="D945" s="27" t="s">
        <v>663</v>
      </c>
      <c r="E945" s="35" t="s">
        <v>666</v>
      </c>
      <c r="F945" s="17" t="s">
        <v>666</v>
      </c>
      <c r="G945" s="168"/>
      <c r="AA945" s="31">
        <v>83.7</v>
      </c>
      <c r="AB945" s="77"/>
      <c r="AG945" s="277" t="s">
        <v>684</v>
      </c>
    </row>
    <row r="946" spans="1:33" ht="20.100000000000001" customHeight="1">
      <c r="A946" s="16" t="s">
        <v>26</v>
      </c>
      <c r="B946" s="16">
        <v>2021</v>
      </c>
      <c r="C946" s="14" t="s">
        <v>83</v>
      </c>
      <c r="D946" s="27" t="s">
        <v>676</v>
      </c>
      <c r="E946" s="35" t="s">
        <v>677</v>
      </c>
      <c r="F946" s="17" t="s">
        <v>678</v>
      </c>
      <c r="G946" s="168"/>
      <c r="AA946" s="31">
        <v>11.02</v>
      </c>
      <c r="AB946" s="77"/>
      <c r="AG946" s="277" t="s">
        <v>684</v>
      </c>
    </row>
    <row r="947" spans="1:33" ht="20.100000000000001" hidden="1" customHeight="1">
      <c r="A947" s="16" t="s">
        <v>26</v>
      </c>
      <c r="B947" s="16">
        <v>2021</v>
      </c>
      <c r="C947" s="14" t="s">
        <v>83</v>
      </c>
      <c r="D947" s="9" t="s">
        <v>683</v>
      </c>
      <c r="E947" s="17" t="s">
        <v>683</v>
      </c>
      <c r="F947" s="17" t="s">
        <v>683</v>
      </c>
      <c r="G947" s="168"/>
      <c r="AA947" s="31">
        <v>1.45</v>
      </c>
      <c r="AB947" s="77"/>
      <c r="AG947" s="277" t="s">
        <v>684</v>
      </c>
    </row>
    <row r="948" spans="1:33" ht="20.100000000000001" hidden="1" customHeight="1">
      <c r="A948" s="16" t="s">
        <v>26</v>
      </c>
      <c r="B948" s="16">
        <v>2021</v>
      </c>
      <c r="C948" s="14" t="s">
        <v>83</v>
      </c>
      <c r="D948" s="9" t="s">
        <v>685</v>
      </c>
      <c r="E948" s="17" t="s">
        <v>685</v>
      </c>
      <c r="F948" s="17" t="s">
        <v>685</v>
      </c>
      <c r="G948" s="168"/>
      <c r="AA948" s="31">
        <v>1.28</v>
      </c>
      <c r="AB948" s="77"/>
      <c r="AG948" s="277" t="s">
        <v>684</v>
      </c>
    </row>
    <row r="949" spans="1:33" ht="20.100000000000001" hidden="1" customHeight="1">
      <c r="A949" s="16" t="s">
        <v>26</v>
      </c>
      <c r="B949" s="16">
        <v>2021</v>
      </c>
      <c r="C949" s="14" t="s">
        <v>83</v>
      </c>
      <c r="D949" s="9" t="s">
        <v>679</v>
      </c>
      <c r="E949" s="17" t="s">
        <v>679</v>
      </c>
      <c r="F949" s="17" t="s">
        <v>679</v>
      </c>
      <c r="G949" s="168"/>
      <c r="AA949" s="31">
        <v>1.17</v>
      </c>
      <c r="AB949" s="77"/>
      <c r="AG949" s="277" t="s">
        <v>684</v>
      </c>
    </row>
    <row r="950" spans="1:33" ht="20.100000000000001" hidden="1" customHeight="1">
      <c r="A950" s="16" t="s">
        <v>26</v>
      </c>
      <c r="B950" s="16">
        <v>2021</v>
      </c>
      <c r="C950" s="14" t="s">
        <v>83</v>
      </c>
      <c r="D950" s="27" t="s">
        <v>202</v>
      </c>
      <c r="E950" s="35"/>
      <c r="F950" s="17"/>
      <c r="G950" s="168"/>
      <c r="AA950" s="31">
        <v>1.37</v>
      </c>
      <c r="AB950" s="77"/>
      <c r="AG950" s="277" t="s">
        <v>684</v>
      </c>
    </row>
    <row r="951" spans="1:33" ht="20.100000000000001" customHeight="1">
      <c r="A951" s="16" t="s">
        <v>26</v>
      </c>
      <c r="B951" s="16">
        <v>2022</v>
      </c>
      <c r="C951" s="14" t="s">
        <v>83</v>
      </c>
      <c r="D951" s="27" t="s">
        <v>663</v>
      </c>
      <c r="E951" s="35" t="s">
        <v>666</v>
      </c>
      <c r="F951" s="17" t="s">
        <v>666</v>
      </c>
      <c r="G951" s="168"/>
      <c r="AA951" s="31">
        <v>81.34</v>
      </c>
      <c r="AB951" s="77"/>
      <c r="AG951" s="277" t="s">
        <v>686</v>
      </c>
    </row>
    <row r="952" spans="1:33" ht="20.100000000000001" customHeight="1">
      <c r="A952" s="16" t="s">
        <v>26</v>
      </c>
      <c r="B952" s="16">
        <v>2022</v>
      </c>
      <c r="C952" s="14" t="s">
        <v>83</v>
      </c>
      <c r="D952" s="27" t="s">
        <v>676</v>
      </c>
      <c r="E952" s="35" t="s">
        <v>677</v>
      </c>
      <c r="F952" s="17" t="s">
        <v>678</v>
      </c>
      <c r="G952" s="168"/>
      <c r="AA952" s="31">
        <v>12.94</v>
      </c>
      <c r="AB952" s="77"/>
      <c r="AG952" s="277" t="s">
        <v>686</v>
      </c>
    </row>
    <row r="953" spans="1:33" ht="20.100000000000001" hidden="1" customHeight="1">
      <c r="A953" s="16" t="s">
        <v>26</v>
      </c>
      <c r="B953" s="16">
        <v>2022</v>
      </c>
      <c r="C953" s="14" t="s">
        <v>83</v>
      </c>
      <c r="D953" s="9" t="s">
        <v>679</v>
      </c>
      <c r="E953" s="17" t="s">
        <v>679</v>
      </c>
      <c r="F953" s="17" t="s">
        <v>679</v>
      </c>
      <c r="G953" s="168"/>
      <c r="AA953" s="31">
        <v>1.42</v>
      </c>
      <c r="AB953" s="77"/>
      <c r="AG953" s="277" t="s">
        <v>686</v>
      </c>
    </row>
    <row r="954" spans="1:33" ht="20.100000000000001" hidden="1" customHeight="1">
      <c r="A954" s="16" t="s">
        <v>26</v>
      </c>
      <c r="B954" s="16">
        <v>2022</v>
      </c>
      <c r="C954" s="14" t="s">
        <v>83</v>
      </c>
      <c r="D954" s="9" t="s">
        <v>685</v>
      </c>
      <c r="E954" s="17" t="s">
        <v>685</v>
      </c>
      <c r="F954" s="17" t="s">
        <v>685</v>
      </c>
      <c r="G954" s="168"/>
      <c r="AA954" s="31">
        <v>1.38</v>
      </c>
      <c r="AB954" s="77"/>
      <c r="AG954" s="277" t="s">
        <v>686</v>
      </c>
    </row>
    <row r="955" spans="1:33" ht="20.100000000000001" hidden="1" customHeight="1">
      <c r="A955" s="16" t="s">
        <v>26</v>
      </c>
      <c r="B955" s="16">
        <v>2022</v>
      </c>
      <c r="C955" s="14" t="s">
        <v>83</v>
      </c>
      <c r="D955" s="9" t="s">
        <v>683</v>
      </c>
      <c r="E955" s="17" t="s">
        <v>683</v>
      </c>
      <c r="F955" s="17" t="s">
        <v>683</v>
      </c>
      <c r="G955" s="168"/>
      <c r="AA955" s="31">
        <v>1.24</v>
      </c>
      <c r="AB955" s="77"/>
      <c r="AG955" s="278" t="s">
        <v>686</v>
      </c>
    </row>
    <row r="956" spans="1:33" ht="20.100000000000001" hidden="1" customHeight="1">
      <c r="A956" s="16" t="s">
        <v>26</v>
      </c>
      <c r="B956" s="16">
        <v>2022</v>
      </c>
      <c r="C956" s="14" t="s">
        <v>83</v>
      </c>
      <c r="D956" s="27" t="s">
        <v>202</v>
      </c>
      <c r="E956" s="35"/>
      <c r="F956" s="17"/>
      <c r="G956" s="168"/>
      <c r="AA956" s="31">
        <v>1.69</v>
      </c>
      <c r="AB956" s="77"/>
      <c r="AG956" s="278" t="s">
        <v>686</v>
      </c>
    </row>
    <row r="957" spans="1:33" ht="20.100000000000001" customHeight="1">
      <c r="A957" s="16" t="s">
        <v>26</v>
      </c>
      <c r="B957" s="16">
        <v>2023</v>
      </c>
      <c r="C957" s="14" t="s">
        <v>83</v>
      </c>
      <c r="D957" s="27" t="s">
        <v>663</v>
      </c>
      <c r="E957" s="35" t="s">
        <v>666</v>
      </c>
      <c r="F957" s="17" t="s">
        <v>666</v>
      </c>
      <c r="G957" s="168"/>
      <c r="AA957" s="31">
        <v>80.5</v>
      </c>
      <c r="AB957" s="77"/>
      <c r="AG957" s="278" t="s">
        <v>687</v>
      </c>
    </row>
    <row r="958" spans="1:33" ht="20.100000000000001" customHeight="1">
      <c r="A958" s="16" t="s">
        <v>26</v>
      </c>
      <c r="B958" s="16">
        <v>2023</v>
      </c>
      <c r="C958" s="14" t="s">
        <v>83</v>
      </c>
      <c r="D958" s="27" t="s">
        <v>676</v>
      </c>
      <c r="E958" s="35" t="s">
        <v>677</v>
      </c>
      <c r="F958" s="17" t="s">
        <v>678</v>
      </c>
      <c r="G958" s="168"/>
      <c r="AA958" s="31">
        <v>12.8</v>
      </c>
      <c r="AB958" s="77"/>
      <c r="AG958" s="278" t="s">
        <v>687</v>
      </c>
    </row>
    <row r="959" spans="1:33" ht="20.100000000000001" hidden="1" customHeight="1">
      <c r="A959" s="16" t="s">
        <v>26</v>
      </c>
      <c r="B959" s="16">
        <v>2023</v>
      </c>
      <c r="C959" s="14" t="s">
        <v>83</v>
      </c>
      <c r="D959" s="9" t="s">
        <v>679</v>
      </c>
      <c r="E959" s="17" t="s">
        <v>679</v>
      </c>
      <c r="F959" s="17" t="s">
        <v>679</v>
      </c>
      <c r="G959" s="168"/>
      <c r="AA959" s="31">
        <v>2.36</v>
      </c>
      <c r="AB959" s="77"/>
      <c r="AG959" s="278" t="s">
        <v>687</v>
      </c>
    </row>
    <row r="960" spans="1:33" ht="20.100000000000001" hidden="1" customHeight="1">
      <c r="A960" s="16" t="s">
        <v>26</v>
      </c>
      <c r="B960" s="16">
        <v>2023</v>
      </c>
      <c r="C960" s="14" t="s">
        <v>83</v>
      </c>
      <c r="D960" s="65" t="s">
        <v>685</v>
      </c>
      <c r="E960" s="133" t="s">
        <v>685</v>
      </c>
      <c r="F960" s="133" t="s">
        <v>685</v>
      </c>
      <c r="G960" s="168"/>
      <c r="AA960" s="79">
        <v>1.39</v>
      </c>
      <c r="AB960" s="77"/>
      <c r="AG960" s="278" t="s">
        <v>687</v>
      </c>
    </row>
    <row r="961" spans="1:33" ht="20.100000000000001" hidden="1" customHeight="1">
      <c r="A961" s="16" t="s">
        <v>26</v>
      </c>
      <c r="B961" s="16">
        <v>2023</v>
      </c>
      <c r="C961" s="14" t="s">
        <v>83</v>
      </c>
      <c r="D961" s="65" t="s">
        <v>683</v>
      </c>
      <c r="E961" s="133" t="s">
        <v>683</v>
      </c>
      <c r="F961" s="133" t="s">
        <v>683</v>
      </c>
      <c r="G961" s="168"/>
      <c r="AA961" s="79">
        <v>1.04</v>
      </c>
      <c r="AB961" s="77"/>
      <c r="AG961" s="277" t="s">
        <v>687</v>
      </c>
    </row>
    <row r="962" spans="1:33" ht="20.100000000000001" hidden="1" customHeight="1">
      <c r="A962" s="16" t="s">
        <v>26</v>
      </c>
      <c r="B962" s="16">
        <v>2023</v>
      </c>
      <c r="C962" s="14" t="s">
        <v>83</v>
      </c>
      <c r="D962" s="27" t="s">
        <v>202</v>
      </c>
      <c r="E962" s="62"/>
      <c r="F962" s="132"/>
      <c r="G962" s="168"/>
      <c r="AA962" s="79">
        <v>1.92</v>
      </c>
      <c r="AB962" s="77"/>
      <c r="AG962" s="277" t="s">
        <v>687</v>
      </c>
    </row>
    <row r="963" spans="1:33" ht="20.100000000000001" hidden="1" customHeight="1">
      <c r="A963" s="16" t="s">
        <v>26</v>
      </c>
      <c r="B963" s="16">
        <v>2000</v>
      </c>
      <c r="C963" s="14" t="s">
        <v>85</v>
      </c>
      <c r="D963" s="9" t="s">
        <v>666</v>
      </c>
      <c r="E963" s="17" t="s">
        <v>688</v>
      </c>
      <c r="F963" s="62"/>
      <c r="G963" s="168"/>
      <c r="AA963" s="25">
        <v>19.600000000000001</v>
      </c>
      <c r="AB963" s="77"/>
      <c r="AG963" s="14" t="s">
        <v>689</v>
      </c>
    </row>
    <row r="964" spans="1:33" ht="20.100000000000001" hidden="1" customHeight="1">
      <c r="A964" s="16" t="s">
        <v>26</v>
      </c>
      <c r="B964" s="16">
        <v>2000</v>
      </c>
      <c r="C964" s="14" t="s">
        <v>85</v>
      </c>
      <c r="D964" s="27" t="s">
        <v>676</v>
      </c>
      <c r="E964" s="17" t="s">
        <v>690</v>
      </c>
      <c r="F964" s="62"/>
      <c r="G964" s="168"/>
      <c r="AA964" s="25">
        <v>6.2</v>
      </c>
      <c r="AB964" s="77"/>
      <c r="AG964" s="9" t="s">
        <v>691</v>
      </c>
    </row>
    <row r="965" spans="1:33" ht="20.100000000000001" hidden="1" customHeight="1">
      <c r="A965" s="16" t="s">
        <v>26</v>
      </c>
      <c r="B965" s="16">
        <v>2000</v>
      </c>
      <c r="C965" s="14" t="s">
        <v>85</v>
      </c>
      <c r="D965" s="9" t="s">
        <v>692</v>
      </c>
      <c r="E965" s="17" t="s">
        <v>693</v>
      </c>
      <c r="F965" s="35"/>
      <c r="G965" s="168"/>
      <c r="AA965" s="25">
        <v>6.2</v>
      </c>
      <c r="AB965" s="77"/>
      <c r="AF965" s="142"/>
      <c r="AG965" s="150"/>
    </row>
    <row r="966" spans="1:33" ht="20.100000000000001" hidden="1" customHeight="1">
      <c r="A966" s="16" t="s">
        <v>26</v>
      </c>
      <c r="B966" s="16">
        <v>2000</v>
      </c>
      <c r="C966" s="14" t="s">
        <v>85</v>
      </c>
      <c r="D966" s="9" t="s">
        <v>678</v>
      </c>
      <c r="E966" s="17" t="s">
        <v>678</v>
      </c>
      <c r="F966" s="35"/>
      <c r="G966" s="168"/>
      <c r="AA966" s="25">
        <v>0</v>
      </c>
      <c r="AB966" s="77"/>
      <c r="AF966" s="142"/>
      <c r="AG966" s="150"/>
    </row>
    <row r="967" spans="1:33" ht="20.100000000000001" hidden="1" customHeight="1">
      <c r="A967" s="16" t="s">
        <v>26</v>
      </c>
      <c r="B967" s="16">
        <v>2000</v>
      </c>
      <c r="C967" s="14" t="s">
        <v>85</v>
      </c>
      <c r="D967" s="9" t="s">
        <v>679</v>
      </c>
      <c r="E967" s="17" t="s">
        <v>694</v>
      </c>
      <c r="F967" s="35"/>
      <c r="G967" s="168"/>
      <c r="AA967" s="25">
        <v>19.2</v>
      </c>
      <c r="AB967" s="77"/>
      <c r="AF967" s="142"/>
      <c r="AG967" s="150"/>
    </row>
    <row r="968" spans="1:33" ht="20.100000000000001" hidden="1" customHeight="1">
      <c r="A968" s="16" t="s">
        <v>26</v>
      </c>
      <c r="B968" s="16">
        <v>2000</v>
      </c>
      <c r="C968" s="14" t="s">
        <v>85</v>
      </c>
      <c r="D968" s="9" t="s">
        <v>695</v>
      </c>
      <c r="E968" s="17" t="s">
        <v>695</v>
      </c>
      <c r="F968" s="35"/>
      <c r="G968" s="168"/>
      <c r="AA968" s="25">
        <v>6.7</v>
      </c>
      <c r="AB968" s="77"/>
      <c r="AF968" s="142"/>
      <c r="AG968" s="150"/>
    </row>
    <row r="969" spans="1:33" ht="20.100000000000001" hidden="1" customHeight="1">
      <c r="A969" s="16" t="s">
        <v>26</v>
      </c>
      <c r="B969" s="16">
        <v>2000</v>
      </c>
      <c r="C969" s="14" t="s">
        <v>85</v>
      </c>
      <c r="D969" s="9" t="s">
        <v>696</v>
      </c>
      <c r="E969" s="17" t="s">
        <v>696</v>
      </c>
      <c r="F969" s="35"/>
      <c r="G969" s="168"/>
      <c r="AA969" s="25">
        <v>0</v>
      </c>
      <c r="AB969" s="77"/>
      <c r="AF969" s="142"/>
      <c r="AG969" s="150"/>
    </row>
    <row r="970" spans="1:33" ht="20.100000000000001" hidden="1" customHeight="1">
      <c r="A970" s="16" t="s">
        <v>26</v>
      </c>
      <c r="B970" s="16">
        <v>2000</v>
      </c>
      <c r="C970" s="14" t="s">
        <v>85</v>
      </c>
      <c r="D970" s="9" t="s">
        <v>697</v>
      </c>
      <c r="E970" s="9" t="s">
        <v>697</v>
      </c>
      <c r="F970" s="35"/>
      <c r="G970" s="168"/>
      <c r="AA970" s="25">
        <v>7.6</v>
      </c>
      <c r="AB970" s="77"/>
      <c r="AF970" s="142"/>
      <c r="AG970" s="150"/>
    </row>
    <row r="971" spans="1:33" ht="20.100000000000001" hidden="1" customHeight="1">
      <c r="A971" s="16" t="s">
        <v>26</v>
      </c>
      <c r="B971" s="16">
        <v>2000</v>
      </c>
      <c r="C971" s="14" t="s">
        <v>85</v>
      </c>
      <c r="D971" s="9" t="s">
        <v>698</v>
      </c>
      <c r="E971" s="17" t="s">
        <v>698</v>
      </c>
      <c r="F971" s="62"/>
      <c r="G971" s="168"/>
      <c r="AA971" s="25">
        <v>11.6</v>
      </c>
      <c r="AB971" s="77"/>
      <c r="AF971" s="142"/>
      <c r="AG971" s="150"/>
    </row>
    <row r="972" spans="1:33" ht="20.100000000000001" hidden="1" customHeight="1">
      <c r="A972" s="16" t="s">
        <v>26</v>
      </c>
      <c r="B972" s="16">
        <v>2000</v>
      </c>
      <c r="C972" s="14" t="s">
        <v>85</v>
      </c>
      <c r="D972" s="27" t="s">
        <v>202</v>
      </c>
      <c r="E972" s="17" t="s">
        <v>192</v>
      </c>
      <c r="F972" s="62"/>
      <c r="G972" s="168"/>
      <c r="AA972" s="25">
        <v>29.1</v>
      </c>
      <c r="AB972" s="77"/>
      <c r="AF972" s="142"/>
      <c r="AG972" s="150"/>
    </row>
    <row r="973" spans="1:33" ht="20.100000000000001" hidden="1" customHeight="1">
      <c r="A973" s="16" t="s">
        <v>26</v>
      </c>
      <c r="B973" s="16">
        <v>2004</v>
      </c>
      <c r="C973" s="14" t="s">
        <v>85</v>
      </c>
      <c r="D973" s="9" t="s">
        <v>666</v>
      </c>
      <c r="E973" s="17" t="s">
        <v>688</v>
      </c>
      <c r="F973" s="62"/>
      <c r="G973" s="168"/>
      <c r="AA973" s="25">
        <v>78.8</v>
      </c>
      <c r="AB973" s="77"/>
      <c r="AF973" s="142"/>
      <c r="AG973" s="150"/>
    </row>
    <row r="974" spans="1:33" ht="20.100000000000001" hidden="1" customHeight="1">
      <c r="A974" s="16" t="s">
        <v>26</v>
      </c>
      <c r="B974" s="16">
        <v>2004</v>
      </c>
      <c r="C974" s="14" t="s">
        <v>85</v>
      </c>
      <c r="D974" s="27" t="s">
        <v>676</v>
      </c>
      <c r="E974" s="17" t="s">
        <v>690</v>
      </c>
      <c r="F974" s="62"/>
      <c r="G974" s="168"/>
      <c r="AA974" s="25">
        <v>4.3</v>
      </c>
      <c r="AB974" s="77"/>
      <c r="AF974" s="142"/>
      <c r="AG974" s="150"/>
    </row>
    <row r="975" spans="1:33" ht="20.100000000000001" hidden="1" customHeight="1">
      <c r="A975" s="16" t="s">
        <v>26</v>
      </c>
      <c r="B975" s="16">
        <v>2004</v>
      </c>
      <c r="C975" s="14" t="s">
        <v>85</v>
      </c>
      <c r="D975" s="9" t="s">
        <v>692</v>
      </c>
      <c r="E975" s="17" t="s">
        <v>693</v>
      </c>
      <c r="F975" s="62"/>
      <c r="G975" s="168"/>
      <c r="AA975" s="25">
        <v>4.3</v>
      </c>
      <c r="AB975" s="77"/>
      <c r="AF975" s="142"/>
      <c r="AG975" s="150"/>
    </row>
    <row r="976" spans="1:33" ht="20.100000000000001" hidden="1" customHeight="1">
      <c r="A976" s="16" t="s">
        <v>26</v>
      </c>
      <c r="B976" s="16">
        <v>2004</v>
      </c>
      <c r="C976" s="14" t="s">
        <v>85</v>
      </c>
      <c r="D976" s="9" t="s">
        <v>678</v>
      </c>
      <c r="E976" s="17" t="s">
        <v>678</v>
      </c>
      <c r="F976" s="62"/>
      <c r="G976" s="168"/>
      <c r="AA976" s="25">
        <v>0</v>
      </c>
      <c r="AB976" s="77"/>
      <c r="AF976" s="142"/>
      <c r="AG976" s="150"/>
    </row>
    <row r="977" spans="1:33" ht="20.100000000000001" hidden="1" customHeight="1">
      <c r="A977" s="16" t="s">
        <v>26</v>
      </c>
      <c r="B977" s="16">
        <v>2004</v>
      </c>
      <c r="C977" s="14" t="s">
        <v>85</v>
      </c>
      <c r="D977" s="9" t="s">
        <v>679</v>
      </c>
      <c r="E977" s="17" t="s">
        <v>694</v>
      </c>
      <c r="F977" s="62"/>
      <c r="G977" s="168"/>
      <c r="AA977" s="25">
        <v>5.6</v>
      </c>
      <c r="AB977" s="77"/>
      <c r="AF977" s="142"/>
      <c r="AG977" s="150"/>
    </row>
    <row r="978" spans="1:33" ht="20.100000000000001" hidden="1" customHeight="1">
      <c r="A978" s="16" t="s">
        <v>26</v>
      </c>
      <c r="B978" s="16">
        <v>2004</v>
      </c>
      <c r="C978" s="14" t="s">
        <v>85</v>
      </c>
      <c r="D978" s="9" t="s">
        <v>695</v>
      </c>
      <c r="E978" s="17" t="s">
        <v>695</v>
      </c>
      <c r="F978" s="62"/>
      <c r="G978" s="168"/>
      <c r="AA978" s="25">
        <v>0</v>
      </c>
      <c r="AB978" s="77"/>
      <c r="AF978" s="142"/>
      <c r="AG978" s="150"/>
    </row>
    <row r="979" spans="1:33" ht="20.100000000000001" hidden="1" customHeight="1">
      <c r="A979" s="16" t="s">
        <v>26</v>
      </c>
      <c r="B979" s="16">
        <v>2004</v>
      </c>
      <c r="C979" s="14" t="s">
        <v>85</v>
      </c>
      <c r="D979" s="9" t="s">
        <v>696</v>
      </c>
      <c r="E979" s="17" t="s">
        <v>696</v>
      </c>
      <c r="F979" s="62"/>
      <c r="G979" s="168"/>
      <c r="AA979" s="25">
        <v>1.6</v>
      </c>
      <c r="AB979" s="77"/>
      <c r="AF979" s="142"/>
      <c r="AG979" s="150"/>
    </row>
    <row r="980" spans="1:33" ht="20.100000000000001" hidden="1" customHeight="1">
      <c r="A980" s="16" t="s">
        <v>26</v>
      </c>
      <c r="B980" s="16">
        <v>2004</v>
      </c>
      <c r="C980" s="14" t="s">
        <v>85</v>
      </c>
      <c r="D980" s="9" t="s">
        <v>697</v>
      </c>
      <c r="E980" s="9" t="s">
        <v>697</v>
      </c>
      <c r="F980" s="62"/>
      <c r="G980" s="168"/>
      <c r="AA980" s="25">
        <v>0.3</v>
      </c>
      <c r="AB980" s="77"/>
      <c r="AF980" s="142"/>
      <c r="AG980" s="150"/>
    </row>
    <row r="981" spans="1:33" ht="20.100000000000001" hidden="1" customHeight="1">
      <c r="A981" s="16" t="s">
        <v>26</v>
      </c>
      <c r="B981" s="16">
        <v>2004</v>
      </c>
      <c r="C981" s="14" t="s">
        <v>85</v>
      </c>
      <c r="D981" s="9" t="s">
        <v>698</v>
      </c>
      <c r="E981" s="17" t="s">
        <v>698</v>
      </c>
      <c r="F981" s="62"/>
      <c r="G981" s="168"/>
      <c r="AA981" s="25">
        <v>0.5</v>
      </c>
      <c r="AB981" s="77"/>
      <c r="AF981" s="142"/>
      <c r="AG981" s="150"/>
    </row>
    <row r="982" spans="1:33" ht="20.100000000000001" hidden="1" customHeight="1">
      <c r="A982" s="16" t="s">
        <v>26</v>
      </c>
      <c r="B982" s="16">
        <v>2004</v>
      </c>
      <c r="C982" s="14" t="s">
        <v>85</v>
      </c>
      <c r="D982" s="27" t="s">
        <v>202</v>
      </c>
      <c r="E982" s="17" t="s">
        <v>192</v>
      </c>
      <c r="F982" s="62"/>
      <c r="G982" s="168"/>
      <c r="AA982" s="25">
        <v>8.9</v>
      </c>
      <c r="AB982" s="77"/>
      <c r="AF982" s="142"/>
      <c r="AG982" s="150"/>
    </row>
    <row r="983" spans="1:33" ht="20.100000000000001" hidden="1" customHeight="1">
      <c r="A983" s="16" t="s">
        <v>26</v>
      </c>
      <c r="B983" s="16">
        <v>2008</v>
      </c>
      <c r="C983" s="14" t="s">
        <v>85</v>
      </c>
      <c r="D983" s="9" t="s">
        <v>666</v>
      </c>
      <c r="E983" s="17" t="s">
        <v>688</v>
      </c>
      <c r="F983" s="35"/>
      <c r="G983" s="168"/>
      <c r="H983" s="235">
        <f t="shared" ref="H983:H992" si="74">G983/0.679922680042729</f>
        <v>0</v>
      </c>
      <c r="AA983" s="25">
        <v>87</v>
      </c>
      <c r="AB983" s="77"/>
      <c r="AF983" s="142"/>
      <c r="AG983" s="150"/>
    </row>
    <row r="984" spans="1:33" ht="20.100000000000001" hidden="1" customHeight="1">
      <c r="A984" s="16" t="s">
        <v>26</v>
      </c>
      <c r="B984" s="16">
        <v>2008</v>
      </c>
      <c r="C984" s="14" t="s">
        <v>85</v>
      </c>
      <c r="D984" s="27" t="s">
        <v>676</v>
      </c>
      <c r="E984" s="17" t="s">
        <v>690</v>
      </c>
      <c r="F984" s="35"/>
      <c r="G984" s="168"/>
      <c r="H984" s="235">
        <f t="shared" si="74"/>
        <v>0</v>
      </c>
      <c r="AA984" s="25">
        <v>1.8</v>
      </c>
      <c r="AB984" s="77"/>
      <c r="AF984" s="142"/>
      <c r="AG984" s="150"/>
    </row>
    <row r="985" spans="1:33" ht="20.100000000000001" hidden="1" customHeight="1">
      <c r="A985" s="16" t="s">
        <v>26</v>
      </c>
      <c r="B985" s="16">
        <v>2008</v>
      </c>
      <c r="C985" s="14" t="s">
        <v>85</v>
      </c>
      <c r="D985" s="9" t="s">
        <v>692</v>
      </c>
      <c r="E985" s="17" t="s">
        <v>693</v>
      </c>
      <c r="F985" s="35"/>
      <c r="G985" s="168"/>
      <c r="H985" s="235">
        <f t="shared" si="74"/>
        <v>0</v>
      </c>
      <c r="AA985" s="25">
        <v>1.8</v>
      </c>
      <c r="AB985" s="77"/>
      <c r="AF985" s="142"/>
      <c r="AG985" s="150"/>
    </row>
    <row r="986" spans="1:33" ht="20.100000000000001" hidden="1" customHeight="1">
      <c r="A986" s="16" t="s">
        <v>26</v>
      </c>
      <c r="B986" s="16">
        <v>2008</v>
      </c>
      <c r="C986" s="14" t="s">
        <v>85</v>
      </c>
      <c r="D986" s="9" t="s">
        <v>678</v>
      </c>
      <c r="E986" s="17" t="s">
        <v>678</v>
      </c>
      <c r="F986" s="35"/>
      <c r="G986" s="168"/>
      <c r="H986" s="235">
        <f t="shared" si="74"/>
        <v>0</v>
      </c>
      <c r="AA986" s="25">
        <v>0</v>
      </c>
      <c r="AB986" s="77"/>
      <c r="AF986" s="142"/>
      <c r="AG986" s="150"/>
    </row>
    <row r="987" spans="1:33" ht="20.100000000000001" hidden="1" customHeight="1">
      <c r="A987" s="16" t="s">
        <v>26</v>
      </c>
      <c r="B987" s="16">
        <v>2008</v>
      </c>
      <c r="C987" s="14" t="s">
        <v>85</v>
      </c>
      <c r="D987" s="9" t="s">
        <v>679</v>
      </c>
      <c r="E987" s="17" t="s">
        <v>694</v>
      </c>
      <c r="F987" s="35"/>
      <c r="G987" s="168"/>
      <c r="H987" s="235">
        <f t="shared" si="74"/>
        <v>0</v>
      </c>
      <c r="AA987" s="25">
        <v>3</v>
      </c>
      <c r="AB987" s="77"/>
      <c r="AF987" s="142"/>
      <c r="AG987" s="150"/>
    </row>
    <row r="988" spans="1:33" ht="20.100000000000001" hidden="1" customHeight="1">
      <c r="A988" s="16" t="s">
        <v>26</v>
      </c>
      <c r="B988" s="16">
        <v>2008</v>
      </c>
      <c r="C988" s="14" t="s">
        <v>85</v>
      </c>
      <c r="D988" s="9" t="s">
        <v>695</v>
      </c>
      <c r="E988" s="17" t="s">
        <v>695</v>
      </c>
      <c r="F988" s="35"/>
      <c r="G988" s="168"/>
      <c r="H988" s="235">
        <f t="shared" si="74"/>
        <v>0</v>
      </c>
      <c r="AA988" s="25">
        <v>0</v>
      </c>
      <c r="AB988" s="77"/>
      <c r="AF988" s="142"/>
      <c r="AG988" s="150"/>
    </row>
    <row r="989" spans="1:33" ht="20.100000000000001" hidden="1" customHeight="1">
      <c r="A989" s="16" t="s">
        <v>26</v>
      </c>
      <c r="B989" s="16">
        <v>2008</v>
      </c>
      <c r="C989" s="14" t="s">
        <v>85</v>
      </c>
      <c r="D989" s="9" t="s">
        <v>696</v>
      </c>
      <c r="E989" s="17" t="s">
        <v>696</v>
      </c>
      <c r="F989" s="35"/>
      <c r="G989" s="168"/>
      <c r="H989" s="235">
        <f t="shared" si="74"/>
        <v>0</v>
      </c>
      <c r="AA989" s="25">
        <v>2.1</v>
      </c>
      <c r="AB989" s="77"/>
      <c r="AF989" s="142"/>
      <c r="AG989" s="150"/>
    </row>
    <row r="990" spans="1:33" ht="20.100000000000001" hidden="1" customHeight="1">
      <c r="A990" s="16" t="s">
        <v>26</v>
      </c>
      <c r="B990" s="16">
        <v>2008</v>
      </c>
      <c r="C990" s="14" t="s">
        <v>85</v>
      </c>
      <c r="D990" s="9" t="s">
        <v>697</v>
      </c>
      <c r="E990" s="9" t="s">
        <v>697</v>
      </c>
      <c r="F990" s="35"/>
      <c r="G990" s="168"/>
      <c r="H990" s="235">
        <f t="shared" si="74"/>
        <v>0</v>
      </c>
      <c r="AA990" s="25">
        <v>0.5</v>
      </c>
      <c r="AB990" s="77"/>
      <c r="AF990" s="142"/>
      <c r="AG990" s="150"/>
    </row>
    <row r="991" spans="1:33" ht="20.100000000000001" hidden="1" customHeight="1">
      <c r="A991" s="16" t="s">
        <v>26</v>
      </c>
      <c r="B991" s="16">
        <v>2008</v>
      </c>
      <c r="C991" s="14" t="s">
        <v>85</v>
      </c>
      <c r="D991" s="9" t="s">
        <v>698</v>
      </c>
      <c r="E991" s="17" t="s">
        <v>698</v>
      </c>
      <c r="F991" s="35"/>
      <c r="G991" s="168"/>
      <c r="H991" s="235">
        <f t="shared" si="74"/>
        <v>0</v>
      </c>
      <c r="AA991" s="25">
        <v>0.1</v>
      </c>
      <c r="AB991" s="77"/>
      <c r="AF991" s="142"/>
      <c r="AG991" s="150"/>
    </row>
    <row r="992" spans="1:33" ht="20.100000000000001" hidden="1" customHeight="1">
      <c r="A992" s="16" t="s">
        <v>26</v>
      </c>
      <c r="B992" s="16">
        <v>2008</v>
      </c>
      <c r="C992" s="14" t="s">
        <v>85</v>
      </c>
      <c r="D992" s="27" t="s">
        <v>202</v>
      </c>
      <c r="E992" s="17" t="s">
        <v>192</v>
      </c>
      <c r="F992" s="35"/>
      <c r="G992" s="168"/>
      <c r="H992" s="235">
        <f t="shared" si="74"/>
        <v>0</v>
      </c>
      <c r="AA992" s="25">
        <v>5.5</v>
      </c>
      <c r="AB992" s="77"/>
      <c r="AF992" s="142"/>
      <c r="AG992" s="150"/>
    </row>
    <row r="993" spans="1:33" ht="20.100000000000001" hidden="1" customHeight="1">
      <c r="A993" s="16" t="s">
        <v>26</v>
      </c>
      <c r="B993" s="16">
        <v>2010</v>
      </c>
      <c r="C993" s="14" t="s">
        <v>85</v>
      </c>
      <c r="D993" s="9" t="s">
        <v>666</v>
      </c>
      <c r="E993" s="17" t="s">
        <v>688</v>
      </c>
      <c r="F993" s="35"/>
      <c r="G993" s="168"/>
      <c r="AA993" s="25">
        <v>89.1</v>
      </c>
      <c r="AB993" s="77"/>
      <c r="AF993" s="142"/>
      <c r="AG993" s="150"/>
    </row>
    <row r="994" spans="1:33" ht="20.100000000000001" hidden="1" customHeight="1">
      <c r="A994" s="16" t="s">
        <v>26</v>
      </c>
      <c r="B994" s="16">
        <v>2010</v>
      </c>
      <c r="C994" s="14" t="s">
        <v>85</v>
      </c>
      <c r="D994" s="27" t="s">
        <v>676</v>
      </c>
      <c r="E994" s="17" t="s">
        <v>690</v>
      </c>
      <c r="F994" s="35"/>
      <c r="G994" s="168"/>
      <c r="AA994" s="25">
        <v>3.3</v>
      </c>
      <c r="AB994" s="77"/>
      <c r="AF994" s="142"/>
      <c r="AG994" s="150"/>
    </row>
    <row r="995" spans="1:33" ht="20.100000000000001" hidden="1" customHeight="1">
      <c r="A995" s="16" t="s">
        <v>26</v>
      </c>
      <c r="B995" s="16">
        <v>2010</v>
      </c>
      <c r="C995" s="14" t="s">
        <v>85</v>
      </c>
      <c r="D995" s="9" t="s">
        <v>692</v>
      </c>
      <c r="E995" s="17" t="s">
        <v>693</v>
      </c>
      <c r="F995" s="35"/>
      <c r="G995" s="168"/>
      <c r="AA995" s="25">
        <v>0.2</v>
      </c>
      <c r="AB995" s="77"/>
      <c r="AF995" s="142"/>
      <c r="AG995" s="150"/>
    </row>
    <row r="996" spans="1:33" ht="20.100000000000001" hidden="1" customHeight="1">
      <c r="A996" s="16" t="s">
        <v>26</v>
      </c>
      <c r="B996" s="16">
        <v>2010</v>
      </c>
      <c r="C996" s="14" t="s">
        <v>85</v>
      </c>
      <c r="D996" s="9" t="s">
        <v>678</v>
      </c>
      <c r="E996" s="17" t="s">
        <v>678</v>
      </c>
      <c r="F996" s="35"/>
      <c r="G996" s="168"/>
      <c r="AA996" s="25">
        <v>3.1</v>
      </c>
      <c r="AB996" s="77"/>
      <c r="AF996" s="142"/>
      <c r="AG996" s="150"/>
    </row>
    <row r="997" spans="1:33" ht="20.100000000000001" hidden="1" customHeight="1">
      <c r="A997" s="16" t="s">
        <v>26</v>
      </c>
      <c r="B997" s="16">
        <v>2010</v>
      </c>
      <c r="C997" s="14" t="s">
        <v>85</v>
      </c>
      <c r="D997" s="9" t="s">
        <v>679</v>
      </c>
      <c r="E997" s="17" t="s">
        <v>694</v>
      </c>
      <c r="F997" s="35"/>
      <c r="G997" s="168"/>
      <c r="AA997" s="25">
        <v>2.5</v>
      </c>
      <c r="AB997" s="77"/>
      <c r="AF997" s="142"/>
      <c r="AG997" s="150"/>
    </row>
    <row r="998" spans="1:33" ht="20.100000000000001" hidden="1" customHeight="1">
      <c r="A998" s="16" t="s">
        <v>26</v>
      </c>
      <c r="B998" s="16">
        <v>2010</v>
      </c>
      <c r="C998" s="14" t="s">
        <v>85</v>
      </c>
      <c r="D998" s="9" t="s">
        <v>695</v>
      </c>
      <c r="E998" s="17" t="s">
        <v>695</v>
      </c>
      <c r="F998" s="35"/>
      <c r="G998" s="168"/>
      <c r="AA998" s="25">
        <v>0</v>
      </c>
      <c r="AB998" s="77"/>
      <c r="AF998" s="142"/>
      <c r="AG998" s="150"/>
    </row>
    <row r="999" spans="1:33" ht="20.100000000000001" hidden="1" customHeight="1">
      <c r="A999" s="16" t="s">
        <v>26</v>
      </c>
      <c r="B999" s="16">
        <v>2010</v>
      </c>
      <c r="C999" s="14" t="s">
        <v>85</v>
      </c>
      <c r="D999" s="9" t="s">
        <v>696</v>
      </c>
      <c r="E999" s="17" t="s">
        <v>696</v>
      </c>
      <c r="F999" s="35"/>
      <c r="G999" s="168"/>
      <c r="AA999" s="25">
        <v>2</v>
      </c>
      <c r="AB999" s="77"/>
      <c r="AF999" s="142"/>
      <c r="AG999" s="150"/>
    </row>
    <row r="1000" spans="1:33" ht="20.100000000000001" hidden="1" customHeight="1">
      <c r="A1000" s="16" t="s">
        <v>26</v>
      </c>
      <c r="B1000" s="16">
        <v>2010</v>
      </c>
      <c r="C1000" s="14" t="s">
        <v>85</v>
      </c>
      <c r="D1000" s="9" t="s">
        <v>697</v>
      </c>
      <c r="E1000" s="9" t="s">
        <v>697</v>
      </c>
      <c r="F1000" s="35"/>
      <c r="G1000" s="168"/>
      <c r="AA1000" s="25">
        <v>0.5</v>
      </c>
      <c r="AB1000" s="77"/>
      <c r="AF1000" s="142"/>
      <c r="AG1000" s="150"/>
    </row>
    <row r="1001" spans="1:33" ht="20.100000000000001" hidden="1" customHeight="1">
      <c r="A1001" s="16" t="s">
        <v>26</v>
      </c>
      <c r="B1001" s="16">
        <v>2010</v>
      </c>
      <c r="C1001" s="14" t="s">
        <v>85</v>
      </c>
      <c r="D1001" s="9" t="s">
        <v>698</v>
      </c>
      <c r="E1001" s="17" t="s">
        <v>698</v>
      </c>
      <c r="F1001" s="35"/>
      <c r="G1001" s="168"/>
      <c r="AA1001" s="25">
        <v>0</v>
      </c>
      <c r="AB1001" s="77"/>
      <c r="AF1001" s="142"/>
      <c r="AG1001" s="150"/>
    </row>
    <row r="1002" spans="1:33" ht="20.100000000000001" hidden="1" customHeight="1">
      <c r="A1002" s="16" t="s">
        <v>26</v>
      </c>
      <c r="B1002" s="16">
        <v>2010</v>
      </c>
      <c r="C1002" s="14" t="s">
        <v>85</v>
      </c>
      <c r="D1002" s="27" t="s">
        <v>202</v>
      </c>
      <c r="E1002" s="17" t="s">
        <v>192</v>
      </c>
      <c r="F1002" s="35"/>
      <c r="G1002" s="168"/>
      <c r="AA1002" s="25">
        <v>2.6</v>
      </c>
      <c r="AB1002" s="77"/>
      <c r="AF1002" s="142"/>
      <c r="AG1002" s="150"/>
    </row>
    <row r="1003" spans="1:33" ht="20.100000000000001" hidden="1" customHeight="1">
      <c r="A1003" s="16" t="s">
        <v>26</v>
      </c>
      <c r="B1003" s="16">
        <v>2013</v>
      </c>
      <c r="C1003" s="14" t="s">
        <v>85</v>
      </c>
      <c r="D1003" s="9" t="s">
        <v>666</v>
      </c>
      <c r="E1003" s="17" t="s">
        <v>688</v>
      </c>
      <c r="F1003" s="62"/>
      <c r="G1003" s="168"/>
      <c r="AA1003" s="25">
        <v>90.5</v>
      </c>
      <c r="AB1003" s="77"/>
      <c r="AF1003" s="142"/>
      <c r="AG1003" s="150"/>
    </row>
    <row r="1004" spans="1:33" ht="20.100000000000001" hidden="1" customHeight="1">
      <c r="A1004" s="16" t="s">
        <v>26</v>
      </c>
      <c r="B1004" s="16">
        <v>2013</v>
      </c>
      <c r="C1004" s="14" t="s">
        <v>85</v>
      </c>
      <c r="D1004" s="27" t="s">
        <v>676</v>
      </c>
      <c r="E1004" s="17" t="s">
        <v>690</v>
      </c>
      <c r="F1004" s="62"/>
      <c r="G1004" s="168"/>
      <c r="AA1004" s="25">
        <v>3.2</v>
      </c>
      <c r="AB1004" s="77"/>
      <c r="AF1004" s="142"/>
      <c r="AG1004" s="150"/>
    </row>
    <row r="1005" spans="1:33" ht="20.100000000000001" hidden="1" customHeight="1">
      <c r="A1005" s="16" t="s">
        <v>26</v>
      </c>
      <c r="B1005" s="16">
        <v>2013</v>
      </c>
      <c r="C1005" s="14" t="s">
        <v>85</v>
      </c>
      <c r="D1005" s="9" t="s">
        <v>692</v>
      </c>
      <c r="E1005" s="17" t="s">
        <v>693</v>
      </c>
      <c r="F1005" s="62"/>
      <c r="G1005" s="168"/>
      <c r="AA1005" s="25">
        <v>0</v>
      </c>
      <c r="AB1005" s="77"/>
      <c r="AF1005" s="142"/>
      <c r="AG1005" s="150"/>
    </row>
    <row r="1006" spans="1:33" ht="20.100000000000001" hidden="1" customHeight="1">
      <c r="A1006" s="16" t="s">
        <v>26</v>
      </c>
      <c r="B1006" s="16">
        <v>2013</v>
      </c>
      <c r="C1006" s="14" t="s">
        <v>85</v>
      </c>
      <c r="D1006" s="9" t="s">
        <v>678</v>
      </c>
      <c r="E1006" s="17" t="s">
        <v>678</v>
      </c>
      <c r="F1006" s="62"/>
      <c r="G1006" s="168"/>
      <c r="AA1006" s="25">
        <v>3.2</v>
      </c>
      <c r="AB1006" s="77"/>
      <c r="AF1006" s="142"/>
      <c r="AG1006" s="150"/>
    </row>
    <row r="1007" spans="1:33" ht="20.100000000000001" hidden="1" customHeight="1">
      <c r="A1007" s="16" t="s">
        <v>26</v>
      </c>
      <c r="B1007" s="16">
        <v>2013</v>
      </c>
      <c r="C1007" s="14" t="s">
        <v>85</v>
      </c>
      <c r="D1007" s="9" t="s">
        <v>679</v>
      </c>
      <c r="E1007" s="17" t="s">
        <v>694</v>
      </c>
      <c r="F1007" s="62"/>
      <c r="G1007" s="168"/>
      <c r="AA1007" s="25">
        <v>1.6</v>
      </c>
      <c r="AB1007" s="77"/>
      <c r="AF1007" s="142"/>
      <c r="AG1007" s="150"/>
    </row>
    <row r="1008" spans="1:33" ht="20.100000000000001" hidden="1" customHeight="1">
      <c r="A1008" s="16" t="s">
        <v>26</v>
      </c>
      <c r="B1008" s="16">
        <v>2013</v>
      </c>
      <c r="C1008" s="14" t="s">
        <v>85</v>
      </c>
      <c r="D1008" s="9" t="s">
        <v>695</v>
      </c>
      <c r="E1008" s="17" t="s">
        <v>695</v>
      </c>
      <c r="F1008" s="62"/>
      <c r="G1008" s="168"/>
      <c r="AA1008" s="25">
        <v>0</v>
      </c>
      <c r="AB1008" s="77"/>
      <c r="AF1008" s="142"/>
      <c r="AG1008" s="150"/>
    </row>
    <row r="1009" spans="1:33" ht="20.100000000000001" hidden="1" customHeight="1">
      <c r="A1009" s="16" t="s">
        <v>26</v>
      </c>
      <c r="B1009" s="16">
        <v>2013</v>
      </c>
      <c r="C1009" s="14" t="s">
        <v>85</v>
      </c>
      <c r="D1009" s="9" t="s">
        <v>696</v>
      </c>
      <c r="E1009" s="17" t="s">
        <v>696</v>
      </c>
      <c r="F1009" s="62"/>
      <c r="G1009" s="168"/>
      <c r="AA1009" s="25">
        <v>1.1000000000000001</v>
      </c>
      <c r="AB1009" s="77"/>
      <c r="AF1009" s="142"/>
      <c r="AG1009" s="150"/>
    </row>
    <row r="1010" spans="1:33" ht="20.100000000000001" hidden="1" customHeight="1">
      <c r="A1010" s="16" t="s">
        <v>26</v>
      </c>
      <c r="B1010" s="16">
        <v>2013</v>
      </c>
      <c r="C1010" s="14" t="s">
        <v>85</v>
      </c>
      <c r="D1010" s="9" t="s">
        <v>697</v>
      </c>
      <c r="E1010" s="9" t="s">
        <v>697</v>
      </c>
      <c r="F1010" s="62"/>
      <c r="G1010" s="168"/>
      <c r="AA1010" s="25">
        <v>0.7</v>
      </c>
      <c r="AB1010" s="77"/>
      <c r="AF1010" s="142"/>
      <c r="AG1010" s="150"/>
    </row>
    <row r="1011" spans="1:33" ht="20.100000000000001" hidden="1" customHeight="1">
      <c r="A1011" s="16" t="s">
        <v>26</v>
      </c>
      <c r="B1011" s="16">
        <v>2013</v>
      </c>
      <c r="C1011" s="14" t="s">
        <v>85</v>
      </c>
      <c r="D1011" s="9" t="s">
        <v>698</v>
      </c>
      <c r="E1011" s="17" t="s">
        <v>698</v>
      </c>
      <c r="F1011" s="62"/>
      <c r="G1011" s="168"/>
      <c r="AA1011" s="25">
        <v>0</v>
      </c>
      <c r="AB1011" s="77"/>
      <c r="AF1011" s="142"/>
      <c r="AG1011" s="150"/>
    </row>
    <row r="1012" spans="1:33" ht="20.100000000000001" hidden="1" customHeight="1">
      <c r="A1012" s="16" t="s">
        <v>26</v>
      </c>
      <c r="B1012" s="16">
        <v>2013</v>
      </c>
      <c r="C1012" s="14" t="s">
        <v>85</v>
      </c>
      <c r="D1012" s="27" t="s">
        <v>202</v>
      </c>
      <c r="E1012" s="17" t="s">
        <v>192</v>
      </c>
      <c r="F1012" s="62"/>
      <c r="G1012" s="168"/>
      <c r="AA1012" s="25">
        <v>2.9</v>
      </c>
      <c r="AB1012" s="77"/>
      <c r="AF1012" s="142"/>
      <c r="AG1012" s="150"/>
    </row>
    <row r="1013" spans="1:33" ht="20.100000000000001" hidden="1" customHeight="1">
      <c r="A1013" s="16" t="s">
        <v>26</v>
      </c>
      <c r="B1013" s="15">
        <v>2018</v>
      </c>
      <c r="C1013" s="14" t="s">
        <v>85</v>
      </c>
      <c r="D1013" s="9" t="s">
        <v>665</v>
      </c>
      <c r="E1013" s="17" t="s">
        <v>666</v>
      </c>
      <c r="F1013" s="132" t="s">
        <v>666</v>
      </c>
      <c r="G1013" s="168"/>
      <c r="AA1013" s="13">
        <v>93.76</v>
      </c>
      <c r="AB1013" s="77"/>
      <c r="AG1013" s="85" t="s">
        <v>699</v>
      </c>
    </row>
    <row r="1014" spans="1:33" ht="20.100000000000001" hidden="1" customHeight="1">
      <c r="A1014" s="16" t="s">
        <v>26</v>
      </c>
      <c r="B1014" s="15">
        <v>2018</v>
      </c>
      <c r="C1014" s="14" t="s">
        <v>85</v>
      </c>
      <c r="D1014" s="27" t="s">
        <v>676</v>
      </c>
      <c r="E1014" s="17" t="s">
        <v>677</v>
      </c>
      <c r="F1014" s="133" t="s">
        <v>678</v>
      </c>
      <c r="G1014" s="168"/>
      <c r="AA1014" s="13">
        <v>3.92</v>
      </c>
      <c r="AB1014" s="77"/>
      <c r="AG1014" s="260" t="s">
        <v>699</v>
      </c>
    </row>
    <row r="1015" spans="1:33" ht="20.100000000000001" hidden="1" customHeight="1">
      <c r="A1015" s="16" t="s">
        <v>26</v>
      </c>
      <c r="B1015" s="15">
        <v>2018</v>
      </c>
      <c r="C1015" s="14" t="s">
        <v>85</v>
      </c>
      <c r="D1015" s="27" t="s">
        <v>202</v>
      </c>
      <c r="E1015" s="17"/>
      <c r="F1015" s="132"/>
      <c r="G1015" s="168"/>
      <c r="AA1015" s="13">
        <v>2.3199999999999998</v>
      </c>
      <c r="AB1015" s="77"/>
      <c r="AG1015" s="260" t="s">
        <v>699</v>
      </c>
    </row>
    <row r="1016" spans="1:33" ht="20.100000000000001" customHeight="1">
      <c r="A1016" s="16" t="s">
        <v>26</v>
      </c>
      <c r="B1016" s="15">
        <v>2019</v>
      </c>
      <c r="C1016" s="14" t="s">
        <v>85</v>
      </c>
      <c r="D1016" s="9" t="s">
        <v>665</v>
      </c>
      <c r="E1016" s="17" t="s">
        <v>666</v>
      </c>
      <c r="F1016" s="132" t="s">
        <v>666</v>
      </c>
      <c r="G1016" s="168"/>
      <c r="H1016" s="170">
        <f t="shared" ref="H1016:H1018" si="75">G1016/0.893276257067409</f>
        <v>0</v>
      </c>
      <c r="AA1016" s="13">
        <v>94.61</v>
      </c>
      <c r="AB1016" s="77"/>
      <c r="AG1016" s="85" t="s">
        <v>700</v>
      </c>
    </row>
    <row r="1017" spans="1:33" ht="20.100000000000001" customHeight="1">
      <c r="A1017" s="16" t="s">
        <v>26</v>
      </c>
      <c r="B1017" s="15">
        <v>2019</v>
      </c>
      <c r="C1017" s="14" t="s">
        <v>85</v>
      </c>
      <c r="D1017" s="27" t="s">
        <v>676</v>
      </c>
      <c r="E1017" s="17" t="s">
        <v>677</v>
      </c>
      <c r="F1017" s="133" t="s">
        <v>678</v>
      </c>
      <c r="G1017" s="168"/>
      <c r="H1017" s="170">
        <f t="shared" si="75"/>
        <v>0</v>
      </c>
      <c r="AA1017" s="13">
        <v>2.93</v>
      </c>
      <c r="AB1017" s="77"/>
      <c r="AG1017" s="260" t="s">
        <v>700</v>
      </c>
    </row>
    <row r="1018" spans="1:33" ht="20.100000000000001" hidden="1" customHeight="1">
      <c r="A1018" s="16" t="s">
        <v>26</v>
      </c>
      <c r="B1018" s="15">
        <v>2019</v>
      </c>
      <c r="C1018" s="14" t="s">
        <v>85</v>
      </c>
      <c r="D1018" s="9" t="s">
        <v>202</v>
      </c>
      <c r="E1018" s="9" t="s">
        <v>202</v>
      </c>
      <c r="F1018" s="9" t="s">
        <v>202</v>
      </c>
      <c r="G1018" s="168"/>
      <c r="H1018" s="170">
        <f t="shared" si="75"/>
        <v>0</v>
      </c>
      <c r="AA1018" s="13">
        <f>100-SUM(AA1016:AA1017)</f>
        <v>2.4599999999999937</v>
      </c>
      <c r="AB1018" s="77"/>
      <c r="AG1018" s="260" t="s">
        <v>700</v>
      </c>
    </row>
    <row r="1019" spans="1:33" ht="20.100000000000001" customHeight="1">
      <c r="A1019" s="16" t="s">
        <v>26</v>
      </c>
      <c r="B1019" s="15">
        <v>2020</v>
      </c>
      <c r="C1019" s="14" t="s">
        <v>85</v>
      </c>
      <c r="D1019" s="9" t="s">
        <v>665</v>
      </c>
      <c r="E1019" s="17" t="s">
        <v>666</v>
      </c>
      <c r="F1019" s="132" t="s">
        <v>669</v>
      </c>
      <c r="G1019" s="168"/>
      <c r="AA1019" s="13">
        <v>93.04</v>
      </c>
      <c r="AB1019" s="77"/>
      <c r="AG1019" s="85" t="s">
        <v>701</v>
      </c>
    </row>
    <row r="1020" spans="1:33" ht="20.100000000000001" customHeight="1">
      <c r="A1020" s="16" t="s">
        <v>26</v>
      </c>
      <c r="B1020" s="15">
        <v>2020</v>
      </c>
      <c r="C1020" s="14" t="s">
        <v>85</v>
      </c>
      <c r="D1020" s="27" t="s">
        <v>676</v>
      </c>
      <c r="E1020" s="17" t="s">
        <v>677</v>
      </c>
      <c r="F1020" s="132" t="s">
        <v>702</v>
      </c>
      <c r="G1020" s="168"/>
      <c r="AA1020" s="13">
        <v>4.1500000000000004</v>
      </c>
      <c r="AB1020" s="77"/>
      <c r="AG1020" s="260" t="s">
        <v>701</v>
      </c>
    </row>
    <row r="1021" spans="1:33" ht="20.100000000000001" hidden="1" customHeight="1">
      <c r="A1021" s="16" t="s">
        <v>26</v>
      </c>
      <c r="B1021" s="15">
        <v>2020</v>
      </c>
      <c r="C1021" s="14" t="s">
        <v>85</v>
      </c>
      <c r="D1021" s="27" t="s">
        <v>202</v>
      </c>
      <c r="E1021" s="17"/>
      <c r="F1021" s="132"/>
      <c r="G1021" s="168"/>
      <c r="AA1021" s="13">
        <f>100-SUM(AA1019:AA1020)</f>
        <v>2.8099999999999881</v>
      </c>
      <c r="AB1021" s="77"/>
      <c r="AG1021" s="260" t="s">
        <v>701</v>
      </c>
    </row>
    <row r="1022" spans="1:33" ht="20.100000000000001" customHeight="1">
      <c r="A1022" s="16" t="s">
        <v>26</v>
      </c>
      <c r="B1022" s="15">
        <v>2021</v>
      </c>
      <c r="C1022" s="14" t="s">
        <v>85</v>
      </c>
      <c r="D1022" s="9" t="s">
        <v>665</v>
      </c>
      <c r="E1022" s="17" t="s">
        <v>666</v>
      </c>
      <c r="F1022" s="133" t="s">
        <v>666</v>
      </c>
      <c r="G1022" s="168"/>
      <c r="AA1022" s="13">
        <v>91.15</v>
      </c>
      <c r="AB1022" s="77"/>
      <c r="AG1022" s="85" t="s">
        <v>703</v>
      </c>
    </row>
    <row r="1023" spans="1:33" ht="20.100000000000001" customHeight="1">
      <c r="A1023" s="16" t="s">
        <v>26</v>
      </c>
      <c r="B1023" s="15">
        <v>2021</v>
      </c>
      <c r="C1023" s="14" t="s">
        <v>85</v>
      </c>
      <c r="D1023" s="27" t="s">
        <v>676</v>
      </c>
      <c r="E1023" s="17" t="s">
        <v>677</v>
      </c>
      <c r="F1023" s="133" t="s">
        <v>678</v>
      </c>
      <c r="G1023" s="168"/>
      <c r="AA1023" s="13">
        <v>5.24</v>
      </c>
      <c r="AB1023" s="77"/>
      <c r="AG1023" s="260" t="s">
        <v>703</v>
      </c>
    </row>
    <row r="1024" spans="1:33" ht="20.100000000000001" hidden="1" customHeight="1">
      <c r="A1024" s="16" t="s">
        <v>26</v>
      </c>
      <c r="B1024" s="15">
        <v>2021</v>
      </c>
      <c r="C1024" s="14" t="s">
        <v>85</v>
      </c>
      <c r="D1024" s="9" t="s">
        <v>683</v>
      </c>
      <c r="E1024" s="17" t="s">
        <v>683</v>
      </c>
      <c r="F1024" s="133" t="s">
        <v>683</v>
      </c>
      <c r="G1024" s="168"/>
      <c r="AA1024" s="13">
        <v>1.07</v>
      </c>
      <c r="AB1024" s="77"/>
      <c r="AG1024" s="260" t="s">
        <v>703</v>
      </c>
    </row>
    <row r="1025" spans="1:33" ht="20.100000000000001" hidden="1" customHeight="1">
      <c r="A1025" s="16" t="s">
        <v>26</v>
      </c>
      <c r="B1025" s="15">
        <v>2021</v>
      </c>
      <c r="C1025" s="14" t="s">
        <v>85</v>
      </c>
      <c r="D1025" s="9" t="s">
        <v>202</v>
      </c>
      <c r="E1025" s="9" t="s">
        <v>202</v>
      </c>
      <c r="F1025" s="9" t="s">
        <v>202</v>
      </c>
      <c r="G1025" s="168"/>
      <c r="AA1025" s="13">
        <f>100-SUM(AA1022:AA1024)</f>
        <v>2.5400000000000063</v>
      </c>
      <c r="AB1025" s="77"/>
      <c r="AG1025" s="260" t="s">
        <v>703</v>
      </c>
    </row>
    <row r="1026" spans="1:33" ht="20.100000000000001" customHeight="1">
      <c r="A1026" s="16" t="s">
        <v>26</v>
      </c>
      <c r="B1026" s="15">
        <v>2022</v>
      </c>
      <c r="C1026" s="14" t="s">
        <v>85</v>
      </c>
      <c r="D1026" s="9" t="s">
        <v>665</v>
      </c>
      <c r="E1026" s="17" t="s">
        <v>666</v>
      </c>
      <c r="F1026" s="133" t="s">
        <v>666</v>
      </c>
      <c r="G1026" s="168"/>
      <c r="AA1026" s="13">
        <v>90.42</v>
      </c>
      <c r="AB1026" s="77"/>
      <c r="AG1026" s="85" t="s">
        <v>704</v>
      </c>
    </row>
    <row r="1027" spans="1:33" ht="20.100000000000001" customHeight="1">
      <c r="A1027" s="16" t="s">
        <v>26</v>
      </c>
      <c r="B1027" s="15">
        <v>2022</v>
      </c>
      <c r="C1027" s="14" t="s">
        <v>85</v>
      </c>
      <c r="D1027" s="27" t="s">
        <v>676</v>
      </c>
      <c r="E1027" s="17" t="s">
        <v>677</v>
      </c>
      <c r="F1027" s="133" t="s">
        <v>678</v>
      </c>
      <c r="G1027" s="168"/>
      <c r="AA1027" s="13">
        <v>5.72</v>
      </c>
      <c r="AB1027" s="77"/>
      <c r="AG1027" s="260" t="s">
        <v>704</v>
      </c>
    </row>
    <row r="1028" spans="1:33" ht="20.100000000000001" hidden="1" customHeight="1">
      <c r="A1028" s="16" t="s">
        <v>26</v>
      </c>
      <c r="B1028" s="15">
        <v>2022</v>
      </c>
      <c r="C1028" s="14" t="s">
        <v>85</v>
      </c>
      <c r="D1028" s="9" t="s">
        <v>202</v>
      </c>
      <c r="E1028" s="9" t="s">
        <v>202</v>
      </c>
      <c r="F1028" s="9" t="s">
        <v>202</v>
      </c>
      <c r="G1028" s="168"/>
      <c r="AA1028" s="13">
        <f>100-SUM(AA1026:AA1027)</f>
        <v>3.8599999999999994</v>
      </c>
      <c r="AB1028" s="77"/>
      <c r="AG1028" s="260" t="s">
        <v>704</v>
      </c>
    </row>
    <row r="1029" spans="1:33" ht="20.100000000000001" customHeight="1">
      <c r="A1029" s="16" t="s">
        <v>26</v>
      </c>
      <c r="B1029" s="15">
        <v>2023</v>
      </c>
      <c r="C1029" s="14" t="s">
        <v>85</v>
      </c>
      <c r="D1029" s="9" t="s">
        <v>665</v>
      </c>
      <c r="E1029" s="17" t="s">
        <v>666</v>
      </c>
      <c r="F1029" s="132" t="s">
        <v>669</v>
      </c>
      <c r="G1029" s="168"/>
      <c r="AA1029" s="13">
        <v>90.47</v>
      </c>
      <c r="AB1029" s="77"/>
      <c r="AG1029" s="85" t="s">
        <v>705</v>
      </c>
    </row>
    <row r="1030" spans="1:33" ht="20.100000000000001" customHeight="1">
      <c r="A1030" s="16" t="s">
        <v>26</v>
      </c>
      <c r="B1030" s="15">
        <v>2023</v>
      </c>
      <c r="C1030" s="14" t="s">
        <v>85</v>
      </c>
      <c r="D1030" s="27" t="s">
        <v>676</v>
      </c>
      <c r="E1030" s="17" t="s">
        <v>677</v>
      </c>
      <c r="F1030" s="132" t="s">
        <v>678</v>
      </c>
      <c r="G1030" s="168"/>
      <c r="AA1030" s="13">
        <v>5.27</v>
      </c>
      <c r="AB1030" s="77"/>
      <c r="AG1030" s="260" t="s">
        <v>705</v>
      </c>
    </row>
    <row r="1031" spans="1:33" ht="20.100000000000001" hidden="1" customHeight="1">
      <c r="A1031" s="16" t="s">
        <v>26</v>
      </c>
      <c r="B1031" s="15">
        <v>2023</v>
      </c>
      <c r="C1031" s="14" t="s">
        <v>85</v>
      </c>
      <c r="D1031" s="9" t="s">
        <v>679</v>
      </c>
      <c r="E1031" s="17" t="s">
        <v>679</v>
      </c>
      <c r="F1031" s="132" t="s">
        <v>679</v>
      </c>
      <c r="G1031" s="168"/>
      <c r="AA1031" s="13">
        <v>1.07</v>
      </c>
      <c r="AB1031" s="77"/>
      <c r="AG1031" s="260" t="s">
        <v>705</v>
      </c>
    </row>
    <row r="1032" spans="1:33" ht="20.100000000000001" hidden="1" customHeight="1">
      <c r="A1032" s="16" t="s">
        <v>26</v>
      </c>
      <c r="B1032" s="15">
        <v>2023</v>
      </c>
      <c r="C1032" s="14" t="s">
        <v>85</v>
      </c>
      <c r="D1032" s="27" t="s">
        <v>202</v>
      </c>
      <c r="E1032" s="17"/>
      <c r="F1032" s="132"/>
      <c r="G1032" s="168"/>
      <c r="AA1032" s="13">
        <f>100-SUM(AA1029:AA1031)</f>
        <v>3.1900000000000119</v>
      </c>
      <c r="AB1032" s="77"/>
      <c r="AG1032" s="260" t="s">
        <v>705</v>
      </c>
    </row>
    <row r="1033" spans="1:33" ht="20.100000000000001" customHeight="1">
      <c r="A1033" s="16" t="s">
        <v>26</v>
      </c>
      <c r="B1033" s="55">
        <v>2019</v>
      </c>
      <c r="C1033" s="14" t="s">
        <v>706</v>
      </c>
      <c r="D1033" s="35" t="s">
        <v>664</v>
      </c>
      <c r="E1033" s="27" t="s">
        <v>707</v>
      </c>
      <c r="F1033" s="11" t="s">
        <v>707</v>
      </c>
      <c r="G1033" s="168"/>
      <c r="H1033" s="170">
        <f t="shared" ref="H1033:H1047" si="76">G1033/0.893276257067409</f>
        <v>0</v>
      </c>
      <c r="W1033" s="16"/>
      <c r="X1033" s="58">
        <v>31580</v>
      </c>
      <c r="AB1033" s="35"/>
      <c r="AD1033" s="110">
        <v>11.02</v>
      </c>
      <c r="AF1033" s="18"/>
      <c r="AG1033" s="86" t="s">
        <v>708</v>
      </c>
    </row>
    <row r="1034" spans="1:33" ht="20.100000000000001" customHeight="1">
      <c r="A1034" s="16" t="s">
        <v>26</v>
      </c>
      <c r="B1034" s="55">
        <v>2019</v>
      </c>
      <c r="C1034" s="14" t="s">
        <v>706</v>
      </c>
      <c r="D1034" s="35" t="s">
        <v>664</v>
      </c>
      <c r="E1034" s="27" t="s">
        <v>709</v>
      </c>
      <c r="F1034" s="11" t="s">
        <v>709</v>
      </c>
      <c r="G1034" s="168"/>
      <c r="H1034" s="170">
        <f t="shared" si="76"/>
        <v>0</v>
      </c>
      <c r="W1034" s="16"/>
      <c r="X1034" s="58">
        <v>20600</v>
      </c>
      <c r="AB1034" s="35"/>
      <c r="AD1034" s="110">
        <v>7.19</v>
      </c>
      <c r="AF1034" s="18"/>
      <c r="AG1034" s="86" t="s">
        <v>710</v>
      </c>
    </row>
    <row r="1035" spans="1:33" ht="20.100000000000001" customHeight="1">
      <c r="A1035" s="16" t="s">
        <v>26</v>
      </c>
      <c r="B1035" s="55">
        <v>2019</v>
      </c>
      <c r="C1035" s="14" t="s">
        <v>706</v>
      </c>
      <c r="D1035" s="35" t="s">
        <v>664</v>
      </c>
      <c r="E1035" s="27" t="s">
        <v>711</v>
      </c>
      <c r="F1035" s="35" t="s">
        <v>711</v>
      </c>
      <c r="G1035" s="168"/>
      <c r="H1035" s="170">
        <f t="shared" si="76"/>
        <v>0</v>
      </c>
      <c r="W1035" s="16"/>
      <c r="X1035" s="43">
        <v>60414.2</v>
      </c>
      <c r="AB1035" s="35"/>
      <c r="AD1035" s="110">
        <v>21.08</v>
      </c>
      <c r="AF1035" s="18"/>
      <c r="AG1035" s="32" t="s">
        <v>712</v>
      </c>
    </row>
    <row r="1036" spans="1:33" ht="20.100000000000001" customHeight="1">
      <c r="A1036" s="16" t="s">
        <v>26</v>
      </c>
      <c r="B1036" s="55">
        <v>2019</v>
      </c>
      <c r="C1036" s="14" t="s">
        <v>706</v>
      </c>
      <c r="D1036" s="35" t="s">
        <v>664</v>
      </c>
      <c r="E1036" s="27" t="s">
        <v>713</v>
      </c>
      <c r="F1036" s="35" t="s">
        <v>713</v>
      </c>
      <c r="G1036" s="168"/>
      <c r="H1036" s="170">
        <f t="shared" si="76"/>
        <v>0</v>
      </c>
      <c r="W1036" s="16"/>
      <c r="X1036" s="58">
        <v>31384.400000000001</v>
      </c>
      <c r="AB1036" s="35"/>
      <c r="AD1036" s="110">
        <v>10.95</v>
      </c>
      <c r="AF1036" s="18"/>
      <c r="AG1036" s="86" t="s">
        <v>714</v>
      </c>
    </row>
    <row r="1037" spans="1:33" ht="20.100000000000001" customHeight="1">
      <c r="A1037" s="16" t="s">
        <v>26</v>
      </c>
      <c r="B1037" s="55">
        <v>2019</v>
      </c>
      <c r="C1037" s="14" t="s">
        <v>706</v>
      </c>
      <c r="D1037" s="27" t="s">
        <v>664</v>
      </c>
      <c r="E1037" s="35" t="s">
        <v>715</v>
      </c>
      <c r="F1037" s="35" t="s">
        <v>715</v>
      </c>
      <c r="G1037" s="168"/>
      <c r="H1037" s="170">
        <f t="shared" si="76"/>
        <v>0</v>
      </c>
      <c r="W1037" s="16"/>
      <c r="X1037" s="58"/>
      <c r="AB1037" s="35"/>
      <c r="AD1037" s="110">
        <v>50.24</v>
      </c>
      <c r="AF1037" s="18"/>
      <c r="AG1037" s="86" t="s">
        <v>716</v>
      </c>
    </row>
    <row r="1038" spans="1:33" ht="20.100000000000001" customHeight="1">
      <c r="A1038" s="16" t="s">
        <v>26</v>
      </c>
      <c r="B1038" s="55">
        <v>2019</v>
      </c>
      <c r="C1038" s="14" t="s">
        <v>706</v>
      </c>
      <c r="D1038" s="27" t="s">
        <v>663</v>
      </c>
      <c r="E1038" s="35" t="s">
        <v>666</v>
      </c>
      <c r="F1038" s="11" t="s">
        <v>717</v>
      </c>
      <c r="G1038" s="168"/>
      <c r="H1038" s="170">
        <f t="shared" si="76"/>
        <v>0</v>
      </c>
      <c r="W1038" s="16"/>
      <c r="X1038" s="43">
        <v>63917.7</v>
      </c>
      <c r="AB1038" s="35"/>
      <c r="AD1038" s="110">
        <v>22.3</v>
      </c>
      <c r="AF1038" s="18"/>
      <c r="AG1038" s="32" t="s">
        <v>718</v>
      </c>
    </row>
    <row r="1039" spans="1:33" ht="20.100000000000001" hidden="1" customHeight="1">
      <c r="A1039" s="16" t="s">
        <v>26</v>
      </c>
      <c r="B1039" s="55">
        <v>2019</v>
      </c>
      <c r="C1039" s="14" t="s">
        <v>706</v>
      </c>
      <c r="D1039" s="27" t="s">
        <v>719</v>
      </c>
      <c r="E1039" s="35" t="s">
        <v>720</v>
      </c>
      <c r="F1039" s="11" t="s">
        <v>720</v>
      </c>
      <c r="G1039" s="168"/>
      <c r="H1039" s="170">
        <f t="shared" si="76"/>
        <v>0</v>
      </c>
      <c r="W1039" s="16"/>
      <c r="X1039" s="58">
        <v>4560</v>
      </c>
      <c r="AB1039" s="35"/>
      <c r="AD1039" s="110">
        <v>1.59</v>
      </c>
      <c r="AF1039" s="18"/>
      <c r="AG1039" s="86" t="s">
        <v>721</v>
      </c>
    </row>
    <row r="1040" spans="1:33" ht="20.100000000000001" hidden="1" customHeight="1">
      <c r="A1040" s="16" t="s">
        <v>26</v>
      </c>
      <c r="B1040" s="55">
        <v>2019</v>
      </c>
      <c r="C1040" s="14" t="s">
        <v>706</v>
      </c>
      <c r="D1040" s="27" t="s">
        <v>722</v>
      </c>
      <c r="E1040" s="35" t="s">
        <v>723</v>
      </c>
      <c r="F1040" s="11" t="s">
        <v>723</v>
      </c>
      <c r="G1040" s="168"/>
      <c r="H1040" s="170">
        <f t="shared" si="76"/>
        <v>0</v>
      </c>
      <c r="W1040" s="16"/>
      <c r="X1040" s="58">
        <v>18240</v>
      </c>
      <c r="AB1040" s="35"/>
      <c r="AD1040" s="110">
        <v>6.36</v>
      </c>
      <c r="AF1040" s="18"/>
      <c r="AG1040" s="32" t="s">
        <v>724</v>
      </c>
    </row>
    <row r="1041" spans="1:33" ht="20.100000000000001" customHeight="1">
      <c r="A1041" s="16" t="s">
        <v>26</v>
      </c>
      <c r="B1041" s="55">
        <v>2019</v>
      </c>
      <c r="C1041" s="14" t="s">
        <v>706</v>
      </c>
      <c r="D1041" s="27" t="s">
        <v>676</v>
      </c>
      <c r="E1041" s="35" t="s">
        <v>676</v>
      </c>
      <c r="F1041" s="11" t="s">
        <v>725</v>
      </c>
      <c r="G1041" s="168"/>
      <c r="H1041" s="170">
        <f t="shared" si="76"/>
        <v>0</v>
      </c>
      <c r="W1041" s="16"/>
      <c r="X1041" s="58">
        <v>9400</v>
      </c>
      <c r="AB1041" s="35"/>
      <c r="AD1041" s="110">
        <v>3.28</v>
      </c>
      <c r="AF1041" s="18"/>
      <c r="AG1041" s="32" t="s">
        <v>726</v>
      </c>
    </row>
    <row r="1042" spans="1:33" ht="20.100000000000001" hidden="1" customHeight="1">
      <c r="A1042" s="16" t="s">
        <v>26</v>
      </c>
      <c r="B1042" s="55">
        <v>2019</v>
      </c>
      <c r="C1042" s="14" t="s">
        <v>706</v>
      </c>
      <c r="D1042" s="27" t="s">
        <v>727</v>
      </c>
      <c r="E1042" s="35" t="s">
        <v>727</v>
      </c>
      <c r="F1042" s="64" t="s">
        <v>728</v>
      </c>
      <c r="G1042" s="168"/>
      <c r="H1042" s="170">
        <f t="shared" si="76"/>
        <v>0</v>
      </c>
      <c r="W1042" s="16"/>
      <c r="X1042" s="58">
        <v>5884.5</v>
      </c>
      <c r="AB1042" s="35"/>
      <c r="AD1042" s="110">
        <v>2.0499999999999998</v>
      </c>
      <c r="AF1042" s="18"/>
      <c r="AG1042" s="86" t="s">
        <v>729</v>
      </c>
    </row>
    <row r="1043" spans="1:33" ht="20.100000000000001" hidden="1" customHeight="1">
      <c r="A1043" s="16" t="s">
        <v>26</v>
      </c>
      <c r="B1043" s="55">
        <v>2019</v>
      </c>
      <c r="C1043" s="14" t="s">
        <v>706</v>
      </c>
      <c r="D1043" s="27" t="s">
        <v>730</v>
      </c>
      <c r="E1043" s="35" t="s">
        <v>731</v>
      </c>
      <c r="F1043" s="64" t="s">
        <v>732</v>
      </c>
      <c r="G1043" s="168"/>
      <c r="H1043" s="170">
        <f t="shared" si="76"/>
        <v>0</v>
      </c>
      <c r="W1043" s="16"/>
      <c r="X1043" s="58">
        <v>10723.46</v>
      </c>
      <c r="AB1043" s="35"/>
      <c r="AD1043" s="110">
        <v>3.74</v>
      </c>
      <c r="AF1043" s="18"/>
      <c r="AG1043" s="86" t="s">
        <v>733</v>
      </c>
    </row>
    <row r="1044" spans="1:33" ht="20.100000000000001" hidden="1" customHeight="1">
      <c r="A1044" s="16" t="s">
        <v>26</v>
      </c>
      <c r="B1044" s="55">
        <v>2019</v>
      </c>
      <c r="C1044" s="14" t="s">
        <v>706</v>
      </c>
      <c r="D1044" s="27" t="s">
        <v>734</v>
      </c>
      <c r="E1044" s="62" t="s">
        <v>735</v>
      </c>
      <c r="F1044" s="62" t="s">
        <v>735</v>
      </c>
      <c r="G1044" s="168"/>
      <c r="H1044" s="170">
        <f t="shared" si="76"/>
        <v>0</v>
      </c>
      <c r="W1044" s="16"/>
      <c r="X1044" s="58">
        <v>16075</v>
      </c>
      <c r="AB1044" s="35"/>
      <c r="AD1044" s="110">
        <v>5.61</v>
      </c>
      <c r="AF1044" s="18"/>
      <c r="AG1044" s="86" t="s">
        <v>736</v>
      </c>
    </row>
    <row r="1045" spans="1:33" ht="20.100000000000001" customHeight="1">
      <c r="A1045" s="16" t="s">
        <v>26</v>
      </c>
      <c r="B1045" s="55">
        <v>2019</v>
      </c>
      <c r="C1045" s="14" t="s">
        <v>706</v>
      </c>
      <c r="D1045" s="27" t="s">
        <v>737</v>
      </c>
      <c r="E1045" s="62" t="s">
        <v>738</v>
      </c>
      <c r="F1045" s="62" t="s">
        <v>738</v>
      </c>
      <c r="G1045" s="168"/>
      <c r="H1045" s="170">
        <f t="shared" si="76"/>
        <v>0</v>
      </c>
      <c r="W1045" s="16"/>
      <c r="X1045" s="58">
        <v>4800</v>
      </c>
      <c r="AB1045" s="35"/>
      <c r="AD1045" s="110">
        <v>1.67</v>
      </c>
      <c r="AF1045" s="18"/>
      <c r="AG1045" s="86" t="s">
        <v>739</v>
      </c>
    </row>
    <row r="1046" spans="1:33" ht="20.100000000000001" hidden="1" customHeight="1">
      <c r="A1046" s="16" t="s">
        <v>26</v>
      </c>
      <c r="B1046" s="55">
        <v>2019</v>
      </c>
      <c r="C1046" s="14" t="s">
        <v>706</v>
      </c>
      <c r="D1046" s="27" t="s">
        <v>740</v>
      </c>
      <c r="E1046" s="35" t="s">
        <v>740</v>
      </c>
      <c r="F1046" s="64" t="s">
        <v>741</v>
      </c>
      <c r="G1046" s="168"/>
      <c r="H1046" s="170">
        <f t="shared" si="76"/>
        <v>0</v>
      </c>
      <c r="W1046" s="16"/>
      <c r="X1046" s="58">
        <v>9022.9</v>
      </c>
      <c r="AB1046" s="35"/>
      <c r="AD1046" s="110">
        <v>3.15</v>
      </c>
      <c r="AF1046" s="18"/>
      <c r="AG1046" s="86" t="s">
        <v>742</v>
      </c>
    </row>
    <row r="1047" spans="1:33" ht="20.100000000000001" hidden="1" customHeight="1">
      <c r="A1047" s="16" t="s">
        <v>26</v>
      </c>
      <c r="B1047" s="55">
        <v>2019</v>
      </c>
      <c r="C1047" s="14" t="s">
        <v>706</v>
      </c>
      <c r="D1047" s="27" t="s">
        <v>202</v>
      </c>
      <c r="E1047" s="35"/>
      <c r="F1047" s="64"/>
      <c r="G1047" s="168"/>
      <c r="H1047" s="170">
        <f t="shared" si="76"/>
        <v>0</v>
      </c>
      <c r="W1047" s="16"/>
      <c r="X1047" s="58"/>
      <c r="AB1047" s="35"/>
      <c r="AD1047" s="110">
        <v>0</v>
      </c>
      <c r="AF1047" s="18"/>
      <c r="AG1047" s="86"/>
    </row>
    <row r="1048" spans="1:33" ht="20.100000000000001" customHeight="1">
      <c r="A1048" s="16" t="s">
        <v>26</v>
      </c>
      <c r="B1048" s="55">
        <v>2020</v>
      </c>
      <c r="C1048" s="14" t="s">
        <v>706</v>
      </c>
      <c r="D1048" s="35" t="s">
        <v>664</v>
      </c>
      <c r="E1048" s="27" t="s">
        <v>707</v>
      </c>
      <c r="F1048" s="11" t="s">
        <v>707</v>
      </c>
      <c r="G1048" s="168"/>
      <c r="W1048" s="16"/>
      <c r="X1048" s="59">
        <v>39330</v>
      </c>
      <c r="AB1048" s="35"/>
      <c r="AD1048" s="110">
        <v>12.45</v>
      </c>
      <c r="AF1048" s="18"/>
      <c r="AG1048" s="86" t="s">
        <v>708</v>
      </c>
    </row>
    <row r="1049" spans="1:33" ht="20.100000000000001" customHeight="1">
      <c r="A1049" s="16" t="s">
        <v>26</v>
      </c>
      <c r="B1049" s="55">
        <v>2020</v>
      </c>
      <c r="C1049" s="14" t="s">
        <v>706</v>
      </c>
      <c r="D1049" s="35" t="s">
        <v>664</v>
      </c>
      <c r="E1049" s="27" t="s">
        <v>709</v>
      </c>
      <c r="F1049" s="11" t="s">
        <v>709</v>
      </c>
      <c r="G1049" s="168"/>
      <c r="W1049" s="16"/>
      <c r="X1049" s="59">
        <v>24690</v>
      </c>
      <c r="AB1049" s="35"/>
      <c r="AD1049" s="110">
        <v>7.81</v>
      </c>
      <c r="AF1049" s="18"/>
      <c r="AG1049" s="86" t="s">
        <v>710</v>
      </c>
    </row>
    <row r="1050" spans="1:33" ht="20.100000000000001" customHeight="1">
      <c r="A1050" s="16" t="s">
        <v>26</v>
      </c>
      <c r="B1050" s="55">
        <v>2020</v>
      </c>
      <c r="C1050" s="14" t="s">
        <v>706</v>
      </c>
      <c r="D1050" s="35" t="s">
        <v>664</v>
      </c>
      <c r="E1050" s="27" t="s">
        <v>711</v>
      </c>
      <c r="F1050" s="35" t="s">
        <v>711</v>
      </c>
      <c r="G1050" s="168"/>
      <c r="W1050" s="16"/>
      <c r="X1050" s="31">
        <v>62091.9</v>
      </c>
      <c r="AB1050" s="35"/>
      <c r="AD1050" s="110">
        <v>19.649999999999999</v>
      </c>
      <c r="AF1050" s="18"/>
      <c r="AG1050" s="32" t="s">
        <v>743</v>
      </c>
    </row>
    <row r="1051" spans="1:33" ht="20.100000000000001" customHeight="1">
      <c r="A1051" s="16" t="s">
        <v>26</v>
      </c>
      <c r="B1051" s="55">
        <v>2020</v>
      </c>
      <c r="C1051" s="14" t="s">
        <v>706</v>
      </c>
      <c r="D1051" s="35" t="s">
        <v>664</v>
      </c>
      <c r="E1051" s="27" t="s">
        <v>713</v>
      </c>
      <c r="F1051" s="35" t="s">
        <v>713</v>
      </c>
      <c r="G1051" s="168"/>
      <c r="W1051" s="16"/>
      <c r="X1051" s="59">
        <v>30263</v>
      </c>
      <c r="AB1051" s="35"/>
      <c r="AD1051" s="110">
        <v>9.58</v>
      </c>
      <c r="AF1051" s="18"/>
      <c r="AG1051" s="86" t="s">
        <v>744</v>
      </c>
    </row>
    <row r="1052" spans="1:33" ht="20.100000000000001" customHeight="1">
      <c r="A1052" s="16" t="s">
        <v>26</v>
      </c>
      <c r="B1052" s="55">
        <v>2020</v>
      </c>
      <c r="C1052" s="14" t="s">
        <v>706</v>
      </c>
      <c r="D1052" s="27" t="s">
        <v>664</v>
      </c>
      <c r="E1052" s="35" t="s">
        <v>715</v>
      </c>
      <c r="F1052" s="35" t="s">
        <v>715</v>
      </c>
      <c r="G1052" s="168"/>
      <c r="W1052" s="16"/>
      <c r="X1052" s="59"/>
      <c r="AB1052" s="35"/>
      <c r="AD1052" s="110">
        <v>49.48</v>
      </c>
      <c r="AF1052" s="18"/>
      <c r="AG1052" s="86" t="s">
        <v>716</v>
      </c>
    </row>
    <row r="1053" spans="1:33" ht="20.100000000000001" customHeight="1">
      <c r="A1053" s="16" t="s">
        <v>26</v>
      </c>
      <c r="B1053" s="55">
        <v>2020</v>
      </c>
      <c r="C1053" s="14" t="s">
        <v>706</v>
      </c>
      <c r="D1053" s="27" t="s">
        <v>663</v>
      </c>
      <c r="E1053" s="35" t="s">
        <v>666</v>
      </c>
      <c r="F1053" s="11" t="s">
        <v>717</v>
      </c>
      <c r="G1053" s="168"/>
      <c r="W1053" s="16"/>
      <c r="X1053" s="59">
        <v>66996</v>
      </c>
      <c r="AB1053" s="35"/>
      <c r="AD1053" s="110">
        <v>21.2</v>
      </c>
      <c r="AF1053" s="18"/>
      <c r="AG1053" s="86" t="s">
        <v>745</v>
      </c>
    </row>
    <row r="1054" spans="1:33" ht="20.100000000000001" hidden="1" customHeight="1">
      <c r="A1054" s="16" t="s">
        <v>26</v>
      </c>
      <c r="B1054" s="55">
        <v>2020</v>
      </c>
      <c r="C1054" s="14" t="s">
        <v>706</v>
      </c>
      <c r="D1054" s="27" t="s">
        <v>719</v>
      </c>
      <c r="E1054" s="35" t="s">
        <v>720</v>
      </c>
      <c r="F1054" s="11" t="s">
        <v>720</v>
      </c>
      <c r="G1054" s="168"/>
      <c r="W1054" s="16"/>
      <c r="X1054" s="59">
        <v>5525</v>
      </c>
      <c r="AB1054" s="35"/>
      <c r="AD1054" s="110">
        <v>1.75</v>
      </c>
      <c r="AF1054" s="18"/>
      <c r="AG1054" s="86" t="s">
        <v>746</v>
      </c>
    </row>
    <row r="1055" spans="1:33" ht="20.100000000000001" hidden="1" customHeight="1">
      <c r="A1055" s="16" t="s">
        <v>26</v>
      </c>
      <c r="B1055" s="55">
        <v>2020</v>
      </c>
      <c r="C1055" s="14" t="s">
        <v>706</v>
      </c>
      <c r="D1055" s="27" t="s">
        <v>722</v>
      </c>
      <c r="E1055" s="35" t="s">
        <v>723</v>
      </c>
      <c r="F1055" s="11" t="s">
        <v>723</v>
      </c>
      <c r="G1055" s="168"/>
      <c r="W1055" s="16"/>
      <c r="X1055" s="60">
        <v>13910</v>
      </c>
      <c r="AB1055" s="35"/>
      <c r="AD1055" s="110">
        <v>4.4000000000000004</v>
      </c>
      <c r="AF1055" s="18"/>
      <c r="AG1055" s="32" t="s">
        <v>747</v>
      </c>
    </row>
    <row r="1056" spans="1:33" ht="20.100000000000001" customHeight="1">
      <c r="A1056" s="16" t="s">
        <v>26</v>
      </c>
      <c r="B1056" s="55">
        <v>2020</v>
      </c>
      <c r="C1056" s="14" t="s">
        <v>706</v>
      </c>
      <c r="D1056" s="27" t="s">
        <v>676</v>
      </c>
      <c r="E1056" s="35" t="s">
        <v>676</v>
      </c>
      <c r="F1056" s="11" t="s">
        <v>725</v>
      </c>
      <c r="G1056" s="168"/>
      <c r="W1056" s="16"/>
      <c r="X1056" s="60">
        <v>11000</v>
      </c>
      <c r="AB1056" s="35"/>
      <c r="AD1056" s="110">
        <v>3.48</v>
      </c>
      <c r="AF1056" s="18"/>
      <c r="AG1056" s="32" t="s">
        <v>748</v>
      </c>
    </row>
    <row r="1057" spans="1:33" ht="20.100000000000001" hidden="1" customHeight="1">
      <c r="A1057" s="16" t="s">
        <v>26</v>
      </c>
      <c r="B1057" s="55">
        <v>2020</v>
      </c>
      <c r="C1057" s="14" t="s">
        <v>706</v>
      </c>
      <c r="D1057" s="27" t="s">
        <v>727</v>
      </c>
      <c r="E1057" s="35" t="s">
        <v>727</v>
      </c>
      <c r="F1057" s="64" t="s">
        <v>728</v>
      </c>
      <c r="G1057" s="168"/>
      <c r="W1057" s="16"/>
      <c r="X1057" s="43">
        <v>6068.25</v>
      </c>
      <c r="AB1057" s="35"/>
      <c r="AD1057" s="110">
        <v>1.92</v>
      </c>
      <c r="AF1057" s="18"/>
      <c r="AG1057" s="32" t="s">
        <v>749</v>
      </c>
    </row>
    <row r="1058" spans="1:33" ht="20.100000000000001" hidden="1" customHeight="1">
      <c r="A1058" s="16" t="s">
        <v>26</v>
      </c>
      <c r="B1058" s="55">
        <v>2020</v>
      </c>
      <c r="C1058" s="14" t="s">
        <v>706</v>
      </c>
      <c r="D1058" s="27" t="s">
        <v>730</v>
      </c>
      <c r="E1058" s="35" t="s">
        <v>731</v>
      </c>
      <c r="F1058" s="64" t="s">
        <v>732</v>
      </c>
      <c r="G1058" s="168"/>
      <c r="W1058" s="16"/>
      <c r="X1058" s="60">
        <v>12441.96</v>
      </c>
      <c r="AB1058" s="35"/>
      <c r="AD1058" s="110">
        <v>3.94</v>
      </c>
      <c r="AF1058" s="18"/>
      <c r="AG1058" s="32" t="s">
        <v>750</v>
      </c>
    </row>
    <row r="1059" spans="1:33" ht="20.100000000000001" hidden="1" customHeight="1">
      <c r="A1059" s="16" t="s">
        <v>26</v>
      </c>
      <c r="B1059" s="55">
        <v>2020</v>
      </c>
      <c r="C1059" s="14" t="s">
        <v>706</v>
      </c>
      <c r="D1059" s="27" t="s">
        <v>734</v>
      </c>
      <c r="E1059" s="62" t="s">
        <v>735</v>
      </c>
      <c r="F1059" s="62" t="s">
        <v>735</v>
      </c>
      <c r="G1059" s="168"/>
      <c r="W1059" s="16"/>
      <c r="X1059" s="59">
        <v>13750</v>
      </c>
      <c r="AB1059" s="35"/>
      <c r="AD1059" s="110">
        <v>4.3499999999999996</v>
      </c>
      <c r="AF1059" s="18"/>
      <c r="AG1059" s="86" t="s">
        <v>751</v>
      </c>
    </row>
    <row r="1060" spans="1:33" ht="20.100000000000001" customHeight="1">
      <c r="A1060" s="16" t="s">
        <v>26</v>
      </c>
      <c r="B1060" s="55">
        <v>2020</v>
      </c>
      <c r="C1060" s="14" t="s">
        <v>706</v>
      </c>
      <c r="D1060" s="27" t="s">
        <v>737</v>
      </c>
      <c r="E1060" s="62" t="s">
        <v>738</v>
      </c>
      <c r="F1060" s="62" t="s">
        <v>738</v>
      </c>
      <c r="G1060" s="168"/>
      <c r="W1060" s="16"/>
      <c r="X1060" s="47">
        <v>9650.5</v>
      </c>
      <c r="AB1060" s="35"/>
      <c r="AD1060" s="110">
        <v>3.05</v>
      </c>
      <c r="AF1060" s="18"/>
      <c r="AG1060" s="32" t="s">
        <v>752</v>
      </c>
    </row>
    <row r="1061" spans="1:33" ht="20.100000000000001" customHeight="1">
      <c r="A1061" s="16" t="s">
        <v>26</v>
      </c>
      <c r="B1061" s="55">
        <v>2020</v>
      </c>
      <c r="C1061" s="14" t="s">
        <v>706</v>
      </c>
      <c r="D1061" s="27" t="s">
        <v>391</v>
      </c>
      <c r="E1061" s="35" t="s">
        <v>753</v>
      </c>
      <c r="F1061" s="64" t="s">
        <v>753</v>
      </c>
      <c r="G1061" s="168"/>
      <c r="W1061" s="16"/>
      <c r="X1061" s="29">
        <v>2969.87</v>
      </c>
      <c r="AB1061" s="35"/>
      <c r="AD1061" s="110">
        <v>0.94</v>
      </c>
      <c r="AF1061" s="18"/>
      <c r="AG1061" s="32" t="s">
        <v>754</v>
      </c>
    </row>
    <row r="1062" spans="1:33" ht="20.100000000000001" hidden="1" customHeight="1">
      <c r="A1062" s="16" t="s">
        <v>26</v>
      </c>
      <c r="B1062" s="55">
        <v>2020</v>
      </c>
      <c r="C1062" s="14" t="s">
        <v>706</v>
      </c>
      <c r="D1062" s="27" t="s">
        <v>755</v>
      </c>
      <c r="E1062" s="62" t="s">
        <v>756</v>
      </c>
      <c r="F1062" s="62" t="s">
        <v>756</v>
      </c>
      <c r="G1062" s="168"/>
      <c r="W1062" s="16"/>
      <c r="X1062" s="43">
        <v>7817.13</v>
      </c>
      <c r="AB1062" s="35"/>
      <c r="AD1062" s="110">
        <v>2.4700000000000002</v>
      </c>
      <c r="AF1062" s="18"/>
      <c r="AG1062" s="32" t="s">
        <v>757</v>
      </c>
    </row>
    <row r="1063" spans="1:33" ht="20.100000000000001" hidden="1" customHeight="1">
      <c r="A1063" s="16" t="s">
        <v>26</v>
      </c>
      <c r="B1063" s="55">
        <v>2020</v>
      </c>
      <c r="C1063" s="14" t="s">
        <v>706</v>
      </c>
      <c r="D1063" s="27" t="s">
        <v>740</v>
      </c>
      <c r="E1063" s="35" t="s">
        <v>740</v>
      </c>
      <c r="F1063" s="64" t="s">
        <v>741</v>
      </c>
      <c r="G1063" s="168"/>
      <c r="W1063" s="16"/>
      <c r="X1063" s="43">
        <v>9513.4500000000007</v>
      </c>
      <c r="AB1063" s="35"/>
      <c r="AD1063" s="110">
        <v>3.01</v>
      </c>
      <c r="AF1063" s="18"/>
      <c r="AG1063" s="32" t="s">
        <v>758</v>
      </c>
    </row>
    <row r="1064" spans="1:33" ht="20.100000000000001" hidden="1" customHeight="1">
      <c r="A1064" s="16" t="s">
        <v>26</v>
      </c>
      <c r="B1064" s="55">
        <v>2020</v>
      </c>
      <c r="C1064" s="14" t="s">
        <v>706</v>
      </c>
      <c r="D1064" s="27" t="s">
        <v>202</v>
      </c>
      <c r="E1064" s="35"/>
      <c r="F1064" s="64"/>
      <c r="G1064" s="168"/>
      <c r="W1064" s="16"/>
      <c r="X1064" s="43"/>
      <c r="AB1064" s="35"/>
      <c r="AD1064" s="34">
        <v>0</v>
      </c>
      <c r="AF1064" s="18"/>
      <c r="AG1064" s="32"/>
    </row>
    <row r="1065" spans="1:33" ht="20.100000000000001" customHeight="1">
      <c r="A1065" s="16" t="s">
        <v>26</v>
      </c>
      <c r="B1065" s="16">
        <v>2021</v>
      </c>
      <c r="C1065" s="14" t="s">
        <v>706</v>
      </c>
      <c r="D1065" s="35" t="s">
        <v>664</v>
      </c>
      <c r="E1065" s="27" t="s">
        <v>707</v>
      </c>
      <c r="F1065" s="11" t="s">
        <v>707</v>
      </c>
      <c r="G1065" s="168"/>
      <c r="W1065" s="16"/>
      <c r="X1065" s="60">
        <v>39250</v>
      </c>
      <c r="AB1065" s="35"/>
      <c r="AD1065" s="34">
        <v>11.57</v>
      </c>
      <c r="AF1065" s="18"/>
      <c r="AG1065" s="32" t="s">
        <v>759</v>
      </c>
    </row>
    <row r="1066" spans="1:33" ht="20.100000000000001" customHeight="1">
      <c r="A1066" s="16" t="s">
        <v>26</v>
      </c>
      <c r="B1066" s="16">
        <v>2021</v>
      </c>
      <c r="C1066" s="14" t="s">
        <v>706</v>
      </c>
      <c r="D1066" s="35" t="s">
        <v>664</v>
      </c>
      <c r="E1066" s="27" t="s">
        <v>709</v>
      </c>
      <c r="F1066" s="11" t="s">
        <v>709</v>
      </c>
      <c r="G1066" s="168"/>
      <c r="W1066" s="16"/>
      <c r="X1066" s="60">
        <v>27585</v>
      </c>
      <c r="AB1066" s="35"/>
      <c r="AD1066" s="31">
        <v>8.1300000000000008</v>
      </c>
      <c r="AF1066" s="18"/>
      <c r="AG1066" s="32" t="s">
        <v>710</v>
      </c>
    </row>
    <row r="1067" spans="1:33" ht="20.100000000000001" customHeight="1">
      <c r="A1067" s="16" t="s">
        <v>26</v>
      </c>
      <c r="B1067" s="16">
        <v>2021</v>
      </c>
      <c r="C1067" s="14" t="s">
        <v>706</v>
      </c>
      <c r="D1067" s="35" t="s">
        <v>664</v>
      </c>
      <c r="E1067" s="27" t="s">
        <v>711</v>
      </c>
      <c r="F1067" s="35" t="s">
        <v>711</v>
      </c>
      <c r="G1067" s="168"/>
      <c r="W1067" s="16"/>
      <c r="X1067" s="31">
        <v>63986.64</v>
      </c>
      <c r="AB1067" s="35"/>
      <c r="AD1067" s="31">
        <v>18.86</v>
      </c>
      <c r="AF1067" s="18"/>
      <c r="AG1067" s="32" t="s">
        <v>760</v>
      </c>
    </row>
    <row r="1068" spans="1:33" ht="20.100000000000001" customHeight="1">
      <c r="A1068" s="16" t="s">
        <v>26</v>
      </c>
      <c r="B1068" s="16">
        <v>2021</v>
      </c>
      <c r="C1068" s="14" t="s">
        <v>706</v>
      </c>
      <c r="D1068" s="35" t="s">
        <v>664</v>
      </c>
      <c r="E1068" s="27" t="s">
        <v>713</v>
      </c>
      <c r="F1068" s="35" t="s">
        <v>713</v>
      </c>
      <c r="G1068" s="168"/>
      <c r="W1068" s="16"/>
      <c r="X1068" s="43">
        <v>28582.27</v>
      </c>
      <c r="AB1068" s="35"/>
      <c r="AD1068" s="31">
        <v>8.42</v>
      </c>
      <c r="AF1068" s="18"/>
      <c r="AG1068" s="32" t="s">
        <v>761</v>
      </c>
    </row>
    <row r="1069" spans="1:33" ht="20.100000000000001" customHeight="1">
      <c r="A1069" s="16" t="s">
        <v>26</v>
      </c>
      <c r="B1069" s="16">
        <v>2021</v>
      </c>
      <c r="C1069" s="14" t="s">
        <v>706</v>
      </c>
      <c r="D1069" s="27" t="s">
        <v>664</v>
      </c>
      <c r="E1069" s="35" t="s">
        <v>715</v>
      </c>
      <c r="F1069" s="35" t="s">
        <v>715</v>
      </c>
      <c r="G1069" s="168"/>
      <c r="W1069" s="16"/>
      <c r="X1069" s="43"/>
      <c r="AB1069" s="35"/>
      <c r="AD1069" s="31">
        <v>46.98</v>
      </c>
      <c r="AF1069" s="18"/>
      <c r="AG1069" s="32" t="s">
        <v>716</v>
      </c>
    </row>
    <row r="1070" spans="1:33" ht="20.100000000000001" customHeight="1">
      <c r="A1070" s="16" t="s">
        <v>26</v>
      </c>
      <c r="B1070" s="16">
        <v>2021</v>
      </c>
      <c r="C1070" s="14" t="s">
        <v>706</v>
      </c>
      <c r="D1070" s="27" t="s">
        <v>663</v>
      </c>
      <c r="E1070" s="35" t="s">
        <v>666</v>
      </c>
      <c r="F1070" s="11" t="s">
        <v>717</v>
      </c>
      <c r="G1070" s="168"/>
      <c r="W1070" s="16"/>
      <c r="X1070" s="60">
        <v>69300</v>
      </c>
      <c r="AB1070" s="35"/>
      <c r="AD1070" s="31">
        <v>20.43</v>
      </c>
      <c r="AF1070" s="18"/>
      <c r="AG1070" s="32" t="s">
        <v>762</v>
      </c>
    </row>
    <row r="1071" spans="1:33" ht="20.100000000000001" hidden="1" customHeight="1">
      <c r="A1071" s="16" t="s">
        <v>26</v>
      </c>
      <c r="B1071" s="16">
        <v>2021</v>
      </c>
      <c r="C1071" s="14" t="s">
        <v>706</v>
      </c>
      <c r="D1071" s="27" t="s">
        <v>719</v>
      </c>
      <c r="E1071" s="35" t="s">
        <v>720</v>
      </c>
      <c r="F1071" s="11" t="s">
        <v>720</v>
      </c>
      <c r="G1071" s="168"/>
      <c r="W1071" s="16"/>
      <c r="X1071" s="60">
        <v>6775</v>
      </c>
      <c r="AB1071" s="35"/>
      <c r="AD1071" s="31">
        <v>2</v>
      </c>
      <c r="AF1071" s="18"/>
      <c r="AG1071" s="32" t="s">
        <v>763</v>
      </c>
    </row>
    <row r="1072" spans="1:33" ht="20.100000000000001" hidden="1" customHeight="1">
      <c r="A1072" s="16" t="s">
        <v>26</v>
      </c>
      <c r="B1072" s="16">
        <v>2021</v>
      </c>
      <c r="C1072" s="14" t="s">
        <v>706</v>
      </c>
      <c r="D1072" s="27" t="s">
        <v>722</v>
      </c>
      <c r="E1072" s="35" t="s">
        <v>723</v>
      </c>
      <c r="F1072" s="11" t="s">
        <v>723</v>
      </c>
      <c r="G1072" s="168"/>
      <c r="W1072" s="16"/>
      <c r="X1072" s="60">
        <v>16340</v>
      </c>
      <c r="AB1072" s="35"/>
      <c r="AD1072" s="31">
        <v>4.82</v>
      </c>
      <c r="AF1072" s="18"/>
      <c r="AG1072" s="32" t="s">
        <v>764</v>
      </c>
    </row>
    <row r="1073" spans="1:33" ht="20.100000000000001" customHeight="1">
      <c r="A1073" s="16" t="s">
        <v>26</v>
      </c>
      <c r="B1073" s="16">
        <v>2021</v>
      </c>
      <c r="C1073" s="14" t="s">
        <v>706</v>
      </c>
      <c r="D1073" s="27" t="s">
        <v>676</v>
      </c>
      <c r="E1073" s="35" t="s">
        <v>676</v>
      </c>
      <c r="F1073" s="11" t="s">
        <v>725</v>
      </c>
      <c r="G1073" s="168"/>
      <c r="W1073" s="16"/>
      <c r="X1073" s="60">
        <v>12500</v>
      </c>
      <c r="AB1073" s="35"/>
      <c r="AD1073" s="31">
        <v>3.68</v>
      </c>
      <c r="AF1073" s="18"/>
      <c r="AG1073" s="32" t="s">
        <v>765</v>
      </c>
    </row>
    <row r="1074" spans="1:33" ht="20.100000000000001" hidden="1" customHeight="1">
      <c r="A1074" s="16" t="s">
        <v>26</v>
      </c>
      <c r="B1074" s="16">
        <v>2021</v>
      </c>
      <c r="C1074" s="14" t="s">
        <v>706</v>
      </c>
      <c r="D1074" s="27" t="s">
        <v>727</v>
      </c>
      <c r="E1074" s="35" t="s">
        <v>727</v>
      </c>
      <c r="F1074" s="64" t="s">
        <v>728</v>
      </c>
      <c r="G1074" s="168"/>
      <c r="W1074" s="16"/>
      <c r="X1074" s="60">
        <v>4591.3500000000004</v>
      </c>
      <c r="AB1074" s="35"/>
      <c r="AD1074" s="31">
        <v>1.35</v>
      </c>
      <c r="AF1074" s="18"/>
      <c r="AG1074" s="32" t="s">
        <v>766</v>
      </c>
    </row>
    <row r="1075" spans="1:33" ht="20.100000000000001" hidden="1" customHeight="1">
      <c r="A1075" s="16" t="s">
        <v>26</v>
      </c>
      <c r="B1075" s="16">
        <v>2021</v>
      </c>
      <c r="C1075" s="14" t="s">
        <v>706</v>
      </c>
      <c r="D1075" s="27" t="s">
        <v>730</v>
      </c>
      <c r="E1075" s="35" t="s">
        <v>731</v>
      </c>
      <c r="F1075" s="64" t="s">
        <v>732</v>
      </c>
      <c r="G1075" s="168"/>
      <c r="W1075" s="16"/>
      <c r="X1075" s="60">
        <v>13677.88</v>
      </c>
      <c r="AB1075" s="35"/>
      <c r="AD1075" s="31">
        <v>4.03</v>
      </c>
      <c r="AF1075" s="18"/>
      <c r="AG1075" s="32" t="s">
        <v>767</v>
      </c>
    </row>
    <row r="1076" spans="1:33" ht="20.100000000000001" hidden="1" customHeight="1">
      <c r="A1076" s="16" t="s">
        <v>26</v>
      </c>
      <c r="B1076" s="16">
        <v>2021</v>
      </c>
      <c r="C1076" s="14" t="s">
        <v>706</v>
      </c>
      <c r="D1076" s="27" t="s">
        <v>734</v>
      </c>
      <c r="E1076" s="62" t="s">
        <v>735</v>
      </c>
      <c r="F1076" s="62" t="s">
        <v>735</v>
      </c>
      <c r="G1076" s="168"/>
      <c r="W1076" s="16"/>
      <c r="X1076" s="60">
        <v>15325</v>
      </c>
      <c r="AB1076" s="35"/>
      <c r="AD1076" s="31">
        <v>4.5199999999999996</v>
      </c>
      <c r="AF1076" s="18"/>
      <c r="AG1076" s="32" t="s">
        <v>768</v>
      </c>
    </row>
    <row r="1077" spans="1:33" ht="20.100000000000001" customHeight="1">
      <c r="A1077" s="16" t="s">
        <v>26</v>
      </c>
      <c r="B1077" s="16">
        <v>2021</v>
      </c>
      <c r="C1077" s="14" t="s">
        <v>706</v>
      </c>
      <c r="D1077" s="27" t="s">
        <v>737</v>
      </c>
      <c r="E1077" s="62" t="s">
        <v>738</v>
      </c>
      <c r="F1077" s="62" t="s">
        <v>738</v>
      </c>
      <c r="G1077" s="168"/>
      <c r="W1077" s="16"/>
      <c r="X1077" s="60">
        <v>14501</v>
      </c>
      <c r="AB1077" s="35"/>
      <c r="AD1077" s="31">
        <v>4.2699999999999996</v>
      </c>
      <c r="AF1077" s="18"/>
      <c r="AG1077" s="32" t="s">
        <v>769</v>
      </c>
    </row>
    <row r="1078" spans="1:33" ht="20.100000000000001" customHeight="1">
      <c r="A1078" s="16" t="s">
        <v>26</v>
      </c>
      <c r="B1078" s="16">
        <v>2021</v>
      </c>
      <c r="C1078" s="14" t="s">
        <v>706</v>
      </c>
      <c r="D1078" s="27" t="s">
        <v>391</v>
      </c>
      <c r="E1078" s="35" t="s">
        <v>753</v>
      </c>
      <c r="F1078" s="64" t="s">
        <v>753</v>
      </c>
      <c r="G1078" s="168"/>
      <c r="W1078" s="16"/>
      <c r="X1078" s="60">
        <v>4312</v>
      </c>
      <c r="AB1078" s="35"/>
      <c r="AD1078" s="31">
        <v>1.27</v>
      </c>
      <c r="AF1078" s="18"/>
      <c r="AG1078" s="32" t="s">
        <v>770</v>
      </c>
    </row>
    <row r="1079" spans="1:33" ht="20.100000000000001" hidden="1" customHeight="1">
      <c r="A1079" s="16" t="s">
        <v>26</v>
      </c>
      <c r="B1079" s="16">
        <v>2021</v>
      </c>
      <c r="C1079" s="14" t="s">
        <v>706</v>
      </c>
      <c r="D1079" s="27" t="s">
        <v>755</v>
      </c>
      <c r="E1079" s="62" t="s">
        <v>756</v>
      </c>
      <c r="F1079" s="62" t="s">
        <v>756</v>
      </c>
      <c r="G1079" s="168"/>
      <c r="W1079" s="16"/>
      <c r="X1079" s="60">
        <v>11958.29</v>
      </c>
      <c r="AB1079" s="35"/>
      <c r="AD1079" s="31">
        <v>3.52</v>
      </c>
      <c r="AF1079" s="18"/>
      <c r="AG1079" s="32" t="s">
        <v>771</v>
      </c>
    </row>
    <row r="1080" spans="1:33" ht="20.100000000000001" hidden="1" customHeight="1">
      <c r="A1080" s="16" t="s">
        <v>26</v>
      </c>
      <c r="B1080" s="16">
        <v>2021</v>
      </c>
      <c r="C1080" s="14" t="s">
        <v>706</v>
      </c>
      <c r="D1080" s="27" t="s">
        <v>740</v>
      </c>
      <c r="E1080" s="35" t="s">
        <v>740</v>
      </c>
      <c r="F1080" s="64" t="s">
        <v>741</v>
      </c>
      <c r="G1080" s="168"/>
      <c r="W1080" s="16"/>
      <c r="X1080" s="43">
        <v>10586.03</v>
      </c>
      <c r="AB1080" s="35"/>
      <c r="AD1080" s="31">
        <v>3.12</v>
      </c>
      <c r="AF1080" s="18"/>
      <c r="AG1080" s="32" t="s">
        <v>772</v>
      </c>
    </row>
    <row r="1081" spans="1:33" ht="20.100000000000001" customHeight="1">
      <c r="A1081" s="16" t="s">
        <v>26</v>
      </c>
      <c r="B1081" s="16">
        <v>2022</v>
      </c>
      <c r="C1081" s="14" t="s">
        <v>706</v>
      </c>
      <c r="D1081" s="35" t="s">
        <v>664</v>
      </c>
      <c r="E1081" s="27" t="s">
        <v>707</v>
      </c>
      <c r="F1081" s="11" t="s">
        <v>707</v>
      </c>
      <c r="G1081" s="168"/>
      <c r="W1081" s="16"/>
      <c r="X1081" s="60">
        <v>39530</v>
      </c>
      <c r="AB1081" s="35"/>
      <c r="AD1081" s="31">
        <v>0</v>
      </c>
      <c r="AF1081" s="18"/>
      <c r="AG1081" s="32" t="s">
        <v>759</v>
      </c>
    </row>
    <row r="1082" spans="1:33" ht="20.100000000000001" customHeight="1">
      <c r="A1082" s="16" t="s">
        <v>26</v>
      </c>
      <c r="B1082" s="16">
        <v>2022</v>
      </c>
      <c r="C1082" s="14" t="s">
        <v>706</v>
      </c>
      <c r="D1082" s="35" t="s">
        <v>664</v>
      </c>
      <c r="E1082" s="27" t="s">
        <v>709</v>
      </c>
      <c r="F1082" s="11" t="s">
        <v>709</v>
      </c>
      <c r="G1082" s="168"/>
      <c r="W1082" s="16"/>
      <c r="X1082" s="60">
        <v>30130</v>
      </c>
      <c r="AB1082" s="35"/>
      <c r="AD1082" s="31">
        <v>10.87</v>
      </c>
      <c r="AF1082" s="18"/>
      <c r="AG1082" s="32" t="s">
        <v>710</v>
      </c>
    </row>
    <row r="1083" spans="1:33" ht="20.100000000000001" customHeight="1">
      <c r="A1083" s="16" t="s">
        <v>26</v>
      </c>
      <c r="B1083" s="16">
        <v>2022</v>
      </c>
      <c r="C1083" s="14" t="s">
        <v>706</v>
      </c>
      <c r="D1083" s="35" t="s">
        <v>664</v>
      </c>
      <c r="E1083" s="27" t="s">
        <v>711</v>
      </c>
      <c r="F1083" s="35" t="s">
        <v>711</v>
      </c>
      <c r="G1083" s="168"/>
      <c r="W1083" s="16"/>
      <c r="X1083" s="47">
        <v>64087.199999999997</v>
      </c>
      <c r="AB1083" s="35"/>
      <c r="AD1083" s="31">
        <v>8.2899999999999991</v>
      </c>
      <c r="AF1083" s="18"/>
      <c r="AG1083" s="32" t="s">
        <v>773</v>
      </c>
    </row>
    <row r="1084" spans="1:33" ht="20.100000000000001" customHeight="1">
      <c r="A1084" s="16" t="s">
        <v>26</v>
      </c>
      <c r="B1084" s="16">
        <v>2022</v>
      </c>
      <c r="C1084" s="14" t="s">
        <v>706</v>
      </c>
      <c r="D1084" s="35" t="s">
        <v>664</v>
      </c>
      <c r="E1084" s="27" t="s">
        <v>713</v>
      </c>
      <c r="F1084" s="35" t="s">
        <v>713</v>
      </c>
      <c r="G1084" s="168"/>
      <c r="W1084" s="16"/>
      <c r="X1084" s="47">
        <v>28212.3</v>
      </c>
      <c r="AB1084" s="35"/>
      <c r="AD1084" s="31">
        <v>17.63</v>
      </c>
      <c r="AF1084" s="18"/>
      <c r="AG1084" s="32" t="s">
        <v>774</v>
      </c>
    </row>
    <row r="1085" spans="1:33" ht="20.100000000000001" customHeight="1">
      <c r="A1085" s="16" t="s">
        <v>26</v>
      </c>
      <c r="B1085" s="16">
        <v>2022</v>
      </c>
      <c r="C1085" s="14" t="s">
        <v>706</v>
      </c>
      <c r="D1085" s="27" t="s">
        <v>664</v>
      </c>
      <c r="E1085" s="35" t="s">
        <v>715</v>
      </c>
      <c r="F1085" s="35" t="s">
        <v>715</v>
      </c>
      <c r="G1085" s="168"/>
      <c r="W1085" s="16"/>
      <c r="X1085" s="47"/>
      <c r="AB1085" s="35"/>
      <c r="AD1085" s="31">
        <v>7.76</v>
      </c>
      <c r="AF1085" s="18"/>
      <c r="AG1085" s="32" t="s">
        <v>716</v>
      </c>
    </row>
    <row r="1086" spans="1:33" ht="20.100000000000001" customHeight="1">
      <c r="A1086" s="16" t="s">
        <v>26</v>
      </c>
      <c r="B1086" s="16">
        <v>2022</v>
      </c>
      <c r="C1086" s="14" t="s">
        <v>706</v>
      </c>
      <c r="D1086" s="27" t="s">
        <v>663</v>
      </c>
      <c r="E1086" s="35" t="s">
        <v>666</v>
      </c>
      <c r="F1086" s="11" t="s">
        <v>717</v>
      </c>
      <c r="G1086" s="168"/>
      <c r="W1086" s="16"/>
      <c r="X1086" s="60">
        <v>71750</v>
      </c>
      <c r="AB1086" s="35"/>
      <c r="AD1086" s="31">
        <v>44.55</v>
      </c>
      <c r="AF1086" s="18"/>
      <c r="AG1086" s="32" t="s">
        <v>775</v>
      </c>
    </row>
    <row r="1087" spans="1:33" ht="20.100000000000001" hidden="1" customHeight="1">
      <c r="A1087" s="16" t="s">
        <v>26</v>
      </c>
      <c r="B1087" s="16">
        <v>2022</v>
      </c>
      <c r="C1087" s="14" t="s">
        <v>706</v>
      </c>
      <c r="D1087" s="27" t="s">
        <v>776</v>
      </c>
      <c r="E1087" s="35" t="s">
        <v>720</v>
      </c>
      <c r="F1087" s="11" t="s">
        <v>720</v>
      </c>
      <c r="G1087" s="168"/>
      <c r="W1087" s="16"/>
      <c r="X1087" s="60">
        <v>10925</v>
      </c>
      <c r="AB1087" s="35"/>
      <c r="AD1087" s="31">
        <v>19.739999999999998</v>
      </c>
      <c r="AF1087" s="18"/>
      <c r="AG1087" s="32" t="s">
        <v>777</v>
      </c>
    </row>
    <row r="1088" spans="1:33" ht="20.100000000000001" hidden="1" customHeight="1">
      <c r="A1088" s="16" t="s">
        <v>26</v>
      </c>
      <c r="B1088" s="16">
        <v>2022</v>
      </c>
      <c r="C1088" s="14" t="s">
        <v>706</v>
      </c>
      <c r="D1088" s="27" t="s">
        <v>722</v>
      </c>
      <c r="E1088" s="35" t="s">
        <v>723</v>
      </c>
      <c r="F1088" s="11" t="s">
        <v>723</v>
      </c>
      <c r="G1088" s="168"/>
      <c r="W1088" s="16"/>
      <c r="X1088" s="60">
        <v>15500</v>
      </c>
      <c r="AB1088" s="35"/>
      <c r="AD1088" s="31">
        <v>3.01</v>
      </c>
      <c r="AF1088" s="18"/>
      <c r="AG1088" s="32" t="s">
        <v>778</v>
      </c>
    </row>
    <row r="1089" spans="1:33" ht="20.100000000000001" customHeight="1">
      <c r="A1089" s="16" t="s">
        <v>26</v>
      </c>
      <c r="B1089" s="16">
        <v>2022</v>
      </c>
      <c r="C1089" s="14" t="s">
        <v>706</v>
      </c>
      <c r="D1089" s="27" t="s">
        <v>676</v>
      </c>
      <c r="E1089" s="35" t="s">
        <v>676</v>
      </c>
      <c r="F1089" s="11" t="s">
        <v>725</v>
      </c>
      <c r="G1089" s="168"/>
      <c r="W1089" s="16"/>
      <c r="X1089" s="60">
        <v>14000</v>
      </c>
      <c r="AB1089" s="35"/>
      <c r="AD1089" s="31">
        <v>4.26</v>
      </c>
      <c r="AF1089" s="18"/>
      <c r="AG1089" s="32" t="s">
        <v>779</v>
      </c>
    </row>
    <row r="1090" spans="1:33" ht="20.100000000000001" hidden="1" customHeight="1">
      <c r="A1090" s="16" t="s">
        <v>26</v>
      </c>
      <c r="B1090" s="16">
        <v>2022</v>
      </c>
      <c r="C1090" s="14" t="s">
        <v>706</v>
      </c>
      <c r="D1090" s="27" t="s">
        <v>730</v>
      </c>
      <c r="E1090" s="35" t="s">
        <v>731</v>
      </c>
      <c r="F1090" s="64" t="s">
        <v>732</v>
      </c>
      <c r="G1090" s="168"/>
      <c r="W1090" s="16"/>
      <c r="X1090" s="60">
        <v>14486.04</v>
      </c>
      <c r="AB1090" s="35"/>
      <c r="AD1090" s="34">
        <v>3.85</v>
      </c>
      <c r="AF1090" s="18"/>
      <c r="AG1090" s="32" t="s">
        <v>780</v>
      </c>
    </row>
    <row r="1091" spans="1:33" ht="20.100000000000001" hidden="1" customHeight="1">
      <c r="A1091" s="16" t="s">
        <v>26</v>
      </c>
      <c r="B1091" s="16">
        <v>2022</v>
      </c>
      <c r="C1091" s="14" t="s">
        <v>706</v>
      </c>
      <c r="D1091" s="27" t="s">
        <v>734</v>
      </c>
      <c r="E1091" s="62" t="s">
        <v>735</v>
      </c>
      <c r="F1091" s="62" t="s">
        <v>735</v>
      </c>
      <c r="G1091" s="168"/>
      <c r="W1091" s="16"/>
      <c r="X1091" s="60">
        <v>16375</v>
      </c>
      <c r="AB1091" s="35"/>
      <c r="AD1091" s="34">
        <v>3.98</v>
      </c>
      <c r="AF1091" s="18"/>
      <c r="AG1091" s="32" t="s">
        <v>781</v>
      </c>
    </row>
    <row r="1092" spans="1:33" ht="20.100000000000001" customHeight="1">
      <c r="A1092" s="16" t="s">
        <v>26</v>
      </c>
      <c r="B1092" s="16">
        <v>2022</v>
      </c>
      <c r="C1092" s="14" t="s">
        <v>706</v>
      </c>
      <c r="D1092" s="27" t="s">
        <v>737</v>
      </c>
      <c r="E1092" s="62" t="s">
        <v>738</v>
      </c>
      <c r="F1092" s="62" t="s">
        <v>738</v>
      </c>
      <c r="G1092" s="168"/>
      <c r="W1092" s="16"/>
      <c r="X1092" s="60">
        <v>18820</v>
      </c>
      <c r="AB1092" s="35"/>
      <c r="AD1092" s="34">
        <v>4.5</v>
      </c>
      <c r="AF1092" s="18"/>
      <c r="AG1092" s="32" t="s">
        <v>782</v>
      </c>
    </row>
    <row r="1093" spans="1:33" ht="20.100000000000001" customHeight="1">
      <c r="A1093" s="16" t="s">
        <v>26</v>
      </c>
      <c r="B1093" s="16">
        <v>2022</v>
      </c>
      <c r="C1093" s="14" t="s">
        <v>706</v>
      </c>
      <c r="D1093" s="27" t="s">
        <v>391</v>
      </c>
      <c r="E1093" s="35" t="s">
        <v>753</v>
      </c>
      <c r="F1093" s="64" t="s">
        <v>753</v>
      </c>
      <c r="G1093" s="168"/>
      <c r="W1093" s="16"/>
      <c r="X1093" s="60">
        <v>4000</v>
      </c>
      <c r="AB1093" s="35"/>
      <c r="AD1093" s="34">
        <v>5.18</v>
      </c>
      <c r="AF1093" s="18"/>
      <c r="AG1093" s="32" t="s">
        <v>783</v>
      </c>
    </row>
    <row r="1094" spans="1:33" ht="20.100000000000001" hidden="1" customHeight="1">
      <c r="A1094" s="16" t="s">
        <v>26</v>
      </c>
      <c r="B1094" s="16">
        <v>2022</v>
      </c>
      <c r="C1094" s="14" t="s">
        <v>706</v>
      </c>
      <c r="D1094" s="27" t="s">
        <v>755</v>
      </c>
      <c r="E1094" s="62" t="s">
        <v>756</v>
      </c>
      <c r="F1094" s="62" t="s">
        <v>756</v>
      </c>
      <c r="G1094" s="168"/>
      <c r="W1094" s="16"/>
      <c r="X1094" s="43">
        <v>16099.2</v>
      </c>
      <c r="AB1094" s="35"/>
      <c r="AD1094" s="34">
        <v>1.1000000000000001</v>
      </c>
      <c r="AF1094" s="18"/>
      <c r="AG1094" s="32" t="s">
        <v>784</v>
      </c>
    </row>
    <row r="1095" spans="1:33" ht="20.100000000000001" hidden="1" customHeight="1">
      <c r="A1095" s="16" t="s">
        <v>26</v>
      </c>
      <c r="B1095" s="16">
        <v>2022</v>
      </c>
      <c r="C1095" s="14" t="s">
        <v>706</v>
      </c>
      <c r="D1095" s="27" t="s">
        <v>740</v>
      </c>
      <c r="E1095" s="35" t="s">
        <v>740</v>
      </c>
      <c r="F1095" s="64" t="s">
        <v>741</v>
      </c>
      <c r="G1095" s="168"/>
      <c r="W1095" s="16"/>
      <c r="X1095" s="43">
        <v>10797.3</v>
      </c>
      <c r="AB1095" s="35"/>
      <c r="AD1095" s="34">
        <v>4.43</v>
      </c>
      <c r="AF1095" s="18"/>
      <c r="AG1095" s="32" t="s">
        <v>785</v>
      </c>
    </row>
    <row r="1096" spans="1:33" ht="20.100000000000001" hidden="1" customHeight="1">
      <c r="A1096" s="16" t="s">
        <v>26</v>
      </c>
      <c r="B1096" s="16">
        <v>2022</v>
      </c>
      <c r="C1096" s="14" t="s">
        <v>706</v>
      </c>
      <c r="D1096" s="27" t="s">
        <v>786</v>
      </c>
      <c r="E1096" s="35" t="s">
        <v>786</v>
      </c>
      <c r="F1096" s="35" t="s">
        <v>786</v>
      </c>
      <c r="G1096" s="168"/>
      <c r="W1096" s="16"/>
      <c r="X1096" s="60">
        <v>8823.6</v>
      </c>
      <c r="AB1096" s="35"/>
      <c r="AD1096" s="34">
        <v>2.97</v>
      </c>
      <c r="AF1096" s="18"/>
      <c r="AG1096" s="32" t="s">
        <v>787</v>
      </c>
    </row>
    <row r="1097" spans="1:33" ht="20.100000000000001" hidden="1" customHeight="1">
      <c r="A1097" s="16" t="s">
        <v>26</v>
      </c>
      <c r="B1097" s="16">
        <v>2022</v>
      </c>
      <c r="C1097" s="14" t="s">
        <v>706</v>
      </c>
      <c r="D1097" s="27" t="s">
        <v>202</v>
      </c>
      <c r="E1097" s="35"/>
      <c r="F1097" s="35"/>
      <c r="G1097" s="168"/>
      <c r="W1097" s="16"/>
      <c r="X1097" s="60"/>
      <c r="AB1097" s="35"/>
      <c r="AD1097" s="34">
        <v>2.4300000000000002</v>
      </c>
      <c r="AF1097" s="18"/>
      <c r="AG1097" s="32"/>
    </row>
    <row r="1098" spans="1:33" ht="20.100000000000001" customHeight="1">
      <c r="A1098" s="16" t="s">
        <v>26</v>
      </c>
      <c r="B1098" s="16">
        <v>2023</v>
      </c>
      <c r="C1098" s="14" t="s">
        <v>706</v>
      </c>
      <c r="D1098" s="35" t="s">
        <v>664</v>
      </c>
      <c r="E1098" s="27" t="s">
        <v>707</v>
      </c>
      <c r="F1098" s="64" t="s">
        <v>707</v>
      </c>
      <c r="G1098" s="168"/>
      <c r="W1098" s="16"/>
      <c r="X1098" s="60">
        <v>39720</v>
      </c>
      <c r="AB1098" s="35"/>
      <c r="AD1098" s="34">
        <v>10.37</v>
      </c>
      <c r="AF1098" s="18"/>
      <c r="AG1098" s="32" t="s">
        <v>708</v>
      </c>
    </row>
    <row r="1099" spans="1:33" ht="20.100000000000001" customHeight="1">
      <c r="A1099" s="16" t="s">
        <v>26</v>
      </c>
      <c r="B1099" s="16">
        <v>2023</v>
      </c>
      <c r="C1099" s="14" t="s">
        <v>706</v>
      </c>
      <c r="D1099" s="35" t="s">
        <v>664</v>
      </c>
      <c r="E1099" s="27" t="s">
        <v>709</v>
      </c>
      <c r="F1099" s="11" t="s">
        <v>709</v>
      </c>
      <c r="G1099" s="168"/>
      <c r="W1099" s="16"/>
      <c r="X1099" s="60">
        <v>30474</v>
      </c>
      <c r="AB1099" s="35"/>
      <c r="AD1099" s="34">
        <v>7.96</v>
      </c>
      <c r="AF1099" s="18"/>
      <c r="AG1099" s="32" t="s">
        <v>710</v>
      </c>
    </row>
    <row r="1100" spans="1:33" ht="20.100000000000001" customHeight="1">
      <c r="A1100" s="16" t="s">
        <v>26</v>
      </c>
      <c r="B1100" s="16">
        <v>2023</v>
      </c>
      <c r="C1100" s="14" t="s">
        <v>706</v>
      </c>
      <c r="D1100" s="35" t="s">
        <v>664</v>
      </c>
      <c r="E1100" s="27" t="s">
        <v>711</v>
      </c>
      <c r="F1100" s="11" t="s">
        <v>711</v>
      </c>
      <c r="G1100" s="168"/>
      <c r="W1100" s="16"/>
      <c r="X1100" s="43">
        <v>64404.55</v>
      </c>
      <c r="AB1100" s="35"/>
      <c r="AD1100" s="34">
        <v>16.82</v>
      </c>
      <c r="AF1100" s="18"/>
      <c r="AG1100" s="32" t="s">
        <v>788</v>
      </c>
    </row>
    <row r="1101" spans="1:33" ht="20.100000000000001" customHeight="1">
      <c r="A1101" s="16" t="s">
        <v>26</v>
      </c>
      <c r="B1101" s="16">
        <v>2023</v>
      </c>
      <c r="C1101" s="14" t="s">
        <v>706</v>
      </c>
      <c r="D1101" s="35" t="s">
        <v>664</v>
      </c>
      <c r="E1101" s="27" t="s">
        <v>713</v>
      </c>
      <c r="F1101" s="11" t="s">
        <v>713</v>
      </c>
      <c r="G1101" s="168"/>
      <c r="W1101" s="16"/>
      <c r="X1101" s="43">
        <v>28821.71</v>
      </c>
      <c r="AB1101" s="35"/>
      <c r="AD1101" s="34">
        <v>7.53</v>
      </c>
      <c r="AF1101" s="18"/>
      <c r="AG1101" s="32" t="s">
        <v>789</v>
      </c>
    </row>
    <row r="1102" spans="1:33" ht="20.100000000000001" customHeight="1">
      <c r="A1102" s="16" t="s">
        <v>26</v>
      </c>
      <c r="B1102" s="16">
        <v>2023</v>
      </c>
      <c r="C1102" s="14" t="s">
        <v>706</v>
      </c>
      <c r="D1102" s="27" t="s">
        <v>664</v>
      </c>
      <c r="E1102" s="35" t="s">
        <v>715</v>
      </c>
      <c r="F1102" s="11" t="s">
        <v>715</v>
      </c>
      <c r="G1102" s="168"/>
      <c r="W1102" s="16"/>
      <c r="X1102" s="43"/>
      <c r="AB1102" s="35"/>
      <c r="AD1102" s="34">
        <v>42.68</v>
      </c>
      <c r="AF1102" s="18"/>
      <c r="AG1102" s="32" t="s">
        <v>716</v>
      </c>
    </row>
    <row r="1103" spans="1:33" ht="20.100000000000001" customHeight="1">
      <c r="A1103" s="16" t="s">
        <v>26</v>
      </c>
      <c r="B1103" s="16">
        <v>2023</v>
      </c>
      <c r="C1103" s="14" t="s">
        <v>706</v>
      </c>
      <c r="D1103" s="27" t="s">
        <v>663</v>
      </c>
      <c r="E1103" s="35" t="s">
        <v>666</v>
      </c>
      <c r="F1103" s="11" t="s">
        <v>717</v>
      </c>
      <c r="G1103" s="168"/>
      <c r="W1103" s="16"/>
      <c r="X1103" s="60">
        <v>69350</v>
      </c>
      <c r="AB1103" s="35"/>
      <c r="AD1103" s="34">
        <v>18.11</v>
      </c>
      <c r="AF1103" s="18"/>
      <c r="AG1103" s="32" t="s">
        <v>790</v>
      </c>
    </row>
    <row r="1104" spans="1:33" ht="20.100000000000001" hidden="1" customHeight="1">
      <c r="A1104" s="16" t="s">
        <v>26</v>
      </c>
      <c r="B1104" s="16">
        <v>2023</v>
      </c>
      <c r="C1104" s="14" t="s">
        <v>706</v>
      </c>
      <c r="D1104" s="27" t="s">
        <v>776</v>
      </c>
      <c r="E1104" s="35" t="s">
        <v>720</v>
      </c>
      <c r="F1104" s="35" t="s">
        <v>720</v>
      </c>
      <c r="G1104" s="168"/>
      <c r="W1104" s="16"/>
      <c r="X1104" s="31">
        <v>15310</v>
      </c>
      <c r="AB1104" s="35"/>
      <c r="AD1104" s="34">
        <v>4</v>
      </c>
      <c r="AF1104" s="18"/>
      <c r="AG1104" s="32" t="s">
        <v>791</v>
      </c>
    </row>
    <row r="1105" spans="1:33" ht="20.100000000000001" hidden="1" customHeight="1">
      <c r="A1105" s="16" t="s">
        <v>26</v>
      </c>
      <c r="B1105" s="16">
        <v>2023</v>
      </c>
      <c r="C1105" s="14" t="s">
        <v>706</v>
      </c>
      <c r="D1105" s="27" t="s">
        <v>722</v>
      </c>
      <c r="E1105" s="35" t="s">
        <v>723</v>
      </c>
      <c r="F1105" s="11" t="s">
        <v>723</v>
      </c>
      <c r="G1105" s="168"/>
      <c r="W1105" s="16"/>
      <c r="X1105" s="31">
        <v>17385</v>
      </c>
      <c r="AB1105" s="35"/>
      <c r="AD1105" s="34">
        <v>4.54</v>
      </c>
      <c r="AF1105" s="18"/>
      <c r="AG1105" s="32" t="s">
        <v>792</v>
      </c>
    </row>
    <row r="1106" spans="1:33" ht="20.100000000000001" customHeight="1">
      <c r="A1106" s="16" t="s">
        <v>26</v>
      </c>
      <c r="B1106" s="16">
        <v>2023</v>
      </c>
      <c r="C1106" s="14" t="s">
        <v>706</v>
      </c>
      <c r="D1106" s="27" t="s">
        <v>676</v>
      </c>
      <c r="E1106" s="35" t="s">
        <v>676</v>
      </c>
      <c r="F1106" s="64" t="s">
        <v>725</v>
      </c>
      <c r="G1106" s="168"/>
      <c r="W1106" s="16"/>
      <c r="X1106" s="31">
        <v>16500</v>
      </c>
      <c r="AB1106" s="35"/>
      <c r="AD1106" s="34">
        <v>4.3099999999999996</v>
      </c>
      <c r="AF1106" s="18"/>
      <c r="AG1106" s="32" t="s">
        <v>793</v>
      </c>
    </row>
    <row r="1107" spans="1:33" ht="20.100000000000001" hidden="1" customHeight="1">
      <c r="A1107" s="16" t="s">
        <v>26</v>
      </c>
      <c r="B1107" s="16">
        <v>2023</v>
      </c>
      <c r="C1107" s="14" t="s">
        <v>706</v>
      </c>
      <c r="D1107" s="27" t="s">
        <v>727</v>
      </c>
      <c r="E1107" s="35" t="s">
        <v>727</v>
      </c>
      <c r="F1107" s="64" t="s">
        <v>728</v>
      </c>
      <c r="G1107" s="168"/>
      <c r="W1107" s="16"/>
      <c r="X1107" s="31">
        <v>6078.17</v>
      </c>
      <c r="AB1107" s="35"/>
      <c r="AD1107" s="34">
        <v>1.59</v>
      </c>
      <c r="AF1107" s="18"/>
      <c r="AG1107" s="32" t="s">
        <v>794</v>
      </c>
    </row>
    <row r="1108" spans="1:33" ht="20.100000000000001" hidden="1" customHeight="1">
      <c r="A1108" s="16" t="s">
        <v>26</v>
      </c>
      <c r="B1108" s="16">
        <v>2023</v>
      </c>
      <c r="C1108" s="14" t="s">
        <v>706</v>
      </c>
      <c r="D1108" s="27" t="s">
        <v>730</v>
      </c>
      <c r="E1108" s="35" t="s">
        <v>731</v>
      </c>
      <c r="F1108" s="64" t="s">
        <v>732</v>
      </c>
      <c r="G1108" s="168"/>
      <c r="W1108" s="16"/>
      <c r="X1108" s="31">
        <v>15039.9</v>
      </c>
      <c r="AB1108" s="35"/>
      <c r="AD1108" s="34">
        <v>3.93</v>
      </c>
      <c r="AF1108" s="18"/>
      <c r="AG1108" s="32" t="s">
        <v>795</v>
      </c>
    </row>
    <row r="1109" spans="1:33" ht="20.100000000000001" hidden="1" customHeight="1">
      <c r="A1109" s="16" t="s">
        <v>26</v>
      </c>
      <c r="B1109" s="16">
        <v>2023</v>
      </c>
      <c r="C1109" s="14" t="s">
        <v>706</v>
      </c>
      <c r="D1109" s="27" t="s">
        <v>734</v>
      </c>
      <c r="E1109" s="62" t="s">
        <v>735</v>
      </c>
      <c r="F1109" s="62" t="s">
        <v>735</v>
      </c>
      <c r="G1109" s="168"/>
      <c r="W1109" s="16"/>
      <c r="X1109" s="31">
        <v>18565</v>
      </c>
      <c r="AB1109" s="35"/>
      <c r="AD1109" s="34">
        <v>4.8499999999999996</v>
      </c>
      <c r="AF1109" s="18"/>
      <c r="AG1109" s="61" t="s">
        <v>796</v>
      </c>
    </row>
    <row r="1110" spans="1:33" ht="20.100000000000001" customHeight="1">
      <c r="A1110" s="16" t="s">
        <v>26</v>
      </c>
      <c r="B1110" s="16">
        <v>2023</v>
      </c>
      <c r="C1110" s="14" t="s">
        <v>706</v>
      </c>
      <c r="D1110" s="27" t="s">
        <v>737</v>
      </c>
      <c r="E1110" s="62" t="s">
        <v>738</v>
      </c>
      <c r="F1110" s="62" t="s">
        <v>738</v>
      </c>
      <c r="G1110" s="168"/>
      <c r="W1110" s="16"/>
      <c r="X1110" s="31">
        <v>22105</v>
      </c>
      <c r="AB1110" s="35"/>
      <c r="AD1110" s="34">
        <v>5.77</v>
      </c>
      <c r="AF1110" s="18"/>
      <c r="AG1110" s="32" t="s">
        <v>797</v>
      </c>
    </row>
    <row r="1111" spans="1:33" ht="20.100000000000001" customHeight="1">
      <c r="A1111" s="16" t="s">
        <v>26</v>
      </c>
      <c r="B1111" s="16">
        <v>2023</v>
      </c>
      <c r="C1111" s="14" t="s">
        <v>706</v>
      </c>
      <c r="D1111" s="27" t="s">
        <v>391</v>
      </c>
      <c r="E1111" s="35" t="s">
        <v>753</v>
      </c>
      <c r="F1111" s="64" t="s">
        <v>753</v>
      </c>
      <c r="G1111" s="168"/>
      <c r="W1111" s="16"/>
      <c r="X1111" s="31">
        <v>3720</v>
      </c>
      <c r="AB1111" s="35"/>
      <c r="AD1111" s="34">
        <v>0.97</v>
      </c>
      <c r="AF1111" s="18"/>
      <c r="AG1111" s="32" t="s">
        <v>798</v>
      </c>
    </row>
    <row r="1112" spans="1:33" ht="20.100000000000001" hidden="1" customHeight="1">
      <c r="A1112" s="16" t="s">
        <v>26</v>
      </c>
      <c r="B1112" s="16">
        <v>2023</v>
      </c>
      <c r="C1112" s="14" t="s">
        <v>706</v>
      </c>
      <c r="D1112" s="27" t="s">
        <v>755</v>
      </c>
      <c r="E1112" s="62" t="s">
        <v>756</v>
      </c>
      <c r="F1112" s="62" t="s">
        <v>756</v>
      </c>
      <c r="G1112" s="168"/>
      <c r="W1112" s="16"/>
      <c r="X1112" s="31">
        <v>17076.669999999998</v>
      </c>
      <c r="AB1112" s="35"/>
      <c r="AD1112" s="34">
        <v>4.46</v>
      </c>
      <c r="AF1112" s="18"/>
      <c r="AG1112" s="32" t="s">
        <v>799</v>
      </c>
    </row>
    <row r="1113" spans="1:33" ht="20.100000000000001" hidden="1" customHeight="1">
      <c r="A1113" s="16" t="s">
        <v>26</v>
      </c>
      <c r="B1113" s="16">
        <v>2023</v>
      </c>
      <c r="C1113" s="14" t="s">
        <v>706</v>
      </c>
      <c r="D1113" s="27" t="s">
        <v>740</v>
      </c>
      <c r="E1113" s="35" t="s">
        <v>740</v>
      </c>
      <c r="F1113" s="64" t="s">
        <v>741</v>
      </c>
      <c r="G1113" s="168"/>
      <c r="W1113" s="16"/>
      <c r="X1113" s="31">
        <v>10276.91</v>
      </c>
      <c r="AB1113" s="35"/>
      <c r="AD1113" s="34">
        <v>2.68</v>
      </c>
      <c r="AF1113" s="18"/>
      <c r="AG1113" s="32" t="s">
        <v>800</v>
      </c>
    </row>
    <row r="1114" spans="1:33" ht="20.100000000000001" hidden="1" customHeight="1">
      <c r="A1114" s="16" t="s">
        <v>26</v>
      </c>
      <c r="B1114" s="16">
        <v>2023</v>
      </c>
      <c r="C1114" s="14" t="s">
        <v>706</v>
      </c>
      <c r="D1114" s="27" t="s">
        <v>786</v>
      </c>
      <c r="E1114" s="35" t="s">
        <v>786</v>
      </c>
      <c r="F1114" s="35" t="s">
        <v>786</v>
      </c>
      <c r="G1114" s="168"/>
      <c r="W1114" s="16"/>
      <c r="X1114" s="31">
        <v>8025.68</v>
      </c>
      <c r="AB1114" s="35"/>
      <c r="AD1114" s="34">
        <v>2.1</v>
      </c>
      <c r="AF1114" s="18"/>
      <c r="AG1114" s="32" t="s">
        <v>801</v>
      </c>
    </row>
    <row r="1115" spans="1:33" ht="20.100000000000001" hidden="1" customHeight="1">
      <c r="A1115" s="16" t="s">
        <v>26</v>
      </c>
      <c r="B1115" s="16">
        <v>2018</v>
      </c>
      <c r="C1115" s="14" t="s">
        <v>802</v>
      </c>
      <c r="D1115" s="27" t="s">
        <v>663</v>
      </c>
      <c r="E1115" s="35" t="s">
        <v>666</v>
      </c>
      <c r="F1115" s="35" t="s">
        <v>803</v>
      </c>
      <c r="G1115" s="168"/>
      <c r="AB1115" s="77"/>
      <c r="AD1115" s="31">
        <v>68.010000000000005</v>
      </c>
      <c r="AG1115" s="14" t="s">
        <v>804</v>
      </c>
    </row>
    <row r="1116" spans="1:33" ht="20.100000000000001" hidden="1" customHeight="1">
      <c r="A1116" s="16" t="s">
        <v>26</v>
      </c>
      <c r="B1116" s="16">
        <v>2018</v>
      </c>
      <c r="C1116" s="14" t="s">
        <v>802</v>
      </c>
      <c r="D1116" s="50" t="s">
        <v>404</v>
      </c>
      <c r="E1116" s="62" t="s">
        <v>404</v>
      </c>
      <c r="F1116" s="62" t="s">
        <v>805</v>
      </c>
      <c r="G1116" s="168"/>
      <c r="AB1116" s="77"/>
      <c r="AD1116" s="63">
        <v>30.64</v>
      </c>
      <c r="AG1116" s="35" t="s">
        <v>806</v>
      </c>
    </row>
    <row r="1117" spans="1:33" ht="20.100000000000001" hidden="1" customHeight="1">
      <c r="A1117" s="16" t="s">
        <v>26</v>
      </c>
      <c r="B1117" s="16">
        <v>2018</v>
      </c>
      <c r="C1117" s="14" t="s">
        <v>802</v>
      </c>
      <c r="D1117" s="27" t="s">
        <v>202</v>
      </c>
      <c r="E1117" s="35"/>
      <c r="F1117" s="35"/>
      <c r="G1117" s="168"/>
      <c r="AB1117" s="77"/>
      <c r="AD1117" s="31">
        <f>100-AD1115-AD1116</f>
        <v>1.3499999999999943</v>
      </c>
      <c r="AG1117" s="35" t="s">
        <v>806</v>
      </c>
    </row>
    <row r="1118" spans="1:33" ht="20.100000000000001" customHeight="1">
      <c r="A1118" s="16" t="s">
        <v>26</v>
      </c>
      <c r="B1118" s="16">
        <v>2019</v>
      </c>
      <c r="C1118" s="14" t="s">
        <v>802</v>
      </c>
      <c r="D1118" s="27" t="s">
        <v>663</v>
      </c>
      <c r="E1118" s="35" t="s">
        <v>666</v>
      </c>
      <c r="F1118" s="35" t="s">
        <v>803</v>
      </c>
      <c r="G1118" s="168"/>
      <c r="H1118" s="170">
        <f t="shared" ref="H1118:H1120" si="77">G1118/0.893276257067409</f>
        <v>0</v>
      </c>
      <c r="AB1118" s="77"/>
      <c r="AD1118" s="31">
        <v>70.930000000000007</v>
      </c>
      <c r="AG1118" s="35" t="s">
        <v>807</v>
      </c>
    </row>
    <row r="1119" spans="1:33" ht="20.100000000000001" customHeight="1">
      <c r="A1119" s="16" t="s">
        <v>26</v>
      </c>
      <c r="B1119" s="16">
        <v>2019</v>
      </c>
      <c r="C1119" s="14" t="s">
        <v>802</v>
      </c>
      <c r="D1119" s="27" t="s">
        <v>404</v>
      </c>
      <c r="E1119" s="35" t="s">
        <v>404</v>
      </c>
      <c r="F1119" s="35" t="s">
        <v>805</v>
      </c>
      <c r="G1119" s="168"/>
      <c r="H1119" s="170">
        <f t="shared" si="77"/>
        <v>0</v>
      </c>
      <c r="AB1119" s="77"/>
      <c r="AD1119" s="31">
        <v>28.2</v>
      </c>
      <c r="AG1119" s="35" t="s">
        <v>807</v>
      </c>
    </row>
    <row r="1120" spans="1:33" ht="20.100000000000001" hidden="1" customHeight="1">
      <c r="A1120" s="16" t="s">
        <v>26</v>
      </c>
      <c r="B1120" s="16">
        <v>2019</v>
      </c>
      <c r="C1120" s="14" t="s">
        <v>802</v>
      </c>
      <c r="D1120" s="27" t="s">
        <v>202</v>
      </c>
      <c r="E1120" s="62"/>
      <c r="F1120" s="62"/>
      <c r="G1120" s="168"/>
      <c r="H1120" s="170">
        <f t="shared" si="77"/>
        <v>0</v>
      </c>
      <c r="AB1120" s="77"/>
      <c r="AD1120" s="63">
        <f>(100-AD1118-AD1119)</f>
        <v>0.86999999999999389</v>
      </c>
      <c r="AG1120" s="35" t="s">
        <v>807</v>
      </c>
    </row>
    <row r="1121" spans="1:33" ht="20.100000000000001" customHeight="1">
      <c r="A1121" s="16" t="s">
        <v>26</v>
      </c>
      <c r="B1121" s="16">
        <v>2020</v>
      </c>
      <c r="C1121" s="14" t="s">
        <v>802</v>
      </c>
      <c r="D1121" s="27" t="s">
        <v>663</v>
      </c>
      <c r="E1121" s="17" t="s">
        <v>666</v>
      </c>
      <c r="F1121" s="17" t="s">
        <v>803</v>
      </c>
      <c r="G1121" s="168"/>
      <c r="AB1121" s="77"/>
      <c r="AD1121" s="29">
        <v>68.959999999999994</v>
      </c>
      <c r="AG1121" s="35" t="s">
        <v>808</v>
      </c>
    </row>
    <row r="1122" spans="1:33" ht="20.100000000000001" customHeight="1">
      <c r="A1122" s="16" t="s">
        <v>26</v>
      </c>
      <c r="B1122" s="16">
        <v>2020</v>
      </c>
      <c r="C1122" s="14" t="s">
        <v>802</v>
      </c>
      <c r="D1122" s="9" t="s">
        <v>404</v>
      </c>
      <c r="E1122" s="17" t="s">
        <v>404</v>
      </c>
      <c r="F1122" s="17" t="s">
        <v>805</v>
      </c>
      <c r="G1122" s="168"/>
      <c r="AB1122" s="77"/>
      <c r="AD1122" s="29">
        <v>30.39</v>
      </c>
      <c r="AG1122" s="35" t="s">
        <v>808</v>
      </c>
    </row>
    <row r="1123" spans="1:33" ht="20.100000000000001" hidden="1" customHeight="1">
      <c r="A1123" s="16" t="s">
        <v>26</v>
      </c>
      <c r="B1123" s="16">
        <v>2020</v>
      </c>
      <c r="C1123" s="14" t="s">
        <v>802</v>
      </c>
      <c r="D1123" s="27" t="s">
        <v>202</v>
      </c>
      <c r="E1123" s="17"/>
      <c r="F1123" s="17"/>
      <c r="G1123" s="168"/>
      <c r="AB1123" s="77"/>
      <c r="AD1123" s="29">
        <f>(100-AD1121-AD1122)</f>
        <v>0.65000000000000568</v>
      </c>
      <c r="AG1123" s="35" t="s">
        <v>808</v>
      </c>
    </row>
    <row r="1124" spans="1:33" ht="20.100000000000001" customHeight="1">
      <c r="A1124" s="16" t="s">
        <v>26</v>
      </c>
      <c r="B1124" s="16">
        <v>2021</v>
      </c>
      <c r="C1124" s="14" t="s">
        <v>802</v>
      </c>
      <c r="D1124" s="27" t="s">
        <v>663</v>
      </c>
      <c r="E1124" s="17" t="s">
        <v>666</v>
      </c>
      <c r="F1124" s="17" t="s">
        <v>803</v>
      </c>
      <c r="G1124" s="168"/>
      <c r="AB1124" s="77"/>
      <c r="AD1124" s="29">
        <v>63.23</v>
      </c>
      <c r="AG1124" s="35" t="s">
        <v>809</v>
      </c>
    </row>
    <row r="1125" spans="1:33" ht="20.100000000000001" customHeight="1">
      <c r="A1125" s="16" t="s">
        <v>26</v>
      </c>
      <c r="B1125" s="16">
        <v>2021</v>
      </c>
      <c r="C1125" s="14" t="s">
        <v>802</v>
      </c>
      <c r="D1125" s="9" t="s">
        <v>404</v>
      </c>
      <c r="E1125" s="17" t="s">
        <v>404</v>
      </c>
      <c r="F1125" s="17" t="s">
        <v>805</v>
      </c>
      <c r="G1125" s="168"/>
      <c r="AB1125" s="77"/>
      <c r="AD1125" s="29">
        <v>35.659999999999997</v>
      </c>
      <c r="AG1125" s="35" t="s">
        <v>809</v>
      </c>
    </row>
    <row r="1126" spans="1:33" ht="20.100000000000001" hidden="1" customHeight="1">
      <c r="A1126" s="16" t="s">
        <v>26</v>
      </c>
      <c r="B1126" s="16">
        <v>2021</v>
      </c>
      <c r="C1126" s="14" t="s">
        <v>802</v>
      </c>
      <c r="D1126" s="27" t="s">
        <v>810</v>
      </c>
      <c r="E1126" s="35" t="s">
        <v>810</v>
      </c>
      <c r="F1126" s="17" t="s">
        <v>810</v>
      </c>
      <c r="G1126" s="168"/>
      <c r="AB1126" s="77"/>
      <c r="AD1126" s="29">
        <v>1.02</v>
      </c>
      <c r="AG1126" s="35" t="s">
        <v>809</v>
      </c>
    </row>
    <row r="1127" spans="1:33" ht="20.100000000000001" hidden="1" customHeight="1">
      <c r="A1127" s="16" t="s">
        <v>26</v>
      </c>
      <c r="B1127" s="16">
        <v>2021</v>
      </c>
      <c r="C1127" s="14" t="s">
        <v>802</v>
      </c>
      <c r="D1127" s="27" t="s">
        <v>202</v>
      </c>
      <c r="E1127" s="17"/>
      <c r="F1127" s="17"/>
      <c r="G1127" s="168"/>
      <c r="AB1127" s="77"/>
      <c r="AD1127" s="29">
        <f>(100-AD1124-AD1125-AD1126)</f>
        <v>9.0000000000006519E-2</v>
      </c>
      <c r="AG1127" s="35" t="s">
        <v>809</v>
      </c>
    </row>
    <row r="1128" spans="1:33" ht="20.100000000000001" customHeight="1">
      <c r="A1128" s="16" t="s">
        <v>26</v>
      </c>
      <c r="B1128" s="16">
        <v>2022</v>
      </c>
      <c r="C1128" s="14" t="s">
        <v>802</v>
      </c>
      <c r="D1128" s="27" t="s">
        <v>663</v>
      </c>
      <c r="E1128" s="17" t="s">
        <v>666</v>
      </c>
      <c r="F1128" s="17" t="s">
        <v>803</v>
      </c>
      <c r="G1128" s="168"/>
      <c r="AB1128" s="77"/>
      <c r="AD1128" s="29">
        <v>59.79</v>
      </c>
      <c r="AG1128" s="35" t="s">
        <v>811</v>
      </c>
    </row>
    <row r="1129" spans="1:33" ht="20.100000000000001" customHeight="1">
      <c r="A1129" s="16" t="s">
        <v>26</v>
      </c>
      <c r="B1129" s="16">
        <v>2022</v>
      </c>
      <c r="C1129" s="14" t="s">
        <v>802</v>
      </c>
      <c r="D1129" s="27" t="s">
        <v>404</v>
      </c>
      <c r="E1129" s="17" t="s">
        <v>404</v>
      </c>
      <c r="F1129" s="17" t="s">
        <v>805</v>
      </c>
      <c r="G1129" s="168"/>
      <c r="AB1129" s="77"/>
      <c r="AD1129" s="29">
        <v>37.67</v>
      </c>
      <c r="AG1129" s="35" t="s">
        <v>811</v>
      </c>
    </row>
    <row r="1130" spans="1:33" ht="20.100000000000001" hidden="1" customHeight="1">
      <c r="A1130" s="16" t="s">
        <v>26</v>
      </c>
      <c r="B1130" s="16">
        <v>2022</v>
      </c>
      <c r="C1130" s="14" t="s">
        <v>802</v>
      </c>
      <c r="D1130" s="27" t="s">
        <v>810</v>
      </c>
      <c r="E1130" s="35" t="s">
        <v>810</v>
      </c>
      <c r="F1130" s="17" t="s">
        <v>810</v>
      </c>
      <c r="G1130" s="168"/>
      <c r="AB1130" s="77"/>
      <c r="AD1130" s="29">
        <v>2.4900000000000002</v>
      </c>
      <c r="AG1130" s="35" t="s">
        <v>811</v>
      </c>
    </row>
    <row r="1131" spans="1:33" ht="20.100000000000001" hidden="1" customHeight="1">
      <c r="A1131" s="16" t="s">
        <v>26</v>
      </c>
      <c r="B1131" s="16">
        <v>2022</v>
      </c>
      <c r="C1131" s="14" t="s">
        <v>802</v>
      </c>
      <c r="D1131" s="27" t="s">
        <v>202</v>
      </c>
      <c r="E1131" s="17"/>
      <c r="F1131" s="17"/>
      <c r="G1131" s="168"/>
      <c r="AB1131" s="77"/>
      <c r="AD1131" s="29">
        <f>(100-AD1128-AD1129-AD1130)</f>
        <v>4.9999999999998934E-2</v>
      </c>
      <c r="AG1131" s="35" t="s">
        <v>811</v>
      </c>
    </row>
    <row r="1132" spans="1:33" ht="20.100000000000001" customHeight="1">
      <c r="A1132" s="16" t="s">
        <v>26</v>
      </c>
      <c r="B1132" s="16">
        <v>2023</v>
      </c>
      <c r="C1132" s="14" t="s">
        <v>802</v>
      </c>
      <c r="D1132" s="27" t="s">
        <v>663</v>
      </c>
      <c r="E1132" s="17" t="s">
        <v>666</v>
      </c>
      <c r="F1132" s="17" t="s">
        <v>803</v>
      </c>
      <c r="G1132" s="168"/>
      <c r="AB1132" s="77"/>
      <c r="AD1132" s="29">
        <v>60.07</v>
      </c>
      <c r="AG1132" s="35" t="s">
        <v>812</v>
      </c>
    </row>
    <row r="1133" spans="1:33" ht="20.100000000000001" customHeight="1">
      <c r="A1133" s="16" t="s">
        <v>26</v>
      </c>
      <c r="B1133" s="16">
        <v>2023</v>
      </c>
      <c r="C1133" s="14" t="s">
        <v>802</v>
      </c>
      <c r="D1133" s="27" t="s">
        <v>404</v>
      </c>
      <c r="E1133" s="17" t="s">
        <v>404</v>
      </c>
      <c r="F1133" s="17" t="s">
        <v>805</v>
      </c>
      <c r="G1133" s="168"/>
      <c r="AB1133" s="77"/>
      <c r="AD1133" s="29">
        <v>38.950000000000003</v>
      </c>
      <c r="AG1133" s="35" t="s">
        <v>812</v>
      </c>
    </row>
    <row r="1134" spans="1:33" ht="20.100000000000001" hidden="1" customHeight="1">
      <c r="A1134" s="16" t="s">
        <v>26</v>
      </c>
      <c r="B1134" s="16">
        <v>2023</v>
      </c>
      <c r="C1134" s="14" t="s">
        <v>802</v>
      </c>
      <c r="D1134" s="27" t="s">
        <v>202</v>
      </c>
      <c r="E1134" s="17"/>
      <c r="F1134" s="17"/>
      <c r="G1134" s="168"/>
      <c r="AB1134" s="77"/>
      <c r="AD1134" s="29">
        <f>100-AD1132-AD1133</f>
        <v>0.97999999999999687</v>
      </c>
      <c r="AG1134" s="35" t="s">
        <v>812</v>
      </c>
    </row>
    <row r="1135" spans="1:33" ht="20.100000000000001" hidden="1" customHeight="1">
      <c r="A1135" s="16" t="s">
        <v>26</v>
      </c>
      <c r="B1135" s="16">
        <v>2018</v>
      </c>
      <c r="C1135" s="14" t="s">
        <v>813</v>
      </c>
      <c r="D1135" s="27" t="s">
        <v>676</v>
      </c>
      <c r="E1135" s="35" t="s">
        <v>677</v>
      </c>
      <c r="F1135" s="35" t="s">
        <v>814</v>
      </c>
      <c r="G1135" s="168"/>
      <c r="AB1135" s="77"/>
      <c r="AD1135" s="34">
        <v>79.510000000000005</v>
      </c>
      <c r="AG1135" s="35" t="s">
        <v>815</v>
      </c>
    </row>
    <row r="1136" spans="1:33" ht="20.100000000000001" hidden="1" customHeight="1">
      <c r="A1136" s="16" t="s">
        <v>26</v>
      </c>
      <c r="B1136" s="16">
        <v>2018</v>
      </c>
      <c r="C1136" s="14" t="s">
        <v>813</v>
      </c>
      <c r="D1136" s="27" t="s">
        <v>404</v>
      </c>
      <c r="E1136" s="35" t="s">
        <v>404</v>
      </c>
      <c r="F1136" s="62" t="s">
        <v>816</v>
      </c>
      <c r="G1136" s="168"/>
      <c r="AB1136" s="77"/>
      <c r="AD1136" s="33">
        <v>13.61</v>
      </c>
      <c r="AG1136" s="86" t="s">
        <v>817</v>
      </c>
    </row>
    <row r="1137" spans="1:33" ht="20.100000000000001" hidden="1" customHeight="1">
      <c r="A1137" s="16" t="s">
        <v>26</v>
      </c>
      <c r="B1137" s="16">
        <v>2018</v>
      </c>
      <c r="C1137" s="14" t="s">
        <v>813</v>
      </c>
      <c r="D1137" s="27" t="s">
        <v>818</v>
      </c>
      <c r="E1137" s="35" t="s">
        <v>818</v>
      </c>
      <c r="F1137" s="62" t="s">
        <v>819</v>
      </c>
      <c r="G1137" s="168"/>
      <c r="AB1137" s="77"/>
      <c r="AD1137" s="33">
        <v>3.44</v>
      </c>
      <c r="AG1137" s="62" t="s">
        <v>820</v>
      </c>
    </row>
    <row r="1138" spans="1:33" ht="20.100000000000001" hidden="1" customHeight="1">
      <c r="A1138" s="16" t="s">
        <v>26</v>
      </c>
      <c r="B1138" s="16">
        <v>2018</v>
      </c>
      <c r="C1138" s="14" t="s">
        <v>813</v>
      </c>
      <c r="D1138" s="27" t="s">
        <v>202</v>
      </c>
      <c r="E1138" s="27" t="s">
        <v>202</v>
      </c>
      <c r="F1138" s="27" t="s">
        <v>202</v>
      </c>
      <c r="G1138" s="168"/>
      <c r="AB1138" s="77"/>
      <c r="AD1138" s="33">
        <v>3.29</v>
      </c>
      <c r="AG1138" s="35" t="s">
        <v>815</v>
      </c>
    </row>
    <row r="1139" spans="1:33" ht="20.100000000000001" hidden="1" customHeight="1">
      <c r="A1139" s="16" t="s">
        <v>26</v>
      </c>
      <c r="B1139" s="16">
        <v>2018</v>
      </c>
      <c r="C1139" s="14" t="s">
        <v>813</v>
      </c>
      <c r="D1139" s="27" t="s">
        <v>202</v>
      </c>
      <c r="E1139" s="35"/>
      <c r="F1139" s="62"/>
      <c r="G1139" s="168"/>
      <c r="AB1139" s="77"/>
      <c r="AD1139" s="33">
        <v>0.15</v>
      </c>
      <c r="AG1139" s="35" t="s">
        <v>815</v>
      </c>
    </row>
    <row r="1140" spans="1:33" ht="20.100000000000001" customHeight="1">
      <c r="A1140" s="16" t="s">
        <v>26</v>
      </c>
      <c r="B1140" s="16">
        <v>2019</v>
      </c>
      <c r="C1140" s="14" t="s">
        <v>813</v>
      </c>
      <c r="D1140" s="27" t="s">
        <v>676</v>
      </c>
      <c r="E1140" s="35" t="s">
        <v>677</v>
      </c>
      <c r="F1140" s="62" t="s">
        <v>814</v>
      </c>
      <c r="G1140" s="168"/>
      <c r="H1140" s="170">
        <f t="shared" ref="H1140:H1144" si="78">G1140/0.893276257067409</f>
        <v>0</v>
      </c>
      <c r="AB1140" s="77"/>
      <c r="AD1140" s="33">
        <v>78.75</v>
      </c>
      <c r="AG1140" s="35" t="s">
        <v>821</v>
      </c>
    </row>
    <row r="1141" spans="1:33" ht="20.100000000000001" customHeight="1">
      <c r="A1141" s="16" t="s">
        <v>26</v>
      </c>
      <c r="B1141" s="16">
        <v>2019</v>
      </c>
      <c r="C1141" s="14" t="s">
        <v>813</v>
      </c>
      <c r="D1141" s="27" t="s">
        <v>404</v>
      </c>
      <c r="E1141" s="35" t="s">
        <v>404</v>
      </c>
      <c r="F1141" s="62" t="s">
        <v>816</v>
      </c>
      <c r="G1141" s="168"/>
      <c r="H1141" s="170">
        <f t="shared" si="78"/>
        <v>0</v>
      </c>
      <c r="AB1141" s="77"/>
      <c r="AD1141" s="33">
        <v>14.29</v>
      </c>
      <c r="AG1141" s="35" t="s">
        <v>821</v>
      </c>
    </row>
    <row r="1142" spans="1:33" ht="20.100000000000001" hidden="1" customHeight="1">
      <c r="A1142" s="16" t="s">
        <v>26</v>
      </c>
      <c r="B1142" s="16">
        <v>2019</v>
      </c>
      <c r="C1142" s="14" t="s">
        <v>813</v>
      </c>
      <c r="D1142" s="27" t="s">
        <v>818</v>
      </c>
      <c r="E1142" s="35" t="s">
        <v>818</v>
      </c>
      <c r="F1142" s="62" t="s">
        <v>819</v>
      </c>
      <c r="G1142" s="168"/>
      <c r="H1142" s="170">
        <f t="shared" si="78"/>
        <v>0</v>
      </c>
      <c r="AB1142" s="77"/>
      <c r="AD1142" s="33">
        <v>3.37</v>
      </c>
      <c r="AG1142" s="35" t="s">
        <v>821</v>
      </c>
    </row>
    <row r="1143" spans="1:33" ht="20.100000000000001" hidden="1" customHeight="1">
      <c r="A1143" s="16" t="s">
        <v>26</v>
      </c>
      <c r="B1143" s="16">
        <v>2019</v>
      </c>
      <c r="C1143" s="14" t="s">
        <v>813</v>
      </c>
      <c r="D1143" s="27" t="s">
        <v>202</v>
      </c>
      <c r="E1143" s="27" t="s">
        <v>202</v>
      </c>
      <c r="F1143" s="27" t="s">
        <v>202</v>
      </c>
      <c r="G1143" s="168"/>
      <c r="H1143" s="170">
        <f t="shared" si="78"/>
        <v>0</v>
      </c>
      <c r="AB1143" s="77"/>
      <c r="AD1143" s="34">
        <v>3.48</v>
      </c>
      <c r="AG1143" s="35" t="s">
        <v>821</v>
      </c>
    </row>
    <row r="1144" spans="1:33" ht="20.100000000000001" hidden="1" customHeight="1">
      <c r="A1144" s="16" t="s">
        <v>26</v>
      </c>
      <c r="B1144" s="16">
        <v>2019</v>
      </c>
      <c r="C1144" s="14" t="s">
        <v>813</v>
      </c>
      <c r="D1144" s="27" t="s">
        <v>202</v>
      </c>
      <c r="E1144" s="35"/>
      <c r="F1144" s="35"/>
      <c r="G1144" s="168"/>
      <c r="H1144" s="170">
        <f t="shared" si="78"/>
        <v>0</v>
      </c>
      <c r="AB1144" s="77"/>
      <c r="AD1144" s="34">
        <v>0.11</v>
      </c>
      <c r="AG1144" s="35" t="s">
        <v>821</v>
      </c>
    </row>
    <row r="1145" spans="1:33" ht="20.100000000000001" customHeight="1">
      <c r="A1145" s="16" t="s">
        <v>26</v>
      </c>
      <c r="B1145" s="16">
        <v>2020</v>
      </c>
      <c r="C1145" s="14" t="s">
        <v>813</v>
      </c>
      <c r="D1145" s="27" t="s">
        <v>676</v>
      </c>
      <c r="E1145" s="35" t="s">
        <v>677</v>
      </c>
      <c r="F1145" s="62" t="s">
        <v>814</v>
      </c>
      <c r="G1145" s="168"/>
      <c r="AB1145" s="77"/>
      <c r="AD1145" s="33">
        <v>77.52</v>
      </c>
      <c r="AG1145" s="35" t="s">
        <v>822</v>
      </c>
    </row>
    <row r="1146" spans="1:33" ht="20.100000000000001" customHeight="1">
      <c r="A1146" s="16" t="s">
        <v>26</v>
      </c>
      <c r="B1146" s="16">
        <v>2020</v>
      </c>
      <c r="C1146" s="14" t="s">
        <v>813</v>
      </c>
      <c r="D1146" s="27" t="s">
        <v>404</v>
      </c>
      <c r="E1146" s="35" t="s">
        <v>404</v>
      </c>
      <c r="F1146" s="35" t="s">
        <v>816</v>
      </c>
      <c r="G1146" s="168"/>
      <c r="AB1146" s="77"/>
      <c r="AD1146" s="34">
        <v>17.77</v>
      </c>
      <c r="AG1146" s="35" t="s">
        <v>822</v>
      </c>
    </row>
    <row r="1147" spans="1:33" ht="20.100000000000001" hidden="1" customHeight="1">
      <c r="A1147" s="16" t="s">
        <v>26</v>
      </c>
      <c r="B1147" s="16">
        <v>2020</v>
      </c>
      <c r="C1147" s="14" t="s">
        <v>813</v>
      </c>
      <c r="D1147" s="27" t="s">
        <v>818</v>
      </c>
      <c r="E1147" s="35" t="s">
        <v>818</v>
      </c>
      <c r="F1147" s="35" t="s">
        <v>819</v>
      </c>
      <c r="G1147" s="168"/>
      <c r="AB1147" s="77"/>
      <c r="AD1147" s="34">
        <v>3.2</v>
      </c>
      <c r="AG1147" s="35" t="s">
        <v>822</v>
      </c>
    </row>
    <row r="1148" spans="1:33" ht="20.100000000000001" hidden="1" customHeight="1">
      <c r="A1148" s="16" t="s">
        <v>26</v>
      </c>
      <c r="B1148" s="16">
        <v>2020</v>
      </c>
      <c r="C1148" s="14" t="s">
        <v>813</v>
      </c>
      <c r="D1148" s="27" t="s">
        <v>202</v>
      </c>
      <c r="E1148" s="27" t="s">
        <v>202</v>
      </c>
      <c r="F1148" s="27" t="s">
        <v>202</v>
      </c>
      <c r="G1148" s="168"/>
      <c r="AB1148" s="77"/>
      <c r="AD1148" s="34">
        <v>1.36</v>
      </c>
      <c r="AG1148" s="35" t="s">
        <v>822</v>
      </c>
    </row>
    <row r="1149" spans="1:33" ht="20.100000000000001" hidden="1" customHeight="1">
      <c r="A1149" s="16" t="s">
        <v>26</v>
      </c>
      <c r="B1149" s="16">
        <v>2020</v>
      </c>
      <c r="C1149" s="14" t="s">
        <v>813</v>
      </c>
      <c r="D1149" s="27" t="s">
        <v>202</v>
      </c>
      <c r="E1149" s="35"/>
      <c r="F1149" s="62"/>
      <c r="G1149" s="168"/>
      <c r="AB1149" s="77"/>
      <c r="AD1149" s="33">
        <v>0.15</v>
      </c>
      <c r="AG1149" s="35" t="s">
        <v>822</v>
      </c>
    </row>
    <row r="1150" spans="1:33" ht="20.100000000000001" customHeight="1">
      <c r="A1150" s="16" t="s">
        <v>26</v>
      </c>
      <c r="B1150" s="16">
        <v>2021</v>
      </c>
      <c r="C1150" s="14" t="s">
        <v>813</v>
      </c>
      <c r="D1150" s="27" t="s">
        <v>676</v>
      </c>
      <c r="E1150" s="35" t="s">
        <v>677</v>
      </c>
      <c r="F1150" s="62" t="s">
        <v>814</v>
      </c>
      <c r="G1150" s="168"/>
      <c r="AB1150" s="77"/>
      <c r="AD1150" s="33">
        <v>77.69</v>
      </c>
      <c r="AG1150" s="35" t="s">
        <v>823</v>
      </c>
    </row>
    <row r="1151" spans="1:33" ht="20.100000000000001" customHeight="1">
      <c r="A1151" s="16" t="s">
        <v>26</v>
      </c>
      <c r="B1151" s="16">
        <v>2021</v>
      </c>
      <c r="C1151" s="14" t="s">
        <v>813</v>
      </c>
      <c r="D1151" s="27" t="s">
        <v>404</v>
      </c>
      <c r="E1151" s="35" t="s">
        <v>404</v>
      </c>
      <c r="F1151" s="62" t="s">
        <v>816</v>
      </c>
      <c r="G1151" s="168"/>
      <c r="AB1151" s="77"/>
      <c r="AD1151" s="33">
        <v>17.79</v>
      </c>
      <c r="AG1151" s="35" t="s">
        <v>823</v>
      </c>
    </row>
    <row r="1152" spans="1:33" ht="20.100000000000001" hidden="1" customHeight="1">
      <c r="A1152" s="16" t="s">
        <v>26</v>
      </c>
      <c r="B1152" s="16">
        <v>2021</v>
      </c>
      <c r="C1152" s="14" t="s">
        <v>813</v>
      </c>
      <c r="D1152" s="27" t="s">
        <v>818</v>
      </c>
      <c r="E1152" s="35" t="s">
        <v>818</v>
      </c>
      <c r="F1152" s="35" t="s">
        <v>819</v>
      </c>
      <c r="G1152" s="168"/>
      <c r="AB1152" s="77"/>
      <c r="AD1152" s="34">
        <v>2.29</v>
      </c>
      <c r="AG1152" s="35" t="s">
        <v>823</v>
      </c>
    </row>
    <row r="1153" spans="1:34" ht="20.100000000000001" hidden="1" customHeight="1">
      <c r="A1153" s="16" t="s">
        <v>26</v>
      </c>
      <c r="B1153" s="16">
        <v>2021</v>
      </c>
      <c r="C1153" s="14" t="s">
        <v>813</v>
      </c>
      <c r="D1153" s="27" t="s">
        <v>202</v>
      </c>
      <c r="E1153" s="27" t="s">
        <v>202</v>
      </c>
      <c r="F1153" s="27" t="s">
        <v>202</v>
      </c>
      <c r="G1153" s="168"/>
      <c r="AB1153" s="77"/>
      <c r="AD1153" s="34">
        <v>1.82</v>
      </c>
      <c r="AG1153" s="35" t="s">
        <v>823</v>
      </c>
    </row>
    <row r="1154" spans="1:34" ht="20.100000000000001" hidden="1" customHeight="1">
      <c r="A1154" s="16" t="s">
        <v>26</v>
      </c>
      <c r="B1154" s="16">
        <v>2021</v>
      </c>
      <c r="C1154" s="14" t="s">
        <v>813</v>
      </c>
      <c r="D1154" s="27" t="s">
        <v>202</v>
      </c>
      <c r="E1154" s="35"/>
      <c r="F1154" s="62"/>
      <c r="G1154" s="168"/>
      <c r="AB1154" s="77"/>
      <c r="AD1154" s="33">
        <v>0.41</v>
      </c>
      <c r="AG1154" s="35" t="s">
        <v>823</v>
      </c>
    </row>
    <row r="1155" spans="1:34" ht="20.100000000000001" customHeight="1">
      <c r="A1155" s="16" t="s">
        <v>26</v>
      </c>
      <c r="B1155" s="16">
        <v>2022</v>
      </c>
      <c r="C1155" s="14" t="s">
        <v>813</v>
      </c>
      <c r="D1155" s="27" t="s">
        <v>676</v>
      </c>
      <c r="E1155" s="35" t="s">
        <v>677</v>
      </c>
      <c r="F1155" s="35" t="s">
        <v>814</v>
      </c>
      <c r="G1155" s="168"/>
      <c r="AB1155" s="77"/>
      <c r="AD1155" s="34">
        <v>76.75</v>
      </c>
      <c r="AG1155" s="35" t="s">
        <v>824</v>
      </c>
    </row>
    <row r="1156" spans="1:34" ht="20.100000000000001" customHeight="1">
      <c r="A1156" s="16" t="s">
        <v>26</v>
      </c>
      <c r="B1156" s="16">
        <v>2022</v>
      </c>
      <c r="C1156" s="14" t="s">
        <v>813</v>
      </c>
      <c r="D1156" s="27" t="s">
        <v>404</v>
      </c>
      <c r="E1156" s="35" t="s">
        <v>404</v>
      </c>
      <c r="F1156" s="35" t="s">
        <v>816</v>
      </c>
      <c r="G1156" s="168"/>
      <c r="AB1156" s="77"/>
      <c r="AD1156" s="34">
        <v>18.2</v>
      </c>
      <c r="AG1156" s="35" t="s">
        <v>824</v>
      </c>
    </row>
    <row r="1157" spans="1:34" ht="20.100000000000001" hidden="1" customHeight="1">
      <c r="A1157" s="16" t="s">
        <v>26</v>
      </c>
      <c r="B1157" s="16">
        <v>2022</v>
      </c>
      <c r="C1157" s="14" t="s">
        <v>813</v>
      </c>
      <c r="D1157" s="27" t="s">
        <v>818</v>
      </c>
      <c r="E1157" s="35" t="s">
        <v>818</v>
      </c>
      <c r="F1157" s="62" t="s">
        <v>819</v>
      </c>
      <c r="G1157" s="168"/>
      <c r="AB1157" s="77"/>
      <c r="AD1157" s="33">
        <v>2.69</v>
      </c>
      <c r="AG1157" s="35" t="s">
        <v>824</v>
      </c>
    </row>
    <row r="1158" spans="1:34" ht="20.100000000000001" hidden="1" customHeight="1">
      <c r="A1158" s="16" t="s">
        <v>26</v>
      </c>
      <c r="B1158" s="16">
        <v>2022</v>
      </c>
      <c r="C1158" s="14" t="s">
        <v>813</v>
      </c>
      <c r="D1158" s="27" t="s">
        <v>202</v>
      </c>
      <c r="E1158" s="27" t="s">
        <v>202</v>
      </c>
      <c r="F1158" s="27" t="s">
        <v>202</v>
      </c>
      <c r="G1158" s="168"/>
      <c r="AB1158" s="77"/>
      <c r="AD1158" s="33">
        <v>1.87</v>
      </c>
      <c r="AG1158" s="35" t="s">
        <v>824</v>
      </c>
    </row>
    <row r="1159" spans="1:34" ht="20.100000000000001" hidden="1" customHeight="1">
      <c r="A1159" s="16" t="s">
        <v>26</v>
      </c>
      <c r="B1159" s="16">
        <v>2022</v>
      </c>
      <c r="C1159" s="14" t="s">
        <v>813</v>
      </c>
      <c r="D1159" s="27" t="s">
        <v>202</v>
      </c>
      <c r="E1159" s="35"/>
      <c r="F1159" s="62"/>
      <c r="G1159" s="168"/>
      <c r="AB1159" s="77"/>
      <c r="AD1159" s="33">
        <v>0.49</v>
      </c>
      <c r="AG1159" s="35" t="s">
        <v>824</v>
      </c>
    </row>
    <row r="1160" spans="1:34" ht="20.100000000000001" customHeight="1">
      <c r="A1160" s="16" t="s">
        <v>26</v>
      </c>
      <c r="B1160" s="16">
        <v>2023</v>
      </c>
      <c r="C1160" s="14" t="s">
        <v>813</v>
      </c>
      <c r="D1160" s="27" t="s">
        <v>676</v>
      </c>
      <c r="E1160" s="35" t="s">
        <v>677</v>
      </c>
      <c r="F1160" s="62" t="s">
        <v>814</v>
      </c>
      <c r="G1160" s="168"/>
      <c r="AB1160" s="77"/>
      <c r="AD1160" s="33">
        <v>76.959999999999994</v>
      </c>
      <c r="AG1160" s="35" t="s">
        <v>825</v>
      </c>
    </row>
    <row r="1161" spans="1:34" ht="20.100000000000001" customHeight="1">
      <c r="A1161" s="16" t="s">
        <v>26</v>
      </c>
      <c r="B1161" s="16">
        <v>2023</v>
      </c>
      <c r="C1161" s="14" t="s">
        <v>813</v>
      </c>
      <c r="D1161" s="27" t="s">
        <v>404</v>
      </c>
      <c r="E1161" s="35" t="s">
        <v>404</v>
      </c>
      <c r="F1161" s="17" t="s">
        <v>816</v>
      </c>
      <c r="G1161" s="168"/>
      <c r="AB1161" s="77"/>
      <c r="AD1161" s="34">
        <v>15.78</v>
      </c>
      <c r="AG1161" s="35" t="s">
        <v>825</v>
      </c>
    </row>
    <row r="1162" spans="1:34" ht="20.100000000000001" hidden="1" customHeight="1">
      <c r="A1162" s="16" t="s">
        <v>26</v>
      </c>
      <c r="B1162" s="16">
        <v>2023</v>
      </c>
      <c r="C1162" s="14" t="s">
        <v>813</v>
      </c>
      <c r="D1162" s="27" t="s">
        <v>818</v>
      </c>
      <c r="E1162" s="35" t="s">
        <v>818</v>
      </c>
      <c r="F1162" s="17" t="s">
        <v>819</v>
      </c>
      <c r="G1162" s="168"/>
      <c r="AB1162" s="77"/>
      <c r="AD1162" s="34">
        <v>2.64</v>
      </c>
      <c r="AG1162" s="35" t="s">
        <v>825</v>
      </c>
    </row>
    <row r="1163" spans="1:34" ht="20.100000000000001" customHeight="1">
      <c r="A1163" s="16" t="s">
        <v>26</v>
      </c>
      <c r="B1163" s="16">
        <v>2023</v>
      </c>
      <c r="C1163" s="14" t="s">
        <v>813</v>
      </c>
      <c r="D1163" s="27" t="s">
        <v>665</v>
      </c>
      <c r="E1163" s="35" t="s">
        <v>666</v>
      </c>
      <c r="F1163" s="17" t="s">
        <v>826</v>
      </c>
      <c r="G1163" s="168"/>
      <c r="AB1163" s="77"/>
      <c r="AD1163" s="34">
        <v>1.36</v>
      </c>
      <c r="AG1163" s="35" t="s">
        <v>825</v>
      </c>
    </row>
    <row r="1164" spans="1:34" ht="20.100000000000001" hidden="1" customHeight="1">
      <c r="A1164" s="16" t="s">
        <v>26</v>
      </c>
      <c r="B1164" s="16">
        <v>2023</v>
      </c>
      <c r="C1164" s="14" t="s">
        <v>813</v>
      </c>
      <c r="D1164" s="27" t="s">
        <v>202</v>
      </c>
      <c r="E1164" s="27" t="s">
        <v>202</v>
      </c>
      <c r="F1164" s="27" t="s">
        <v>202</v>
      </c>
      <c r="G1164" s="168"/>
      <c r="AB1164" s="77"/>
      <c r="AD1164" s="34">
        <v>3.23</v>
      </c>
      <c r="AG1164" s="35" t="s">
        <v>825</v>
      </c>
    </row>
    <row r="1165" spans="1:34" ht="20.100000000000001" hidden="1" customHeight="1">
      <c r="A1165" s="16" t="s">
        <v>26</v>
      </c>
      <c r="B1165" s="16">
        <v>2023</v>
      </c>
      <c r="C1165" s="14" t="s">
        <v>813</v>
      </c>
      <c r="D1165" s="27" t="s">
        <v>202</v>
      </c>
      <c r="E1165" s="35"/>
      <c r="F1165" s="17"/>
      <c r="G1165" s="168"/>
      <c r="AB1165" s="77"/>
      <c r="AD1165" s="34">
        <v>0.02</v>
      </c>
      <c r="AF1165" s="266"/>
      <c r="AG1165" s="10" t="s">
        <v>825</v>
      </c>
    </row>
    <row r="1166" spans="1:34" ht="20.100000000000001" hidden="1" customHeight="1">
      <c r="A1166" s="16" t="s">
        <v>26</v>
      </c>
      <c r="B1166" s="4">
        <v>2018</v>
      </c>
      <c r="C1166" s="14" t="s">
        <v>827</v>
      </c>
      <c r="D1166" s="27" t="s">
        <v>663</v>
      </c>
      <c r="E1166" s="35" t="s">
        <v>666</v>
      </c>
      <c r="F1166" s="35" t="s">
        <v>828</v>
      </c>
      <c r="G1166" s="168"/>
      <c r="AB1166" s="77"/>
      <c r="AD1166" s="87">
        <v>51.59</v>
      </c>
      <c r="AF1166" s="264" t="s">
        <v>156</v>
      </c>
      <c r="AG1166" s="267" t="s">
        <v>829</v>
      </c>
    </row>
    <row r="1167" spans="1:34" ht="20.100000000000001" hidden="1" customHeight="1">
      <c r="A1167" s="16" t="s">
        <v>26</v>
      </c>
      <c r="B1167" s="4">
        <v>2018</v>
      </c>
      <c r="C1167" s="14" t="s">
        <v>827</v>
      </c>
      <c r="D1167" s="27" t="s">
        <v>404</v>
      </c>
      <c r="E1167" s="35" t="s">
        <v>404</v>
      </c>
      <c r="F1167" s="35" t="s">
        <v>830</v>
      </c>
      <c r="G1167" s="168"/>
      <c r="AB1167" s="77"/>
      <c r="AD1167" s="87">
        <v>29.39</v>
      </c>
      <c r="AF1167" s="264" t="s">
        <v>156</v>
      </c>
      <c r="AG1167" s="267" t="s">
        <v>829</v>
      </c>
      <c r="AH1167" s="77" t="s">
        <v>831</v>
      </c>
    </row>
    <row r="1168" spans="1:34" ht="20.100000000000001" hidden="1" customHeight="1">
      <c r="A1168" s="16" t="s">
        <v>26</v>
      </c>
      <c r="B1168" s="4">
        <v>2018</v>
      </c>
      <c r="C1168" s="14" t="s">
        <v>827</v>
      </c>
      <c r="D1168" s="27" t="s">
        <v>810</v>
      </c>
      <c r="E1168" s="35" t="s">
        <v>810</v>
      </c>
      <c r="F1168" s="35" t="s">
        <v>832</v>
      </c>
      <c r="G1168" s="168"/>
      <c r="AB1168" s="77"/>
      <c r="AD1168" s="87">
        <v>13.65</v>
      </c>
      <c r="AF1168" s="264" t="s">
        <v>156</v>
      </c>
      <c r="AG1168" s="267" t="s">
        <v>829</v>
      </c>
    </row>
    <row r="1169" spans="1:33" ht="20.100000000000001" hidden="1" customHeight="1">
      <c r="A1169" s="16" t="s">
        <v>26</v>
      </c>
      <c r="B1169" s="4">
        <v>2018</v>
      </c>
      <c r="C1169" s="14" t="s">
        <v>827</v>
      </c>
      <c r="D1169" s="27" t="s">
        <v>833</v>
      </c>
      <c r="E1169" s="35" t="s">
        <v>834</v>
      </c>
      <c r="F1169" s="35" t="s">
        <v>835</v>
      </c>
      <c r="G1169" s="168"/>
      <c r="AB1169" s="77"/>
      <c r="AD1169" s="87">
        <v>1.45</v>
      </c>
      <c r="AF1169" s="264" t="s">
        <v>156</v>
      </c>
      <c r="AG1169" s="267" t="s">
        <v>829</v>
      </c>
    </row>
    <row r="1170" spans="1:33" ht="20.100000000000001" hidden="1" customHeight="1">
      <c r="A1170" s="16" t="s">
        <v>26</v>
      </c>
      <c r="B1170" s="4">
        <v>2018</v>
      </c>
      <c r="C1170" s="14" t="s">
        <v>827</v>
      </c>
      <c r="D1170" s="27" t="s">
        <v>202</v>
      </c>
      <c r="E1170" s="35"/>
      <c r="F1170" s="35"/>
      <c r="G1170" s="168"/>
      <c r="AB1170" s="77"/>
      <c r="AD1170" s="87">
        <v>3.92</v>
      </c>
      <c r="AF1170" s="264"/>
      <c r="AG1170" s="267" t="s">
        <v>829</v>
      </c>
    </row>
    <row r="1171" spans="1:33" ht="20.100000000000001" hidden="1" customHeight="1">
      <c r="A1171" s="16" t="s">
        <v>26</v>
      </c>
      <c r="B1171" s="16">
        <v>2000</v>
      </c>
      <c r="C1171" s="45" t="s">
        <v>87</v>
      </c>
      <c r="D1171" s="9" t="s">
        <v>696</v>
      </c>
      <c r="E1171" s="17" t="s">
        <v>696</v>
      </c>
      <c r="F1171" s="86" t="s">
        <v>287</v>
      </c>
      <c r="G1171" s="168"/>
      <c r="AB1171" s="77"/>
      <c r="AD1171" s="29">
        <v>31</v>
      </c>
      <c r="AG1171" s="14" t="s">
        <v>836</v>
      </c>
    </row>
    <row r="1172" spans="1:33" ht="20.100000000000001" hidden="1" customHeight="1">
      <c r="A1172" s="16" t="s">
        <v>26</v>
      </c>
      <c r="B1172" s="16">
        <v>2000</v>
      </c>
      <c r="C1172" s="45" t="s">
        <v>87</v>
      </c>
      <c r="D1172" s="9" t="s">
        <v>697</v>
      </c>
      <c r="E1172" s="9" t="s">
        <v>697</v>
      </c>
      <c r="F1172" s="17"/>
      <c r="G1172" s="168"/>
      <c r="AB1172" s="77"/>
      <c r="AD1172" s="29">
        <v>13.8</v>
      </c>
      <c r="AF1172" s="142"/>
      <c r="AG1172" s="150"/>
    </row>
    <row r="1173" spans="1:33" ht="20.100000000000001" hidden="1" customHeight="1">
      <c r="A1173" s="16" t="s">
        <v>26</v>
      </c>
      <c r="B1173" s="16">
        <v>2000</v>
      </c>
      <c r="C1173" s="45" t="s">
        <v>87</v>
      </c>
      <c r="D1173" s="9" t="s">
        <v>679</v>
      </c>
      <c r="E1173" s="17" t="s">
        <v>837</v>
      </c>
      <c r="F1173" s="17"/>
      <c r="G1173" s="168"/>
      <c r="AB1173" s="77"/>
      <c r="AD1173" s="29">
        <v>17.2</v>
      </c>
      <c r="AF1173" s="142"/>
      <c r="AG1173" s="150"/>
    </row>
    <row r="1174" spans="1:33" ht="20.100000000000001" hidden="1" customHeight="1">
      <c r="A1174" s="16" t="s">
        <v>26</v>
      </c>
      <c r="B1174" s="16">
        <v>2000</v>
      </c>
      <c r="C1174" s="45" t="s">
        <v>87</v>
      </c>
      <c r="D1174" s="9" t="s">
        <v>692</v>
      </c>
      <c r="E1174" s="17" t="s">
        <v>838</v>
      </c>
      <c r="F1174" s="17"/>
      <c r="G1174" s="168"/>
      <c r="AB1174" s="77"/>
      <c r="AD1174" s="29">
        <v>2.4</v>
      </c>
      <c r="AF1174" s="142"/>
      <c r="AG1174" s="150"/>
    </row>
    <row r="1175" spans="1:33" ht="20.100000000000001" hidden="1" customHeight="1">
      <c r="A1175" s="16" t="s">
        <v>26</v>
      </c>
      <c r="B1175" s="16">
        <v>2000</v>
      </c>
      <c r="C1175" s="45" t="s">
        <v>87</v>
      </c>
      <c r="D1175" s="9" t="s">
        <v>839</v>
      </c>
      <c r="E1175" s="17" t="s">
        <v>840</v>
      </c>
      <c r="F1175" s="17"/>
      <c r="G1175" s="168"/>
      <c r="AB1175" s="77"/>
      <c r="AD1175" s="29">
        <v>4.4000000000000004</v>
      </c>
      <c r="AF1175" s="142"/>
      <c r="AG1175" s="150"/>
    </row>
    <row r="1176" spans="1:33" ht="20.100000000000001" hidden="1" customHeight="1">
      <c r="A1176" s="16" t="s">
        <v>26</v>
      </c>
      <c r="B1176" s="16">
        <v>2000</v>
      </c>
      <c r="C1176" s="45" t="s">
        <v>87</v>
      </c>
      <c r="D1176" s="9" t="s">
        <v>698</v>
      </c>
      <c r="E1176" s="17" t="s">
        <v>841</v>
      </c>
      <c r="F1176" s="17"/>
      <c r="G1176" s="168"/>
      <c r="AB1176" s="77"/>
      <c r="AD1176" s="29">
        <v>0.7</v>
      </c>
      <c r="AF1176" s="142"/>
      <c r="AG1176" s="150"/>
    </row>
    <row r="1177" spans="1:33" ht="20.100000000000001" hidden="1" customHeight="1">
      <c r="A1177" s="16" t="s">
        <v>26</v>
      </c>
      <c r="B1177" s="16">
        <v>2000</v>
      </c>
      <c r="C1177" s="45" t="s">
        <v>87</v>
      </c>
      <c r="D1177" s="27" t="s">
        <v>202</v>
      </c>
      <c r="E1177" s="17" t="s">
        <v>202</v>
      </c>
      <c r="F1177" s="17"/>
      <c r="G1177" s="168"/>
      <c r="AB1177" s="77"/>
      <c r="AD1177" s="29">
        <v>30.6</v>
      </c>
      <c r="AF1177" s="142"/>
      <c r="AG1177" s="150"/>
    </row>
    <row r="1178" spans="1:33" ht="20.100000000000001" hidden="1" customHeight="1">
      <c r="A1178" s="16" t="s">
        <v>26</v>
      </c>
      <c r="B1178" s="16">
        <v>2004</v>
      </c>
      <c r="C1178" s="45" t="s">
        <v>87</v>
      </c>
      <c r="D1178" s="9" t="s">
        <v>696</v>
      </c>
      <c r="E1178" s="17" t="s">
        <v>696</v>
      </c>
      <c r="F1178" s="17"/>
      <c r="G1178" s="168"/>
      <c r="AB1178" s="77"/>
      <c r="AD1178" s="29">
        <v>19.5</v>
      </c>
      <c r="AF1178" s="142"/>
      <c r="AG1178" s="150"/>
    </row>
    <row r="1179" spans="1:33" ht="20.100000000000001" hidden="1" customHeight="1">
      <c r="A1179" s="16" t="s">
        <v>26</v>
      </c>
      <c r="B1179" s="16">
        <v>2004</v>
      </c>
      <c r="C1179" s="45" t="s">
        <v>87</v>
      </c>
      <c r="D1179" s="9" t="s">
        <v>697</v>
      </c>
      <c r="E1179" s="9" t="s">
        <v>697</v>
      </c>
      <c r="F1179" s="17"/>
      <c r="G1179" s="168"/>
      <c r="AB1179" s="77"/>
      <c r="AD1179" s="29">
        <v>15.5</v>
      </c>
      <c r="AF1179" s="142"/>
      <c r="AG1179" s="150"/>
    </row>
    <row r="1180" spans="1:33" ht="20.100000000000001" hidden="1" customHeight="1">
      <c r="A1180" s="16" t="s">
        <v>26</v>
      </c>
      <c r="B1180" s="16">
        <v>2004</v>
      </c>
      <c r="C1180" s="45" t="s">
        <v>87</v>
      </c>
      <c r="D1180" s="9" t="s">
        <v>679</v>
      </c>
      <c r="E1180" s="17" t="s">
        <v>837</v>
      </c>
      <c r="F1180" s="17"/>
      <c r="G1180" s="168"/>
      <c r="AB1180" s="77"/>
      <c r="AD1180" s="29">
        <v>12.8</v>
      </c>
      <c r="AF1180" s="142"/>
      <c r="AG1180" s="150"/>
    </row>
    <row r="1181" spans="1:33" ht="20.100000000000001" hidden="1" customHeight="1">
      <c r="A1181" s="16" t="s">
        <v>26</v>
      </c>
      <c r="B1181" s="16">
        <v>2004</v>
      </c>
      <c r="C1181" s="45" t="s">
        <v>87</v>
      </c>
      <c r="D1181" s="9" t="s">
        <v>692</v>
      </c>
      <c r="E1181" s="17" t="s">
        <v>838</v>
      </c>
      <c r="F1181" s="17"/>
      <c r="G1181" s="168"/>
      <c r="AB1181" s="77"/>
      <c r="AD1181" s="29">
        <v>13.3</v>
      </c>
      <c r="AF1181" s="142"/>
      <c r="AG1181" s="150"/>
    </row>
    <row r="1182" spans="1:33" ht="20.100000000000001" hidden="1" customHeight="1">
      <c r="A1182" s="16" t="s">
        <v>26</v>
      </c>
      <c r="B1182" s="16">
        <v>2004</v>
      </c>
      <c r="C1182" s="45" t="s">
        <v>87</v>
      </c>
      <c r="D1182" s="9" t="s">
        <v>839</v>
      </c>
      <c r="E1182" s="17" t="s">
        <v>840</v>
      </c>
      <c r="F1182" s="17"/>
      <c r="G1182" s="168"/>
      <c r="AB1182" s="77"/>
      <c r="AD1182" s="29">
        <v>11.3</v>
      </c>
      <c r="AF1182" s="142"/>
      <c r="AG1182" s="150"/>
    </row>
    <row r="1183" spans="1:33" ht="20.100000000000001" hidden="1" customHeight="1">
      <c r="A1183" s="16" t="s">
        <v>26</v>
      </c>
      <c r="B1183" s="16">
        <v>2004</v>
      </c>
      <c r="C1183" s="45" t="s">
        <v>87</v>
      </c>
      <c r="D1183" s="9" t="s">
        <v>698</v>
      </c>
      <c r="E1183" s="17" t="s">
        <v>841</v>
      </c>
      <c r="F1183" s="17"/>
      <c r="G1183" s="168"/>
      <c r="AB1183" s="77"/>
      <c r="AD1183" s="29">
        <v>7.9</v>
      </c>
      <c r="AF1183" s="142"/>
      <c r="AG1183" s="150"/>
    </row>
    <row r="1184" spans="1:33" ht="20.100000000000001" hidden="1" customHeight="1">
      <c r="A1184" s="16" t="s">
        <v>26</v>
      </c>
      <c r="B1184" s="16">
        <v>2004</v>
      </c>
      <c r="C1184" s="45" t="s">
        <v>87</v>
      </c>
      <c r="D1184" s="27" t="s">
        <v>202</v>
      </c>
      <c r="E1184" s="17" t="s">
        <v>202</v>
      </c>
      <c r="F1184" s="17"/>
      <c r="G1184" s="168"/>
      <c r="AB1184" s="77"/>
      <c r="AD1184" s="29">
        <v>19.8</v>
      </c>
      <c r="AF1184" s="142"/>
      <c r="AG1184" s="150"/>
    </row>
    <row r="1185" spans="1:33" ht="20.100000000000001" hidden="1" customHeight="1">
      <c r="A1185" s="16" t="s">
        <v>26</v>
      </c>
      <c r="B1185" s="16">
        <v>2008</v>
      </c>
      <c r="C1185" s="45" t="s">
        <v>87</v>
      </c>
      <c r="D1185" s="9" t="s">
        <v>696</v>
      </c>
      <c r="E1185" s="17" t="s">
        <v>696</v>
      </c>
      <c r="F1185" s="17"/>
      <c r="G1185" s="168"/>
      <c r="H1185" s="235">
        <f t="shared" ref="H1185:H1191" si="79">G1185/0.679922680042729</f>
        <v>0</v>
      </c>
      <c r="AB1185" s="77"/>
      <c r="AD1185" s="29">
        <v>19.600000000000001</v>
      </c>
      <c r="AF1185" s="142"/>
      <c r="AG1185" s="150"/>
    </row>
    <row r="1186" spans="1:33" ht="20.100000000000001" hidden="1" customHeight="1">
      <c r="A1186" s="16" t="s">
        <v>26</v>
      </c>
      <c r="B1186" s="16">
        <v>2008</v>
      </c>
      <c r="C1186" s="45" t="s">
        <v>87</v>
      </c>
      <c r="D1186" s="9" t="s">
        <v>697</v>
      </c>
      <c r="E1186" s="9" t="s">
        <v>697</v>
      </c>
      <c r="F1186" s="17"/>
      <c r="G1186" s="168"/>
      <c r="H1186" s="235">
        <f t="shared" si="79"/>
        <v>0</v>
      </c>
      <c r="AB1186" s="77"/>
      <c r="AD1186" s="29">
        <v>17.399999999999999</v>
      </c>
      <c r="AF1186" s="142"/>
      <c r="AG1186" s="150"/>
    </row>
    <row r="1187" spans="1:33" s="108" customFormat="1" ht="20.100000000000001" hidden="1" customHeight="1">
      <c r="A1187" s="16" t="s">
        <v>26</v>
      </c>
      <c r="B1187" s="16">
        <v>2008</v>
      </c>
      <c r="C1187" s="45" t="s">
        <v>87</v>
      </c>
      <c r="D1187" s="9" t="s">
        <v>679</v>
      </c>
      <c r="E1187" s="17" t="s">
        <v>837</v>
      </c>
      <c r="F1187" s="17"/>
      <c r="G1187" s="168"/>
      <c r="H1187" s="235">
        <f t="shared" si="79"/>
        <v>0</v>
      </c>
      <c r="I1187" s="170"/>
      <c r="J1187" s="170"/>
      <c r="K1187" s="77"/>
      <c r="L1187" s="77"/>
      <c r="M1187" s="77"/>
      <c r="N1187" s="77"/>
      <c r="O1187" s="77"/>
      <c r="P1187" s="77"/>
      <c r="Q1187" s="77"/>
      <c r="R1187" s="77"/>
      <c r="S1187" s="77"/>
      <c r="T1187" s="77"/>
      <c r="U1187" s="77"/>
      <c r="V1187" s="77"/>
      <c r="W1187" s="77"/>
      <c r="X1187" s="77"/>
      <c r="Y1187" s="77"/>
      <c r="Z1187" s="77"/>
      <c r="AA1187" s="77"/>
      <c r="AB1187" s="77"/>
      <c r="AC1187" s="77"/>
      <c r="AD1187" s="29">
        <v>15.2</v>
      </c>
      <c r="AE1187" s="77"/>
      <c r="AF1187" s="142"/>
      <c r="AG1187" s="150"/>
    </row>
    <row r="1188" spans="1:33" ht="20.100000000000001" hidden="1" customHeight="1">
      <c r="A1188" s="16" t="s">
        <v>26</v>
      </c>
      <c r="B1188" s="16">
        <v>2008</v>
      </c>
      <c r="C1188" s="45" t="s">
        <v>87</v>
      </c>
      <c r="D1188" s="9" t="s">
        <v>692</v>
      </c>
      <c r="E1188" s="17" t="s">
        <v>838</v>
      </c>
      <c r="F1188" s="17"/>
      <c r="G1188" s="168"/>
      <c r="H1188" s="235">
        <f t="shared" si="79"/>
        <v>0</v>
      </c>
      <c r="AB1188" s="77"/>
      <c r="AD1188" s="29">
        <v>14.6</v>
      </c>
      <c r="AF1188" s="142"/>
      <c r="AG1188" s="150"/>
    </row>
    <row r="1189" spans="1:33" ht="20.100000000000001" hidden="1" customHeight="1">
      <c r="A1189" s="16" t="s">
        <v>26</v>
      </c>
      <c r="B1189" s="16">
        <v>2008</v>
      </c>
      <c r="C1189" s="45" t="s">
        <v>87</v>
      </c>
      <c r="D1189" s="9" t="s">
        <v>839</v>
      </c>
      <c r="E1189" s="17" t="s">
        <v>840</v>
      </c>
      <c r="F1189" s="17"/>
      <c r="G1189" s="168"/>
      <c r="H1189" s="235">
        <f t="shared" si="79"/>
        <v>0</v>
      </c>
      <c r="AB1189" s="77"/>
      <c r="AD1189" s="29">
        <v>11.9</v>
      </c>
      <c r="AF1189" s="142"/>
      <c r="AG1189" s="150"/>
    </row>
    <row r="1190" spans="1:33" ht="20.100000000000001" hidden="1" customHeight="1">
      <c r="A1190" s="16" t="s">
        <v>26</v>
      </c>
      <c r="B1190" s="16">
        <v>2008</v>
      </c>
      <c r="C1190" s="45" t="s">
        <v>87</v>
      </c>
      <c r="D1190" s="9" t="s">
        <v>698</v>
      </c>
      <c r="E1190" s="17" t="s">
        <v>841</v>
      </c>
      <c r="F1190" s="17"/>
      <c r="G1190" s="168"/>
      <c r="H1190" s="235">
        <f t="shared" si="79"/>
        <v>0</v>
      </c>
      <c r="AB1190" s="77"/>
      <c r="AD1190" s="29">
        <v>4.5999999999999996</v>
      </c>
      <c r="AF1190" s="142"/>
      <c r="AG1190" s="150"/>
    </row>
    <row r="1191" spans="1:33" ht="20.100000000000001" hidden="1" customHeight="1">
      <c r="A1191" s="16" t="s">
        <v>26</v>
      </c>
      <c r="B1191" s="16">
        <v>2008</v>
      </c>
      <c r="C1191" s="45" t="s">
        <v>87</v>
      </c>
      <c r="D1191" s="27" t="s">
        <v>202</v>
      </c>
      <c r="E1191" s="17" t="s">
        <v>202</v>
      </c>
      <c r="F1191" s="17"/>
      <c r="G1191" s="168"/>
      <c r="H1191" s="235">
        <f t="shared" si="79"/>
        <v>0</v>
      </c>
      <c r="AB1191" s="77"/>
      <c r="AD1191" s="29">
        <v>16.7</v>
      </c>
      <c r="AF1191" s="142"/>
      <c r="AG1191" s="150"/>
    </row>
    <row r="1192" spans="1:33" ht="20.100000000000001" hidden="1" customHeight="1">
      <c r="A1192" s="16" t="s">
        <v>26</v>
      </c>
      <c r="B1192" s="16">
        <v>2010</v>
      </c>
      <c r="C1192" s="45" t="s">
        <v>87</v>
      </c>
      <c r="D1192" s="9" t="s">
        <v>696</v>
      </c>
      <c r="E1192" s="17" t="s">
        <v>696</v>
      </c>
      <c r="F1192" s="17"/>
      <c r="G1192" s="168"/>
      <c r="AB1192" s="77"/>
      <c r="AD1192" s="29">
        <v>28.3</v>
      </c>
      <c r="AF1192" s="142"/>
      <c r="AG1192" s="150"/>
    </row>
    <row r="1193" spans="1:33" ht="20.100000000000001" hidden="1" customHeight="1">
      <c r="A1193" s="16" t="s">
        <v>26</v>
      </c>
      <c r="B1193" s="16">
        <v>2010</v>
      </c>
      <c r="C1193" s="45" t="s">
        <v>87</v>
      </c>
      <c r="D1193" s="9" t="s">
        <v>697</v>
      </c>
      <c r="E1193" s="9" t="s">
        <v>697</v>
      </c>
      <c r="F1193" s="17"/>
      <c r="G1193" s="168"/>
      <c r="AB1193" s="77"/>
      <c r="AD1193" s="29">
        <v>19.3</v>
      </c>
      <c r="AF1193" s="142"/>
      <c r="AG1193" s="150"/>
    </row>
    <row r="1194" spans="1:33" ht="20.100000000000001" hidden="1" customHeight="1">
      <c r="A1194" s="16" t="s">
        <v>26</v>
      </c>
      <c r="B1194" s="16">
        <v>2010</v>
      </c>
      <c r="C1194" s="45" t="s">
        <v>87</v>
      </c>
      <c r="D1194" s="9" t="s">
        <v>679</v>
      </c>
      <c r="E1194" s="17" t="s">
        <v>837</v>
      </c>
      <c r="F1194" s="17"/>
      <c r="G1194" s="168"/>
      <c r="AB1194" s="77"/>
      <c r="AD1194" s="29">
        <v>15.1</v>
      </c>
      <c r="AF1194" s="142"/>
      <c r="AG1194" s="150"/>
    </row>
    <row r="1195" spans="1:33" ht="20.100000000000001" hidden="1" customHeight="1">
      <c r="A1195" s="16" t="s">
        <v>26</v>
      </c>
      <c r="B1195" s="16">
        <v>2010</v>
      </c>
      <c r="C1195" s="45" t="s">
        <v>87</v>
      </c>
      <c r="D1195" s="9" t="s">
        <v>692</v>
      </c>
      <c r="E1195" s="17" t="s">
        <v>838</v>
      </c>
      <c r="F1195" s="17"/>
      <c r="G1195" s="168"/>
      <c r="AB1195" s="77"/>
      <c r="AD1195" s="29">
        <v>12.6</v>
      </c>
      <c r="AF1195" s="142"/>
      <c r="AG1195" s="150"/>
    </row>
    <row r="1196" spans="1:33" ht="20.100000000000001" hidden="1" customHeight="1">
      <c r="A1196" s="16" t="s">
        <v>26</v>
      </c>
      <c r="B1196" s="16">
        <v>2010</v>
      </c>
      <c r="C1196" s="45" t="s">
        <v>87</v>
      </c>
      <c r="D1196" s="9" t="s">
        <v>839</v>
      </c>
      <c r="E1196" s="17" t="s">
        <v>840</v>
      </c>
      <c r="F1196" s="17"/>
      <c r="G1196" s="168"/>
      <c r="AB1196" s="77"/>
      <c r="AD1196" s="29">
        <v>12.8</v>
      </c>
      <c r="AF1196" s="142"/>
      <c r="AG1196" s="150"/>
    </row>
    <row r="1197" spans="1:33" ht="20.100000000000001" hidden="1" customHeight="1">
      <c r="A1197" s="16" t="s">
        <v>26</v>
      </c>
      <c r="B1197" s="16">
        <v>2010</v>
      </c>
      <c r="C1197" s="45" t="s">
        <v>87</v>
      </c>
      <c r="D1197" s="9" t="s">
        <v>698</v>
      </c>
      <c r="E1197" s="17" t="s">
        <v>841</v>
      </c>
      <c r="F1197" s="17"/>
      <c r="G1197" s="168"/>
      <c r="AB1197" s="77"/>
      <c r="AD1197" s="29"/>
      <c r="AF1197" s="142"/>
      <c r="AG1197" s="150"/>
    </row>
    <row r="1198" spans="1:33" ht="20.100000000000001" hidden="1" customHeight="1">
      <c r="A1198" s="16" t="s">
        <v>26</v>
      </c>
      <c r="B1198" s="16">
        <v>2010</v>
      </c>
      <c r="C1198" s="45" t="s">
        <v>87</v>
      </c>
      <c r="D1198" s="27" t="s">
        <v>202</v>
      </c>
      <c r="E1198" s="17" t="s">
        <v>202</v>
      </c>
      <c r="F1198" s="17"/>
      <c r="G1198" s="168"/>
      <c r="AB1198" s="77"/>
      <c r="AD1198" s="29">
        <v>11.9</v>
      </c>
      <c r="AF1198" s="142"/>
      <c r="AG1198" s="150"/>
    </row>
    <row r="1199" spans="1:33" ht="20.100000000000001" hidden="1" customHeight="1">
      <c r="A1199" s="16" t="s">
        <v>26</v>
      </c>
      <c r="B1199" s="16">
        <v>2018</v>
      </c>
      <c r="C1199" s="45" t="s">
        <v>87</v>
      </c>
      <c r="D1199" s="27" t="s">
        <v>665</v>
      </c>
      <c r="E1199" s="35" t="s">
        <v>666</v>
      </c>
      <c r="F1199" s="17" t="s">
        <v>842</v>
      </c>
      <c r="G1199" s="168"/>
      <c r="AB1199" s="77"/>
      <c r="AD1199" s="29">
        <v>41.89</v>
      </c>
      <c r="AF1199" s="266"/>
      <c r="AG1199" s="268" t="s">
        <v>843</v>
      </c>
    </row>
    <row r="1200" spans="1:33" ht="20.100000000000001" hidden="1" customHeight="1">
      <c r="A1200" s="16" t="s">
        <v>26</v>
      </c>
      <c r="B1200" s="16">
        <v>2018</v>
      </c>
      <c r="C1200" s="45" t="s">
        <v>87</v>
      </c>
      <c r="D1200" s="27" t="s">
        <v>833</v>
      </c>
      <c r="E1200" s="35" t="s">
        <v>844</v>
      </c>
      <c r="F1200" s="17" t="s">
        <v>835</v>
      </c>
      <c r="G1200" s="168"/>
      <c r="AB1200" s="77"/>
      <c r="AD1200" s="29">
        <v>28.47</v>
      </c>
      <c r="AF1200" s="266"/>
      <c r="AG1200" s="268" t="s">
        <v>843</v>
      </c>
    </row>
    <row r="1201" spans="1:33" ht="20.100000000000001" hidden="1" customHeight="1">
      <c r="A1201" s="16" t="s">
        <v>26</v>
      </c>
      <c r="B1201" s="16">
        <v>2018</v>
      </c>
      <c r="C1201" s="45" t="s">
        <v>87</v>
      </c>
      <c r="D1201" s="27" t="s">
        <v>676</v>
      </c>
      <c r="E1201" s="35" t="s">
        <v>677</v>
      </c>
      <c r="F1201" s="17" t="s">
        <v>845</v>
      </c>
      <c r="G1201" s="168"/>
      <c r="AB1201" s="77"/>
      <c r="AD1201" s="29">
        <v>17.420000000000002</v>
      </c>
      <c r="AF1201" s="266"/>
      <c r="AG1201" s="268" t="s">
        <v>843</v>
      </c>
    </row>
    <row r="1202" spans="1:33" ht="20.100000000000001" hidden="1" customHeight="1">
      <c r="A1202" s="16" t="s">
        <v>26</v>
      </c>
      <c r="B1202" s="16">
        <v>2018</v>
      </c>
      <c r="C1202" s="45" t="s">
        <v>87</v>
      </c>
      <c r="D1202" s="27" t="s">
        <v>404</v>
      </c>
      <c r="E1202" s="35" t="s">
        <v>404</v>
      </c>
      <c r="F1202" s="17" t="s">
        <v>830</v>
      </c>
      <c r="G1202" s="168"/>
      <c r="AB1202" s="77"/>
      <c r="AD1202" s="29">
        <v>7.49</v>
      </c>
      <c r="AF1202" s="266"/>
      <c r="AG1202" s="268" t="s">
        <v>843</v>
      </c>
    </row>
    <row r="1203" spans="1:33" ht="20.100000000000001" hidden="1" customHeight="1">
      <c r="A1203" s="16" t="s">
        <v>26</v>
      </c>
      <c r="B1203" s="16">
        <v>2018</v>
      </c>
      <c r="C1203" s="45" t="s">
        <v>87</v>
      </c>
      <c r="D1203" s="27" t="s">
        <v>202</v>
      </c>
      <c r="E1203" s="17"/>
      <c r="F1203" s="17"/>
      <c r="G1203" s="168"/>
      <c r="AB1203" s="77"/>
      <c r="AD1203" s="29">
        <v>4.74</v>
      </c>
      <c r="AF1203" s="266"/>
      <c r="AG1203" s="268" t="s">
        <v>843</v>
      </c>
    </row>
    <row r="1204" spans="1:33" ht="20.100000000000001" customHeight="1">
      <c r="A1204" s="16" t="s">
        <v>26</v>
      </c>
      <c r="B1204" s="16">
        <v>2019</v>
      </c>
      <c r="C1204" s="14" t="s">
        <v>88</v>
      </c>
      <c r="D1204" s="27" t="s">
        <v>404</v>
      </c>
      <c r="E1204" s="62" t="s">
        <v>404</v>
      </c>
      <c r="F1204" s="62" t="s">
        <v>846</v>
      </c>
      <c r="G1204" s="172">
        <v>1068</v>
      </c>
      <c r="H1204" s="170">
        <f t="shared" ref="H1204:H1205" si="80">G1204/0.893276257067409</f>
        <v>1195.5987764705649</v>
      </c>
      <c r="I1204" s="225">
        <v>58.4</v>
      </c>
      <c r="J1204" s="225"/>
      <c r="AB1204" s="77"/>
      <c r="AF1204" s="266"/>
      <c r="AG1204" s="35" t="s">
        <v>847</v>
      </c>
    </row>
    <row r="1205" spans="1:33" ht="20.100000000000001" customHeight="1">
      <c r="A1205" s="16" t="s">
        <v>26</v>
      </c>
      <c r="B1205" s="16">
        <v>2019</v>
      </c>
      <c r="C1205" s="14" t="s">
        <v>88</v>
      </c>
      <c r="D1205" s="27" t="s">
        <v>663</v>
      </c>
      <c r="E1205" s="62" t="s">
        <v>666</v>
      </c>
      <c r="F1205" s="62" t="s">
        <v>848</v>
      </c>
      <c r="G1205" s="172">
        <v>761.11</v>
      </c>
      <c r="H1205" s="170">
        <f t="shared" si="80"/>
        <v>852.04324415684619</v>
      </c>
      <c r="I1205" s="225">
        <v>41.6</v>
      </c>
      <c r="J1205" s="225"/>
      <c r="AB1205" s="77"/>
      <c r="AF1205" s="266"/>
      <c r="AG1205" s="35" t="s">
        <v>847</v>
      </c>
    </row>
    <row r="1206" spans="1:33" ht="20.100000000000001" customHeight="1">
      <c r="A1206" s="16" t="s">
        <v>26</v>
      </c>
      <c r="B1206" s="16">
        <v>2020</v>
      </c>
      <c r="C1206" s="14" t="s">
        <v>88</v>
      </c>
      <c r="D1206" s="27" t="s">
        <v>404</v>
      </c>
      <c r="E1206" s="62" t="s">
        <v>404</v>
      </c>
      <c r="F1206" s="62" t="s">
        <v>846</v>
      </c>
      <c r="G1206" s="172">
        <v>1403.2</v>
      </c>
      <c r="H1206" s="170">
        <f t="shared" ref="H1206:H1207" si="81">G1206/0.875506396987998</f>
        <v>1602.7295800777981</v>
      </c>
      <c r="I1206" s="225">
        <v>47.1</v>
      </c>
      <c r="J1206" s="225"/>
      <c r="AB1206" s="77"/>
      <c r="AF1206" s="266"/>
      <c r="AG1206" s="35" t="s">
        <v>849</v>
      </c>
    </row>
    <row r="1207" spans="1:33" ht="20.100000000000001" customHeight="1">
      <c r="A1207" s="16" t="s">
        <v>26</v>
      </c>
      <c r="B1207" s="16">
        <v>2020</v>
      </c>
      <c r="C1207" s="14" t="s">
        <v>88</v>
      </c>
      <c r="D1207" s="27" t="s">
        <v>663</v>
      </c>
      <c r="E1207" s="62" t="s">
        <v>666</v>
      </c>
      <c r="F1207" s="62" t="s">
        <v>848</v>
      </c>
      <c r="G1207" s="172">
        <v>1577.6</v>
      </c>
      <c r="H1207" s="170">
        <f t="shared" si="81"/>
        <v>1801.9285814785733</v>
      </c>
      <c r="I1207" s="225">
        <v>52.9</v>
      </c>
      <c r="J1207" s="225"/>
      <c r="AB1207" s="77"/>
      <c r="AF1207" s="266"/>
      <c r="AG1207" s="35" t="s">
        <v>849</v>
      </c>
    </row>
    <row r="1208" spans="1:33" ht="20.100000000000001" customHeight="1">
      <c r="A1208" s="16" t="s">
        <v>26</v>
      </c>
      <c r="B1208" s="16">
        <v>2021</v>
      </c>
      <c r="C1208" s="14" t="s">
        <v>88</v>
      </c>
      <c r="D1208" s="27" t="s">
        <v>404</v>
      </c>
      <c r="E1208" s="62" t="s">
        <v>404</v>
      </c>
      <c r="F1208" s="62" t="s">
        <v>846</v>
      </c>
      <c r="G1208" s="168">
        <v>1353.44</v>
      </c>
      <c r="H1208" s="256">
        <v>1600</v>
      </c>
      <c r="I1208" s="225">
        <f>(G1208/'Total Revenue (Millions)'!$D$197)*100</f>
        <v>52.683534449202028</v>
      </c>
      <c r="J1208" s="225"/>
      <c r="AB1208" s="77"/>
      <c r="AF1208" s="266"/>
      <c r="AG1208" s="35" t="s">
        <v>850</v>
      </c>
    </row>
    <row r="1209" spans="1:33" ht="20.100000000000001" customHeight="1">
      <c r="A1209" s="16" t="s">
        <v>26</v>
      </c>
      <c r="B1209" s="16">
        <v>2021</v>
      </c>
      <c r="C1209" s="14" t="s">
        <v>88</v>
      </c>
      <c r="D1209" s="27" t="s">
        <v>663</v>
      </c>
      <c r="E1209" s="62" t="s">
        <v>666</v>
      </c>
      <c r="F1209" s="62" t="s">
        <v>848</v>
      </c>
      <c r="G1209" s="168">
        <v>1521.44</v>
      </c>
      <c r="H1209" s="227">
        <v>1800</v>
      </c>
      <c r="I1209" s="225">
        <f>(G1209/'Total Revenue (Millions)'!$D$197)*100</f>
        <v>59.22304398598677</v>
      </c>
      <c r="J1209" s="225"/>
      <c r="AB1209" s="77"/>
      <c r="AF1209" s="266"/>
      <c r="AG1209" s="35" t="s">
        <v>850</v>
      </c>
    </row>
    <row r="1210" spans="1:33" ht="20.100000000000001" customHeight="1">
      <c r="A1210" s="16" t="s">
        <v>26</v>
      </c>
      <c r="B1210" s="16">
        <v>2022</v>
      </c>
      <c r="C1210" s="14" t="s">
        <v>88</v>
      </c>
      <c r="D1210" s="27" t="s">
        <v>404</v>
      </c>
      <c r="E1210" s="62" t="s">
        <v>404</v>
      </c>
      <c r="F1210" s="62" t="s">
        <v>846</v>
      </c>
      <c r="G1210" s="246">
        <v>1000</v>
      </c>
      <c r="H1210" s="227">
        <v>1051.58</v>
      </c>
      <c r="I1210" s="225">
        <v>53.9</v>
      </c>
      <c r="J1210" s="225"/>
      <c r="AB1210" s="77"/>
      <c r="AF1210" s="266"/>
      <c r="AG1210" s="66" t="s">
        <v>851</v>
      </c>
    </row>
    <row r="1211" spans="1:33" ht="20.100000000000001" customHeight="1">
      <c r="A1211" s="16" t="s">
        <v>26</v>
      </c>
      <c r="B1211" s="16">
        <v>2022</v>
      </c>
      <c r="C1211" s="14" t="s">
        <v>88</v>
      </c>
      <c r="D1211" s="27" t="s">
        <v>663</v>
      </c>
      <c r="E1211" s="62" t="s">
        <v>666</v>
      </c>
      <c r="F1211" s="62" t="s">
        <v>848</v>
      </c>
      <c r="G1211" s="246">
        <v>856</v>
      </c>
      <c r="H1211" s="257">
        <v>899.41</v>
      </c>
      <c r="I1211" s="225">
        <v>46.1</v>
      </c>
      <c r="J1211" s="225"/>
      <c r="AB1211" s="77"/>
      <c r="AF1211" s="266"/>
      <c r="AG1211" s="66" t="s">
        <v>852</v>
      </c>
    </row>
    <row r="1212" spans="1:33" ht="20.100000000000001" customHeight="1">
      <c r="A1212" s="16" t="s">
        <v>26</v>
      </c>
      <c r="B1212" s="16">
        <v>2023</v>
      </c>
      <c r="C1212" s="14" t="s">
        <v>88</v>
      </c>
      <c r="D1212" s="27" t="s">
        <v>404</v>
      </c>
      <c r="E1212" s="62" t="s">
        <v>404</v>
      </c>
      <c r="F1212" s="62" t="s">
        <v>846</v>
      </c>
      <c r="G1212" s="172">
        <v>831.7</v>
      </c>
      <c r="H1212" s="257">
        <v>900.32</v>
      </c>
      <c r="I1212" s="225">
        <v>53.4</v>
      </c>
      <c r="J1212" s="225"/>
      <c r="AB1212" s="77"/>
      <c r="AF1212" s="266"/>
      <c r="AG1212" s="66" t="s">
        <v>853</v>
      </c>
    </row>
    <row r="1213" spans="1:33" ht="20.100000000000001" customHeight="1">
      <c r="A1213" s="16" t="s">
        <v>26</v>
      </c>
      <c r="B1213" s="16">
        <v>2023</v>
      </c>
      <c r="C1213" s="14" t="s">
        <v>88</v>
      </c>
      <c r="D1213" s="27" t="s">
        <v>663</v>
      </c>
      <c r="E1213" s="62" t="s">
        <v>666</v>
      </c>
      <c r="F1213" s="62" t="s">
        <v>848</v>
      </c>
      <c r="G1213" s="255">
        <v>726.6</v>
      </c>
      <c r="H1213" s="227">
        <v>758.67</v>
      </c>
      <c r="I1213" s="227">
        <v>46.6</v>
      </c>
      <c r="J1213" s="227"/>
      <c r="AB1213" s="77"/>
      <c r="AF1213" s="266"/>
      <c r="AG1213" s="66" t="s">
        <v>854</v>
      </c>
    </row>
    <row r="1214" spans="1:33" ht="20.100000000000001" customHeight="1">
      <c r="A1214" s="16" t="s">
        <v>26</v>
      </c>
      <c r="B1214" s="16">
        <v>2019</v>
      </c>
      <c r="C1214" s="45" t="s">
        <v>87</v>
      </c>
      <c r="D1214" s="27" t="s">
        <v>665</v>
      </c>
      <c r="E1214" s="35" t="s">
        <v>666</v>
      </c>
      <c r="F1214" s="17" t="s">
        <v>842</v>
      </c>
      <c r="G1214" s="168"/>
      <c r="H1214" s="170">
        <f t="shared" ref="H1214:H1218" si="82">G1214/0.893276257067409</f>
        <v>0</v>
      </c>
      <c r="AB1214" s="77"/>
      <c r="AD1214" s="31">
        <v>45.8</v>
      </c>
      <c r="AF1214" s="266"/>
      <c r="AG1214" s="85" t="s">
        <v>855</v>
      </c>
    </row>
    <row r="1215" spans="1:33" ht="20.100000000000001" hidden="1" customHeight="1">
      <c r="A1215" s="16" t="s">
        <v>26</v>
      </c>
      <c r="B1215" s="16">
        <v>2019</v>
      </c>
      <c r="C1215" s="45" t="s">
        <v>87</v>
      </c>
      <c r="D1215" s="27" t="s">
        <v>833</v>
      </c>
      <c r="E1215" s="35" t="s">
        <v>833</v>
      </c>
      <c r="F1215" s="17" t="s">
        <v>835</v>
      </c>
      <c r="G1215" s="168"/>
      <c r="H1215" s="170">
        <f t="shared" si="82"/>
        <v>0</v>
      </c>
      <c r="AB1215" s="77"/>
      <c r="AD1215" s="31">
        <v>25.63</v>
      </c>
      <c r="AF1215" s="266"/>
      <c r="AG1215" s="85" t="s">
        <v>855</v>
      </c>
    </row>
    <row r="1216" spans="1:33" ht="20.100000000000001" customHeight="1">
      <c r="A1216" s="16" t="s">
        <v>26</v>
      </c>
      <c r="B1216" s="16">
        <v>2019</v>
      </c>
      <c r="C1216" s="45" t="s">
        <v>87</v>
      </c>
      <c r="D1216" s="27" t="s">
        <v>404</v>
      </c>
      <c r="E1216" s="35" t="s">
        <v>404</v>
      </c>
      <c r="F1216" s="17" t="s">
        <v>830</v>
      </c>
      <c r="G1216" s="168"/>
      <c r="H1216" s="170">
        <f t="shared" si="82"/>
        <v>0</v>
      </c>
      <c r="AB1216" s="77"/>
      <c r="AD1216" s="31">
        <v>8.3699999999999992</v>
      </c>
      <c r="AF1216" s="266"/>
      <c r="AG1216" s="85" t="s">
        <v>855</v>
      </c>
    </row>
    <row r="1217" spans="1:33" ht="20.100000000000001" customHeight="1">
      <c r="A1217" s="16" t="s">
        <v>26</v>
      </c>
      <c r="B1217" s="16">
        <v>2019</v>
      </c>
      <c r="C1217" s="45" t="s">
        <v>87</v>
      </c>
      <c r="D1217" s="27" t="s">
        <v>676</v>
      </c>
      <c r="E1217" s="35" t="s">
        <v>677</v>
      </c>
      <c r="F1217" s="17" t="s">
        <v>845</v>
      </c>
      <c r="G1217" s="168"/>
      <c r="H1217" s="170">
        <f t="shared" si="82"/>
        <v>0</v>
      </c>
      <c r="AB1217" s="77"/>
      <c r="AD1217" s="31">
        <v>15.33</v>
      </c>
      <c r="AF1217" s="266"/>
      <c r="AG1217" s="85" t="s">
        <v>855</v>
      </c>
    </row>
    <row r="1218" spans="1:33" ht="20.100000000000001" hidden="1" customHeight="1">
      <c r="A1218" s="16" t="s">
        <v>26</v>
      </c>
      <c r="B1218" s="16">
        <v>2019</v>
      </c>
      <c r="C1218" s="45" t="s">
        <v>87</v>
      </c>
      <c r="D1218" s="27" t="s">
        <v>202</v>
      </c>
      <c r="E1218" s="35"/>
      <c r="F1218" s="17"/>
      <c r="G1218" s="168"/>
      <c r="H1218" s="170">
        <f t="shared" si="82"/>
        <v>0</v>
      </c>
      <c r="AB1218" s="77"/>
      <c r="AD1218" s="31">
        <v>4.87</v>
      </c>
      <c r="AF1218" s="266"/>
      <c r="AG1218" s="85" t="s">
        <v>855</v>
      </c>
    </row>
    <row r="1219" spans="1:33" ht="20.100000000000001" customHeight="1">
      <c r="A1219" s="16" t="s">
        <v>26</v>
      </c>
      <c r="B1219" s="16">
        <v>2020</v>
      </c>
      <c r="C1219" s="45" t="s">
        <v>87</v>
      </c>
      <c r="D1219" s="27" t="s">
        <v>663</v>
      </c>
      <c r="E1219" s="35" t="s">
        <v>666</v>
      </c>
      <c r="F1219" s="17" t="s">
        <v>842</v>
      </c>
      <c r="G1219" s="168"/>
      <c r="AB1219" s="77"/>
      <c r="AD1219" s="31">
        <v>47.3</v>
      </c>
      <c r="AF1219" s="266"/>
      <c r="AG1219" s="85" t="s">
        <v>856</v>
      </c>
    </row>
    <row r="1220" spans="1:33" ht="20.100000000000001" hidden="1" customHeight="1">
      <c r="A1220" s="16" t="s">
        <v>26</v>
      </c>
      <c r="B1220" s="16">
        <v>2020</v>
      </c>
      <c r="C1220" s="45" t="s">
        <v>87</v>
      </c>
      <c r="D1220" s="27" t="s">
        <v>833</v>
      </c>
      <c r="E1220" s="35" t="s">
        <v>844</v>
      </c>
      <c r="F1220" s="17" t="s">
        <v>835</v>
      </c>
      <c r="G1220" s="168"/>
      <c r="AB1220" s="77"/>
      <c r="AD1220" s="31">
        <v>22.86</v>
      </c>
      <c r="AF1220" s="266"/>
      <c r="AG1220" s="85" t="s">
        <v>856</v>
      </c>
    </row>
    <row r="1221" spans="1:33" ht="20.100000000000001" customHeight="1">
      <c r="A1221" s="16" t="s">
        <v>26</v>
      </c>
      <c r="B1221" s="16">
        <v>2020</v>
      </c>
      <c r="C1221" s="45" t="s">
        <v>87</v>
      </c>
      <c r="D1221" s="27" t="s">
        <v>404</v>
      </c>
      <c r="E1221" s="35" t="s">
        <v>404</v>
      </c>
      <c r="F1221" s="17" t="s">
        <v>830</v>
      </c>
      <c r="G1221" s="168"/>
      <c r="AB1221" s="77"/>
      <c r="AD1221" s="31">
        <v>10.9</v>
      </c>
      <c r="AF1221" s="266"/>
      <c r="AG1221" s="85" t="s">
        <v>856</v>
      </c>
    </row>
    <row r="1222" spans="1:33" ht="20.100000000000001" customHeight="1">
      <c r="A1222" s="16" t="s">
        <v>26</v>
      </c>
      <c r="B1222" s="16">
        <v>2020</v>
      </c>
      <c r="C1222" s="45" t="s">
        <v>87</v>
      </c>
      <c r="D1222" s="27" t="s">
        <v>676</v>
      </c>
      <c r="E1222" s="35" t="s">
        <v>677</v>
      </c>
      <c r="F1222" s="17" t="s">
        <v>857</v>
      </c>
      <c r="G1222" s="168"/>
      <c r="AB1222" s="77"/>
      <c r="AD1222" s="31">
        <v>4.97</v>
      </c>
      <c r="AF1222" s="266"/>
      <c r="AG1222" s="85" t="s">
        <v>856</v>
      </c>
    </row>
    <row r="1223" spans="1:33" ht="20.100000000000001" hidden="1" customHeight="1">
      <c r="A1223" s="16" t="s">
        <v>26</v>
      </c>
      <c r="B1223" s="16">
        <v>2020</v>
      </c>
      <c r="C1223" s="45" t="s">
        <v>87</v>
      </c>
      <c r="D1223" s="27" t="s">
        <v>858</v>
      </c>
      <c r="E1223" s="35" t="s">
        <v>859</v>
      </c>
      <c r="F1223" s="17" t="s">
        <v>859</v>
      </c>
      <c r="G1223" s="168"/>
      <c r="AB1223" s="77"/>
      <c r="AD1223" s="31">
        <v>4.54</v>
      </c>
      <c r="AF1223" s="266"/>
      <c r="AG1223" s="85" t="s">
        <v>856</v>
      </c>
    </row>
    <row r="1224" spans="1:33" ht="20.100000000000001" hidden="1" customHeight="1">
      <c r="A1224" s="16" t="s">
        <v>26</v>
      </c>
      <c r="B1224" s="16">
        <v>2020</v>
      </c>
      <c r="C1224" s="45" t="s">
        <v>87</v>
      </c>
      <c r="D1224" s="9" t="s">
        <v>202</v>
      </c>
      <c r="E1224" s="9" t="s">
        <v>202</v>
      </c>
      <c r="F1224" s="9" t="s">
        <v>202</v>
      </c>
      <c r="G1224" s="168"/>
      <c r="AB1224" s="77"/>
      <c r="AD1224" s="31">
        <v>9.43</v>
      </c>
      <c r="AF1224" s="266"/>
      <c r="AG1224" s="85" t="s">
        <v>856</v>
      </c>
    </row>
    <row r="1225" spans="1:33" ht="20.100000000000001" customHeight="1">
      <c r="A1225" s="16" t="s">
        <v>26</v>
      </c>
      <c r="B1225" s="16">
        <v>2021</v>
      </c>
      <c r="C1225" s="45" t="s">
        <v>87</v>
      </c>
      <c r="D1225" s="27" t="s">
        <v>663</v>
      </c>
      <c r="E1225" s="35" t="s">
        <v>666</v>
      </c>
      <c r="F1225" s="17" t="s">
        <v>842</v>
      </c>
      <c r="G1225" s="168"/>
      <c r="AB1225" s="77"/>
      <c r="AD1225" s="31">
        <v>47.57</v>
      </c>
      <c r="AF1225" s="266"/>
      <c r="AG1225" s="85" t="s">
        <v>860</v>
      </c>
    </row>
    <row r="1226" spans="1:33" ht="20.100000000000001" hidden="1" customHeight="1">
      <c r="A1226" s="16" t="s">
        <v>26</v>
      </c>
      <c r="B1226" s="16">
        <v>2021</v>
      </c>
      <c r="C1226" s="45" t="s">
        <v>87</v>
      </c>
      <c r="D1226" s="27" t="s">
        <v>833</v>
      </c>
      <c r="E1226" s="35" t="s">
        <v>844</v>
      </c>
      <c r="F1226" s="17" t="s">
        <v>835</v>
      </c>
      <c r="G1226" s="168"/>
      <c r="AB1226" s="77"/>
      <c r="AD1226" s="31">
        <v>20.420000000000002</v>
      </c>
      <c r="AF1226" s="266"/>
      <c r="AG1226" s="85" t="s">
        <v>860</v>
      </c>
    </row>
    <row r="1227" spans="1:33" ht="20.100000000000001" customHeight="1">
      <c r="A1227" s="16" t="s">
        <v>26</v>
      </c>
      <c r="B1227" s="16">
        <v>2021</v>
      </c>
      <c r="C1227" s="45" t="s">
        <v>87</v>
      </c>
      <c r="D1227" s="27" t="s">
        <v>676</v>
      </c>
      <c r="E1227" s="35" t="s">
        <v>677</v>
      </c>
      <c r="F1227" s="17" t="s">
        <v>861</v>
      </c>
      <c r="G1227" s="168"/>
      <c r="AB1227" s="77"/>
      <c r="AD1227" s="31">
        <v>12.16</v>
      </c>
      <c r="AF1227" s="266"/>
      <c r="AG1227" s="85" t="s">
        <v>860</v>
      </c>
    </row>
    <row r="1228" spans="1:33" ht="20.100000000000001" customHeight="1">
      <c r="A1228" s="16" t="s">
        <v>26</v>
      </c>
      <c r="B1228" s="16">
        <v>2021</v>
      </c>
      <c r="C1228" s="45" t="s">
        <v>87</v>
      </c>
      <c r="D1228" s="27" t="s">
        <v>404</v>
      </c>
      <c r="E1228" s="35" t="s">
        <v>404</v>
      </c>
      <c r="F1228" s="17" t="s">
        <v>830</v>
      </c>
      <c r="G1228" s="168"/>
      <c r="AB1228" s="77"/>
      <c r="AD1228" s="31">
        <v>10.76</v>
      </c>
      <c r="AF1228" s="266"/>
      <c r="AG1228" s="85" t="s">
        <v>860</v>
      </c>
    </row>
    <row r="1229" spans="1:33" ht="20.100000000000001" hidden="1" customHeight="1">
      <c r="A1229" s="16" t="s">
        <v>26</v>
      </c>
      <c r="B1229" s="16">
        <v>2021</v>
      </c>
      <c r="C1229" s="45" t="s">
        <v>87</v>
      </c>
      <c r="D1229" s="27" t="s">
        <v>859</v>
      </c>
      <c r="E1229" s="35" t="s">
        <v>859</v>
      </c>
      <c r="F1229" s="17" t="s">
        <v>858</v>
      </c>
      <c r="G1229" s="168"/>
      <c r="AB1229" s="77"/>
      <c r="AD1229" s="31">
        <v>6.43</v>
      </c>
      <c r="AF1229" s="266"/>
      <c r="AG1229" s="85" t="s">
        <v>860</v>
      </c>
    </row>
    <row r="1230" spans="1:33" ht="20.100000000000001" hidden="1" customHeight="1">
      <c r="A1230" s="16" t="s">
        <v>26</v>
      </c>
      <c r="B1230" s="16">
        <v>2021</v>
      </c>
      <c r="C1230" s="45" t="s">
        <v>87</v>
      </c>
      <c r="D1230" s="27" t="s">
        <v>202</v>
      </c>
      <c r="E1230" s="35"/>
      <c r="F1230" s="17"/>
      <c r="G1230" s="168"/>
      <c r="AB1230" s="77"/>
      <c r="AD1230" s="31">
        <v>2.67</v>
      </c>
      <c r="AF1230" s="266"/>
      <c r="AG1230" s="85" t="s">
        <v>860</v>
      </c>
    </row>
    <row r="1231" spans="1:33" ht="20.100000000000001" customHeight="1">
      <c r="A1231" s="16" t="s">
        <v>26</v>
      </c>
      <c r="B1231" s="16">
        <v>2022</v>
      </c>
      <c r="C1231" s="45" t="s">
        <v>87</v>
      </c>
      <c r="D1231" s="27" t="s">
        <v>663</v>
      </c>
      <c r="E1231" s="35" t="s">
        <v>666</v>
      </c>
      <c r="F1231" s="17" t="s">
        <v>842</v>
      </c>
      <c r="G1231" s="168"/>
      <c r="AB1231" s="77"/>
      <c r="AD1231" s="31">
        <v>45.27</v>
      </c>
      <c r="AF1231" s="266"/>
      <c r="AG1231" s="85" t="s">
        <v>862</v>
      </c>
    </row>
    <row r="1232" spans="1:33" ht="20.100000000000001" hidden="1" customHeight="1">
      <c r="A1232" s="16" t="s">
        <v>26</v>
      </c>
      <c r="B1232" s="16">
        <v>2022</v>
      </c>
      <c r="C1232" s="45" t="s">
        <v>87</v>
      </c>
      <c r="D1232" s="27" t="s">
        <v>833</v>
      </c>
      <c r="E1232" s="35" t="s">
        <v>844</v>
      </c>
      <c r="F1232" s="17" t="s">
        <v>835</v>
      </c>
      <c r="G1232" s="168"/>
      <c r="AB1232" s="77"/>
      <c r="AD1232" s="31">
        <v>20.82</v>
      </c>
      <c r="AF1232" s="266"/>
      <c r="AG1232" s="85" t="s">
        <v>862</v>
      </c>
    </row>
    <row r="1233" spans="1:33" ht="20.100000000000001" customHeight="1">
      <c r="A1233" s="16" t="s">
        <v>26</v>
      </c>
      <c r="B1233" s="16">
        <v>2022</v>
      </c>
      <c r="C1233" s="45" t="s">
        <v>87</v>
      </c>
      <c r="D1233" s="27" t="s">
        <v>676</v>
      </c>
      <c r="E1233" s="35" t="s">
        <v>677</v>
      </c>
      <c r="F1233" s="17" t="s">
        <v>861</v>
      </c>
      <c r="G1233" s="168"/>
      <c r="AB1233" s="77"/>
      <c r="AD1233" s="31">
        <v>13.94</v>
      </c>
      <c r="AF1233" s="266"/>
      <c r="AG1233" s="85" t="s">
        <v>862</v>
      </c>
    </row>
    <row r="1234" spans="1:33" ht="20.100000000000001" customHeight="1">
      <c r="A1234" s="16" t="s">
        <v>26</v>
      </c>
      <c r="B1234" s="16">
        <v>2022</v>
      </c>
      <c r="C1234" s="45" t="s">
        <v>87</v>
      </c>
      <c r="D1234" s="27" t="s">
        <v>404</v>
      </c>
      <c r="E1234" s="35" t="s">
        <v>404</v>
      </c>
      <c r="F1234" s="17" t="s">
        <v>830</v>
      </c>
      <c r="G1234" s="168"/>
      <c r="AB1234" s="77"/>
      <c r="AD1234" s="31">
        <v>11.27</v>
      </c>
      <c r="AF1234" s="266"/>
      <c r="AG1234" s="85" t="s">
        <v>862</v>
      </c>
    </row>
    <row r="1235" spans="1:33" ht="20.100000000000001" hidden="1" customHeight="1">
      <c r="A1235" s="16" t="s">
        <v>26</v>
      </c>
      <c r="B1235" s="16">
        <v>2022</v>
      </c>
      <c r="C1235" s="45" t="s">
        <v>87</v>
      </c>
      <c r="D1235" s="27" t="s">
        <v>859</v>
      </c>
      <c r="E1235" s="35" t="s">
        <v>859</v>
      </c>
      <c r="F1235" s="17" t="s">
        <v>859</v>
      </c>
      <c r="G1235" s="168"/>
      <c r="AB1235" s="77"/>
      <c r="AD1235" s="31">
        <v>7.3</v>
      </c>
      <c r="AF1235" s="266"/>
      <c r="AG1235" s="85" t="s">
        <v>862</v>
      </c>
    </row>
    <row r="1236" spans="1:33" ht="20.100000000000001" hidden="1" customHeight="1">
      <c r="A1236" s="16" t="s">
        <v>26</v>
      </c>
      <c r="B1236" s="16">
        <v>2022</v>
      </c>
      <c r="C1236" s="45" t="s">
        <v>87</v>
      </c>
      <c r="D1236" s="27" t="s">
        <v>202</v>
      </c>
      <c r="E1236" s="35"/>
      <c r="F1236" s="17"/>
      <c r="G1236" s="168"/>
      <c r="AB1236" s="77"/>
      <c r="AD1236" s="31">
        <v>1.41</v>
      </c>
      <c r="AF1236" s="266"/>
      <c r="AG1236" s="85" t="s">
        <v>862</v>
      </c>
    </row>
    <row r="1237" spans="1:33" ht="20.100000000000001" customHeight="1">
      <c r="A1237" s="16" t="s">
        <v>26</v>
      </c>
      <c r="B1237" s="16">
        <v>2023</v>
      </c>
      <c r="C1237" s="45" t="s">
        <v>87</v>
      </c>
      <c r="D1237" s="27" t="s">
        <v>663</v>
      </c>
      <c r="E1237" s="35" t="s">
        <v>666</v>
      </c>
      <c r="F1237" s="17" t="s">
        <v>842</v>
      </c>
      <c r="G1237" s="168"/>
      <c r="AB1237" s="77"/>
      <c r="AD1237" s="31">
        <v>48.24</v>
      </c>
      <c r="AF1237" s="266"/>
      <c r="AG1237" s="85" t="s">
        <v>863</v>
      </c>
    </row>
    <row r="1238" spans="1:33" ht="20.100000000000001" hidden="1" customHeight="1">
      <c r="A1238" s="16" t="s">
        <v>26</v>
      </c>
      <c r="B1238" s="16">
        <v>2023</v>
      </c>
      <c r="C1238" s="45" t="s">
        <v>87</v>
      </c>
      <c r="D1238" s="27" t="s">
        <v>833</v>
      </c>
      <c r="E1238" s="35" t="s">
        <v>844</v>
      </c>
      <c r="F1238" s="17" t="s">
        <v>835</v>
      </c>
      <c r="G1238" s="168"/>
      <c r="AB1238" s="77"/>
      <c r="AD1238" s="31">
        <v>18.149999999999999</v>
      </c>
      <c r="AF1238" s="266"/>
      <c r="AG1238" s="85" t="s">
        <v>863</v>
      </c>
    </row>
    <row r="1239" spans="1:33" ht="20.100000000000001" customHeight="1">
      <c r="A1239" s="16" t="s">
        <v>26</v>
      </c>
      <c r="B1239" s="16">
        <v>2023</v>
      </c>
      <c r="C1239" s="45" t="s">
        <v>87</v>
      </c>
      <c r="D1239" s="27" t="s">
        <v>676</v>
      </c>
      <c r="E1239" s="35" t="s">
        <v>677</v>
      </c>
      <c r="F1239" s="17" t="s">
        <v>861</v>
      </c>
      <c r="G1239" s="168"/>
      <c r="AB1239" s="77"/>
      <c r="AD1239" s="31">
        <v>15.96</v>
      </c>
      <c r="AF1239" s="266"/>
      <c r="AG1239" s="85" t="s">
        <v>863</v>
      </c>
    </row>
    <row r="1240" spans="1:33" ht="20.100000000000001" customHeight="1">
      <c r="A1240" s="16" t="s">
        <v>26</v>
      </c>
      <c r="B1240" s="16">
        <v>2023</v>
      </c>
      <c r="C1240" s="45" t="s">
        <v>87</v>
      </c>
      <c r="D1240" s="27" t="s">
        <v>404</v>
      </c>
      <c r="E1240" s="35" t="s">
        <v>404</v>
      </c>
      <c r="F1240" s="17" t="s">
        <v>830</v>
      </c>
      <c r="G1240" s="168"/>
      <c r="AB1240" s="77"/>
      <c r="AD1240" s="31">
        <v>9.8800000000000008</v>
      </c>
      <c r="AF1240" s="266"/>
      <c r="AG1240" s="85" t="s">
        <v>863</v>
      </c>
    </row>
    <row r="1241" spans="1:33" ht="20.100000000000001" hidden="1" customHeight="1">
      <c r="A1241" s="16" t="s">
        <v>26</v>
      </c>
      <c r="B1241" s="16">
        <v>2023</v>
      </c>
      <c r="C1241" s="45" t="s">
        <v>87</v>
      </c>
      <c r="D1241" s="27" t="s">
        <v>859</v>
      </c>
      <c r="E1241" s="35" t="s">
        <v>859</v>
      </c>
      <c r="F1241" s="17" t="s">
        <v>859</v>
      </c>
      <c r="G1241" s="168"/>
      <c r="AB1241" s="77"/>
      <c r="AD1241" s="31">
        <v>6.88</v>
      </c>
      <c r="AF1241" s="266"/>
      <c r="AG1241" s="85" t="s">
        <v>863</v>
      </c>
    </row>
    <row r="1242" spans="1:33" ht="20.100000000000001" hidden="1" customHeight="1">
      <c r="A1242" s="16" t="s">
        <v>26</v>
      </c>
      <c r="B1242" s="16">
        <v>2023</v>
      </c>
      <c r="C1242" s="45" t="s">
        <v>87</v>
      </c>
      <c r="D1242" s="27" t="s">
        <v>202</v>
      </c>
      <c r="E1242" s="35"/>
      <c r="F1242" s="17" t="s">
        <v>192</v>
      </c>
      <c r="G1242" s="168"/>
      <c r="AB1242" s="77"/>
      <c r="AD1242" s="31">
        <v>0.9</v>
      </c>
      <c r="AF1242" s="266"/>
      <c r="AG1242" s="85" t="s">
        <v>863</v>
      </c>
    </row>
    <row r="1243" spans="1:33" ht="20.100000000000001" hidden="1" customHeight="1">
      <c r="A1243" s="16" t="s">
        <v>26</v>
      </c>
      <c r="B1243" s="16">
        <v>1984</v>
      </c>
      <c r="C1243" s="14" t="s">
        <v>864</v>
      </c>
      <c r="D1243" s="9" t="s">
        <v>865</v>
      </c>
      <c r="E1243" s="17" t="s">
        <v>866</v>
      </c>
      <c r="F1243" s="17"/>
      <c r="G1243" s="169"/>
      <c r="H1243" s="229"/>
      <c r="I1243" s="229">
        <v>10</v>
      </c>
      <c r="J1243" s="229"/>
      <c r="W1243" s="35"/>
      <c r="Z1243" s="35"/>
      <c r="AB1243" s="35"/>
      <c r="AD1243" s="34"/>
      <c r="AE1243" s="35"/>
      <c r="AF1243" s="18"/>
      <c r="AG1243" s="101" t="s">
        <v>867</v>
      </c>
    </row>
    <row r="1244" spans="1:33" ht="20.100000000000001" hidden="1" customHeight="1">
      <c r="A1244" s="16" t="s">
        <v>26</v>
      </c>
      <c r="B1244" s="16">
        <v>1984</v>
      </c>
      <c r="C1244" s="14" t="s">
        <v>864</v>
      </c>
      <c r="D1244" s="9" t="s">
        <v>868</v>
      </c>
      <c r="E1244" s="17" t="s">
        <v>869</v>
      </c>
      <c r="F1244" s="17"/>
      <c r="G1244" s="169"/>
      <c r="H1244" s="229"/>
      <c r="I1244" s="229">
        <v>14</v>
      </c>
      <c r="J1244" s="229"/>
      <c r="W1244" s="16"/>
      <c r="Z1244" s="35"/>
      <c r="AB1244" s="35"/>
      <c r="AD1244" s="34"/>
      <c r="AE1244" s="17"/>
      <c r="AF1244" s="18"/>
      <c r="AG1244" s="95" t="s">
        <v>870</v>
      </c>
    </row>
    <row r="1245" spans="1:33" ht="20.100000000000001" hidden="1" customHeight="1">
      <c r="A1245" s="16" t="s">
        <v>26</v>
      </c>
      <c r="B1245" s="16">
        <v>1984</v>
      </c>
      <c r="C1245" s="14" t="s">
        <v>864</v>
      </c>
      <c r="D1245" s="9" t="s">
        <v>871</v>
      </c>
      <c r="E1245" s="17" t="s">
        <v>871</v>
      </c>
      <c r="F1245" s="17"/>
      <c r="G1245" s="169"/>
      <c r="H1245" s="229"/>
      <c r="I1245" s="169"/>
      <c r="J1245" s="169"/>
      <c r="W1245" s="16"/>
      <c r="Z1245" s="35"/>
      <c r="AB1245" s="35"/>
      <c r="AD1245" s="34"/>
      <c r="AE1245" s="17"/>
      <c r="AF1245" s="148"/>
      <c r="AG1245" s="143"/>
    </row>
    <row r="1246" spans="1:33" ht="20.100000000000001" hidden="1" customHeight="1">
      <c r="A1246" s="16" t="s">
        <v>26</v>
      </c>
      <c r="B1246" s="16">
        <v>1984</v>
      </c>
      <c r="C1246" s="14" t="s">
        <v>864</v>
      </c>
      <c r="D1246" s="9" t="s">
        <v>872</v>
      </c>
      <c r="E1246" s="17" t="s">
        <v>872</v>
      </c>
      <c r="F1246" s="17"/>
      <c r="G1246" s="169"/>
      <c r="H1246" s="229"/>
      <c r="I1246" s="229">
        <v>6</v>
      </c>
      <c r="J1246" s="229"/>
      <c r="W1246" s="16"/>
      <c r="Z1246" s="35"/>
      <c r="AB1246" s="35"/>
      <c r="AD1246" s="34"/>
      <c r="AE1246" s="17"/>
      <c r="AF1246" s="148"/>
      <c r="AG1246" s="143"/>
    </row>
    <row r="1247" spans="1:33" ht="20.100000000000001" hidden="1" customHeight="1">
      <c r="A1247" s="16" t="s">
        <v>26</v>
      </c>
      <c r="B1247" s="16">
        <v>1984</v>
      </c>
      <c r="C1247" s="14" t="s">
        <v>864</v>
      </c>
      <c r="D1247" s="9" t="s">
        <v>873</v>
      </c>
      <c r="E1247" s="17" t="s">
        <v>874</v>
      </c>
      <c r="F1247" s="17"/>
      <c r="G1247" s="169"/>
      <c r="H1247" s="229"/>
      <c r="I1247" s="229">
        <v>9</v>
      </c>
      <c r="J1247" s="229"/>
      <c r="W1247" s="16"/>
      <c r="Z1247" s="35"/>
      <c r="AB1247" s="35"/>
      <c r="AD1247" s="34"/>
      <c r="AE1247" s="17"/>
      <c r="AF1247" s="148"/>
      <c r="AG1247" s="143"/>
    </row>
    <row r="1248" spans="1:33" ht="20.100000000000001" hidden="1" customHeight="1">
      <c r="A1248" s="16" t="s">
        <v>26</v>
      </c>
      <c r="B1248" s="16">
        <v>1984</v>
      </c>
      <c r="C1248" s="14" t="s">
        <v>864</v>
      </c>
      <c r="D1248" s="9" t="s">
        <v>875</v>
      </c>
      <c r="E1248" s="17" t="s">
        <v>875</v>
      </c>
      <c r="F1248" s="17"/>
      <c r="G1248" s="169"/>
      <c r="H1248" s="229"/>
      <c r="I1248" s="229">
        <v>3</v>
      </c>
      <c r="J1248" s="229"/>
      <c r="W1248" s="16"/>
      <c r="Z1248" s="35"/>
      <c r="AB1248" s="35"/>
      <c r="AD1248" s="34"/>
      <c r="AE1248" s="17"/>
      <c r="AF1248" s="148"/>
      <c r="AG1248" s="143"/>
    </row>
    <row r="1249" spans="1:33" ht="20.100000000000001" hidden="1" customHeight="1">
      <c r="A1249" s="16" t="s">
        <v>26</v>
      </c>
      <c r="B1249" s="16">
        <v>1984</v>
      </c>
      <c r="C1249" s="14" t="s">
        <v>864</v>
      </c>
      <c r="D1249" s="9" t="s">
        <v>876</v>
      </c>
      <c r="E1249" s="17" t="s">
        <v>876</v>
      </c>
      <c r="F1249" s="17"/>
      <c r="G1249" s="169"/>
      <c r="H1249" s="229"/>
      <c r="I1249" s="169"/>
      <c r="J1249" s="169"/>
      <c r="W1249" s="16"/>
      <c r="Z1249" s="35"/>
      <c r="AB1249" s="35"/>
      <c r="AD1249" s="34"/>
      <c r="AE1249" s="17"/>
      <c r="AF1249" s="148"/>
      <c r="AG1249" s="143"/>
    </row>
    <row r="1250" spans="1:33" ht="20.100000000000001" hidden="1" customHeight="1">
      <c r="A1250" s="16" t="s">
        <v>26</v>
      </c>
      <c r="B1250" s="16">
        <v>1984</v>
      </c>
      <c r="C1250" s="14" t="s">
        <v>864</v>
      </c>
      <c r="D1250" s="9" t="s">
        <v>877</v>
      </c>
      <c r="E1250" s="17" t="s">
        <v>877</v>
      </c>
      <c r="F1250" s="17"/>
      <c r="G1250" s="169"/>
      <c r="H1250" s="229"/>
      <c r="I1250" s="169"/>
      <c r="J1250" s="169"/>
      <c r="W1250" s="16"/>
      <c r="Z1250" s="35"/>
      <c r="AB1250" s="35"/>
      <c r="AD1250" s="34"/>
      <c r="AE1250" s="17"/>
      <c r="AF1250" s="148"/>
      <c r="AG1250" s="143"/>
    </row>
    <row r="1251" spans="1:33" ht="20.100000000000001" hidden="1" customHeight="1">
      <c r="A1251" s="16" t="s">
        <v>26</v>
      </c>
      <c r="B1251" s="16">
        <v>1984</v>
      </c>
      <c r="C1251" s="14" t="s">
        <v>864</v>
      </c>
      <c r="D1251" s="9" t="s">
        <v>878</v>
      </c>
      <c r="E1251" s="17" t="s">
        <v>879</v>
      </c>
      <c r="F1251" s="17"/>
      <c r="G1251" s="169"/>
      <c r="H1251" s="229"/>
      <c r="I1251" s="169"/>
      <c r="J1251" s="169"/>
      <c r="W1251" s="16"/>
      <c r="Z1251" s="35"/>
      <c r="AB1251" s="35"/>
      <c r="AD1251" s="34"/>
      <c r="AE1251" s="17"/>
      <c r="AF1251" s="148"/>
      <c r="AG1251" s="143"/>
    </row>
    <row r="1252" spans="1:33" ht="20.100000000000001" hidden="1" customHeight="1">
      <c r="A1252" s="16" t="s">
        <v>26</v>
      </c>
      <c r="B1252" s="16">
        <v>1984</v>
      </c>
      <c r="C1252" s="14" t="s">
        <v>864</v>
      </c>
      <c r="D1252" s="9" t="s">
        <v>880</v>
      </c>
      <c r="E1252" s="17" t="s">
        <v>880</v>
      </c>
      <c r="F1252" s="17"/>
      <c r="G1252" s="169"/>
      <c r="H1252" s="229"/>
      <c r="I1252" s="229">
        <v>8</v>
      </c>
      <c r="J1252" s="229"/>
      <c r="W1252" s="16"/>
      <c r="Z1252" s="35"/>
      <c r="AB1252" s="35"/>
      <c r="AD1252" s="34"/>
      <c r="AE1252" s="17"/>
      <c r="AF1252" s="148"/>
      <c r="AG1252" s="143"/>
    </row>
    <row r="1253" spans="1:33" ht="20.100000000000001" hidden="1" customHeight="1">
      <c r="A1253" s="16" t="s">
        <v>26</v>
      </c>
      <c r="B1253" s="16">
        <v>1984</v>
      </c>
      <c r="C1253" s="14" t="s">
        <v>864</v>
      </c>
      <c r="D1253" s="9" t="s">
        <v>881</v>
      </c>
      <c r="E1253" s="17" t="s">
        <v>881</v>
      </c>
      <c r="F1253" s="17"/>
      <c r="G1253" s="169"/>
      <c r="H1253" s="229"/>
      <c r="I1253" s="229">
        <v>5</v>
      </c>
      <c r="J1253" s="229"/>
      <c r="W1253" s="16"/>
      <c r="Z1253" s="35"/>
      <c r="AB1253" s="35"/>
      <c r="AD1253" s="34"/>
      <c r="AE1253" s="17"/>
      <c r="AF1253" s="148"/>
      <c r="AG1253" s="143"/>
    </row>
    <row r="1254" spans="1:33" ht="20.100000000000001" hidden="1" customHeight="1">
      <c r="A1254" s="16" t="s">
        <v>26</v>
      </c>
      <c r="B1254" s="16">
        <v>1984</v>
      </c>
      <c r="C1254" s="14" t="s">
        <v>864</v>
      </c>
      <c r="D1254" s="35" t="s">
        <v>487</v>
      </c>
      <c r="E1254" s="17" t="s">
        <v>882</v>
      </c>
      <c r="F1254" s="17"/>
      <c r="G1254" s="169"/>
      <c r="H1254" s="229"/>
      <c r="I1254" s="229">
        <v>7</v>
      </c>
      <c r="J1254" s="229"/>
      <c r="W1254" s="16"/>
      <c r="Z1254" s="35"/>
      <c r="AB1254" s="35"/>
      <c r="AD1254" s="34"/>
      <c r="AE1254" s="17"/>
      <c r="AF1254" s="148"/>
      <c r="AG1254" s="143"/>
    </row>
    <row r="1255" spans="1:33" ht="20.100000000000001" hidden="1" customHeight="1">
      <c r="A1255" s="16" t="s">
        <v>26</v>
      </c>
      <c r="B1255" s="16">
        <v>1984</v>
      </c>
      <c r="C1255" s="14" t="s">
        <v>864</v>
      </c>
      <c r="D1255" s="27" t="s">
        <v>202</v>
      </c>
      <c r="E1255" s="17" t="s">
        <v>883</v>
      </c>
      <c r="F1255" s="17"/>
      <c r="G1255" s="169"/>
      <c r="H1255" s="229"/>
      <c r="I1255" s="229">
        <v>38</v>
      </c>
      <c r="J1255" s="229"/>
      <c r="W1255" s="16"/>
      <c r="Z1255" s="35"/>
      <c r="AB1255" s="35"/>
      <c r="AD1255" s="34"/>
      <c r="AE1255" s="17"/>
      <c r="AF1255" s="148"/>
      <c r="AG1255" s="143"/>
    </row>
    <row r="1256" spans="1:33" ht="20.100000000000001" hidden="1" customHeight="1">
      <c r="A1256" s="16" t="s">
        <v>26</v>
      </c>
      <c r="B1256" s="16">
        <v>1989</v>
      </c>
      <c r="C1256" s="14" t="s">
        <v>864</v>
      </c>
      <c r="D1256" s="9" t="s">
        <v>865</v>
      </c>
      <c r="E1256" s="17" t="s">
        <v>866</v>
      </c>
      <c r="F1256" s="17"/>
      <c r="G1256" s="169"/>
      <c r="H1256" s="229"/>
      <c r="I1256" s="229">
        <v>14.1</v>
      </c>
      <c r="J1256" s="229"/>
      <c r="W1256" s="16"/>
      <c r="Z1256" s="35"/>
      <c r="AB1256" s="35"/>
      <c r="AD1256" s="34"/>
      <c r="AE1256" s="17"/>
      <c r="AF1256" s="148"/>
      <c r="AG1256" s="143"/>
    </row>
    <row r="1257" spans="1:33" ht="20.100000000000001" hidden="1" customHeight="1">
      <c r="A1257" s="16" t="s">
        <v>26</v>
      </c>
      <c r="B1257" s="16">
        <v>1989</v>
      </c>
      <c r="C1257" s="14" t="s">
        <v>864</v>
      </c>
      <c r="D1257" s="9" t="s">
        <v>868</v>
      </c>
      <c r="E1257" s="17" t="s">
        <v>869</v>
      </c>
      <c r="F1257" s="17"/>
      <c r="G1257" s="169"/>
      <c r="H1257" s="229"/>
      <c r="I1257" s="229">
        <v>11.3</v>
      </c>
      <c r="J1257" s="229"/>
      <c r="W1257" s="16"/>
      <c r="Z1257" s="35"/>
      <c r="AB1257" s="35"/>
      <c r="AD1257" s="34"/>
      <c r="AE1257" s="17"/>
      <c r="AF1257" s="148"/>
      <c r="AG1257" s="143"/>
    </row>
    <row r="1258" spans="1:33" ht="20.100000000000001" hidden="1" customHeight="1">
      <c r="A1258" s="16" t="s">
        <v>26</v>
      </c>
      <c r="B1258" s="16">
        <v>1989</v>
      </c>
      <c r="C1258" s="14" t="s">
        <v>864</v>
      </c>
      <c r="D1258" s="9" t="s">
        <v>871</v>
      </c>
      <c r="E1258" s="17" t="s">
        <v>871</v>
      </c>
      <c r="F1258" s="17"/>
      <c r="G1258" s="169"/>
      <c r="H1258" s="229"/>
      <c r="I1258" s="169"/>
      <c r="J1258" s="169"/>
      <c r="W1258" s="16"/>
      <c r="Z1258" s="35"/>
      <c r="AB1258" s="35"/>
      <c r="AD1258" s="34"/>
      <c r="AE1258" s="17"/>
      <c r="AF1258" s="148"/>
      <c r="AG1258" s="143"/>
    </row>
    <row r="1259" spans="1:33" ht="20.100000000000001" hidden="1" customHeight="1">
      <c r="A1259" s="16" t="s">
        <v>26</v>
      </c>
      <c r="B1259" s="16">
        <v>1989</v>
      </c>
      <c r="C1259" s="14" t="s">
        <v>864</v>
      </c>
      <c r="D1259" s="9" t="s">
        <v>872</v>
      </c>
      <c r="E1259" s="17" t="s">
        <v>872</v>
      </c>
      <c r="F1259" s="17"/>
      <c r="G1259" s="169"/>
      <c r="H1259" s="229"/>
      <c r="I1259" s="229">
        <v>7.7</v>
      </c>
      <c r="J1259" s="229"/>
      <c r="W1259" s="16"/>
      <c r="Z1259" s="35"/>
      <c r="AB1259" s="35"/>
      <c r="AD1259" s="34"/>
      <c r="AE1259" s="17"/>
      <c r="AF1259" s="148"/>
      <c r="AG1259" s="143"/>
    </row>
    <row r="1260" spans="1:33" ht="20.100000000000001" hidden="1" customHeight="1">
      <c r="A1260" s="16" t="s">
        <v>26</v>
      </c>
      <c r="B1260" s="16">
        <v>1989</v>
      </c>
      <c r="C1260" s="14" t="s">
        <v>864</v>
      </c>
      <c r="D1260" s="9" t="s">
        <v>873</v>
      </c>
      <c r="E1260" s="17" t="s">
        <v>874</v>
      </c>
      <c r="F1260" s="17"/>
      <c r="G1260" s="169"/>
      <c r="H1260" s="229"/>
      <c r="I1260" s="229">
        <v>11.1</v>
      </c>
      <c r="J1260" s="229"/>
      <c r="W1260" s="16"/>
      <c r="Z1260" s="35"/>
      <c r="AB1260" s="35"/>
      <c r="AD1260" s="34"/>
      <c r="AE1260" s="17"/>
      <c r="AF1260" s="148"/>
      <c r="AG1260" s="143"/>
    </row>
    <row r="1261" spans="1:33" ht="20.100000000000001" hidden="1" customHeight="1">
      <c r="A1261" s="16" t="s">
        <v>26</v>
      </c>
      <c r="B1261" s="16">
        <v>1989</v>
      </c>
      <c r="C1261" s="14" t="s">
        <v>864</v>
      </c>
      <c r="D1261" s="9" t="s">
        <v>875</v>
      </c>
      <c r="E1261" s="17" t="s">
        <v>875</v>
      </c>
      <c r="F1261" s="17"/>
      <c r="G1261" s="169"/>
      <c r="H1261" s="229"/>
      <c r="I1261" s="229">
        <v>2.4</v>
      </c>
      <c r="J1261" s="229"/>
      <c r="W1261" s="16"/>
      <c r="Z1261" s="35"/>
      <c r="AB1261" s="35"/>
      <c r="AD1261" s="34"/>
      <c r="AE1261" s="17"/>
      <c r="AF1261" s="148"/>
      <c r="AG1261" s="143"/>
    </row>
    <row r="1262" spans="1:33" ht="20.100000000000001" hidden="1" customHeight="1">
      <c r="A1262" s="16" t="s">
        <v>26</v>
      </c>
      <c r="B1262" s="16">
        <v>1989</v>
      </c>
      <c r="C1262" s="14" t="s">
        <v>864</v>
      </c>
      <c r="D1262" s="9" t="s">
        <v>876</v>
      </c>
      <c r="E1262" s="17" t="s">
        <v>876</v>
      </c>
      <c r="F1262" s="17"/>
      <c r="G1262" s="169"/>
      <c r="H1262" s="229"/>
      <c r="I1262" s="169"/>
      <c r="J1262" s="169"/>
      <c r="W1262" s="16"/>
      <c r="Z1262" s="35"/>
      <c r="AB1262" s="35"/>
      <c r="AD1262" s="34"/>
      <c r="AE1262" s="17"/>
      <c r="AF1262" s="148"/>
      <c r="AG1262" s="143"/>
    </row>
    <row r="1263" spans="1:33" ht="20.100000000000001" hidden="1" customHeight="1">
      <c r="A1263" s="16" t="s">
        <v>26</v>
      </c>
      <c r="B1263" s="16">
        <v>1989</v>
      </c>
      <c r="C1263" s="14" t="s">
        <v>864</v>
      </c>
      <c r="D1263" s="9" t="s">
        <v>877</v>
      </c>
      <c r="E1263" s="17" t="s">
        <v>877</v>
      </c>
      <c r="F1263" s="17"/>
      <c r="G1263" s="169"/>
      <c r="H1263" s="229"/>
      <c r="I1263" s="169"/>
      <c r="J1263" s="169"/>
      <c r="W1263" s="16"/>
      <c r="Z1263" s="35"/>
      <c r="AB1263" s="35"/>
      <c r="AD1263" s="34"/>
      <c r="AE1263" s="17"/>
      <c r="AF1263" s="148"/>
      <c r="AG1263" s="143"/>
    </row>
    <row r="1264" spans="1:33" ht="20.100000000000001" hidden="1" customHeight="1">
      <c r="A1264" s="16" t="s">
        <v>26</v>
      </c>
      <c r="B1264" s="16">
        <v>1989</v>
      </c>
      <c r="C1264" s="14" t="s">
        <v>864</v>
      </c>
      <c r="D1264" s="9" t="s">
        <v>878</v>
      </c>
      <c r="E1264" s="17" t="s">
        <v>879</v>
      </c>
      <c r="F1264" s="17"/>
      <c r="G1264" s="169"/>
      <c r="H1264" s="229"/>
      <c r="I1264" s="169"/>
      <c r="J1264" s="169"/>
      <c r="W1264" s="16"/>
      <c r="Z1264" s="35"/>
      <c r="AB1264" s="35"/>
      <c r="AD1264" s="34"/>
      <c r="AE1264" s="17"/>
      <c r="AF1264" s="148"/>
      <c r="AG1264" s="143"/>
    </row>
    <row r="1265" spans="1:33" ht="20.100000000000001" hidden="1" customHeight="1">
      <c r="A1265" s="16" t="s">
        <v>26</v>
      </c>
      <c r="B1265" s="16">
        <v>1989</v>
      </c>
      <c r="C1265" s="14" t="s">
        <v>864</v>
      </c>
      <c r="D1265" s="9" t="s">
        <v>880</v>
      </c>
      <c r="E1265" s="17" t="s">
        <v>880</v>
      </c>
      <c r="F1265" s="17"/>
      <c r="G1265" s="169"/>
      <c r="H1265" s="229"/>
      <c r="I1265" s="229">
        <v>9.8000000000000007</v>
      </c>
      <c r="J1265" s="229"/>
      <c r="W1265" s="16"/>
      <c r="Z1265" s="35"/>
      <c r="AB1265" s="35"/>
      <c r="AD1265" s="34"/>
      <c r="AE1265" s="17"/>
      <c r="AF1265" s="148"/>
      <c r="AG1265" s="143"/>
    </row>
    <row r="1266" spans="1:33" ht="20.100000000000001" hidden="1" customHeight="1">
      <c r="A1266" s="16" t="s">
        <v>26</v>
      </c>
      <c r="B1266" s="16">
        <v>1989</v>
      </c>
      <c r="C1266" s="14" t="s">
        <v>864</v>
      </c>
      <c r="D1266" s="9" t="s">
        <v>881</v>
      </c>
      <c r="E1266" s="17" t="s">
        <v>881</v>
      </c>
      <c r="F1266" s="17"/>
      <c r="G1266" s="169"/>
      <c r="H1266" s="229"/>
      <c r="I1266" s="169"/>
      <c r="J1266" s="169"/>
      <c r="W1266" s="16"/>
      <c r="Z1266" s="35"/>
      <c r="AB1266" s="35"/>
      <c r="AD1266" s="34"/>
      <c r="AE1266" s="17"/>
      <c r="AF1266" s="148"/>
      <c r="AG1266" s="143"/>
    </row>
    <row r="1267" spans="1:33" ht="20.100000000000001" hidden="1" customHeight="1">
      <c r="A1267" s="16" t="s">
        <v>26</v>
      </c>
      <c r="B1267" s="16">
        <v>1989</v>
      </c>
      <c r="C1267" s="14" t="s">
        <v>864</v>
      </c>
      <c r="D1267" s="35" t="s">
        <v>487</v>
      </c>
      <c r="E1267" s="17" t="s">
        <v>882</v>
      </c>
      <c r="F1267" s="17"/>
      <c r="G1267" s="169"/>
      <c r="H1267" s="229"/>
      <c r="I1267" s="229">
        <v>10.5</v>
      </c>
      <c r="J1267" s="229"/>
      <c r="W1267" s="16"/>
      <c r="Z1267" s="35"/>
      <c r="AB1267" s="35"/>
      <c r="AD1267" s="34"/>
      <c r="AE1267" s="17"/>
      <c r="AF1267" s="148"/>
      <c r="AG1267" s="143"/>
    </row>
    <row r="1268" spans="1:33" ht="20.100000000000001" hidden="1" customHeight="1">
      <c r="A1268" s="16" t="s">
        <v>26</v>
      </c>
      <c r="B1268" s="16">
        <v>1989</v>
      </c>
      <c r="C1268" s="14" t="s">
        <v>864</v>
      </c>
      <c r="D1268" s="27" t="s">
        <v>202</v>
      </c>
      <c r="E1268" s="17" t="s">
        <v>883</v>
      </c>
      <c r="F1268" s="17"/>
      <c r="G1268" s="169"/>
      <c r="H1268" s="229"/>
      <c r="I1268" s="229">
        <v>33.1</v>
      </c>
      <c r="J1268" s="229"/>
      <c r="W1268" s="16"/>
      <c r="Z1268" s="35"/>
      <c r="AB1268" s="35"/>
      <c r="AD1268" s="34"/>
      <c r="AE1268" s="17"/>
      <c r="AF1268" s="148"/>
      <c r="AG1268" s="143"/>
    </row>
    <row r="1269" spans="1:33" ht="20.100000000000001" hidden="1" customHeight="1">
      <c r="A1269" s="16" t="s">
        <v>26</v>
      </c>
      <c r="B1269" s="16">
        <v>1992</v>
      </c>
      <c r="C1269" s="14" t="s">
        <v>864</v>
      </c>
      <c r="D1269" s="9" t="s">
        <v>865</v>
      </c>
      <c r="E1269" s="17" t="s">
        <v>866</v>
      </c>
      <c r="F1269" s="17"/>
      <c r="G1269" s="169"/>
      <c r="H1269" s="229"/>
      <c r="I1269" s="229">
        <v>15.2</v>
      </c>
      <c r="J1269" s="229"/>
      <c r="W1269" s="16"/>
      <c r="Z1269" s="35"/>
      <c r="AB1269" s="35"/>
      <c r="AD1269" s="34"/>
      <c r="AE1269" s="17"/>
      <c r="AF1269" s="148"/>
      <c r="AG1269" s="143"/>
    </row>
    <row r="1270" spans="1:33" ht="20.100000000000001" hidden="1" customHeight="1">
      <c r="A1270" s="16" t="s">
        <v>26</v>
      </c>
      <c r="B1270" s="16">
        <v>1992</v>
      </c>
      <c r="C1270" s="14" t="s">
        <v>864</v>
      </c>
      <c r="D1270" s="9" t="s">
        <v>868</v>
      </c>
      <c r="E1270" s="17" t="s">
        <v>869</v>
      </c>
      <c r="F1270" s="17"/>
      <c r="G1270" s="169"/>
      <c r="H1270" s="229"/>
      <c r="I1270" s="229">
        <v>8.8000000000000007</v>
      </c>
      <c r="J1270" s="229"/>
      <c r="W1270" s="16"/>
      <c r="Z1270" s="35"/>
      <c r="AB1270" s="35"/>
      <c r="AD1270" s="34"/>
      <c r="AE1270" s="17"/>
      <c r="AF1270" s="148"/>
      <c r="AG1270" s="143"/>
    </row>
    <row r="1271" spans="1:33" ht="20.100000000000001" hidden="1" customHeight="1">
      <c r="A1271" s="16" t="s">
        <v>26</v>
      </c>
      <c r="B1271" s="16">
        <v>1992</v>
      </c>
      <c r="C1271" s="14" t="s">
        <v>864</v>
      </c>
      <c r="D1271" s="9" t="s">
        <v>871</v>
      </c>
      <c r="E1271" s="17" t="s">
        <v>871</v>
      </c>
      <c r="F1271" s="17"/>
      <c r="G1271" s="169"/>
      <c r="H1271" s="229"/>
      <c r="I1271" s="169"/>
      <c r="J1271" s="169"/>
      <c r="W1271" s="16"/>
      <c r="Z1271" s="35"/>
      <c r="AB1271" s="35"/>
      <c r="AD1271" s="34"/>
      <c r="AE1271" s="17"/>
      <c r="AF1271" s="148"/>
      <c r="AG1271" s="143"/>
    </row>
    <row r="1272" spans="1:33" ht="20.100000000000001" hidden="1" customHeight="1">
      <c r="A1272" s="16" t="s">
        <v>26</v>
      </c>
      <c r="B1272" s="16">
        <v>1992</v>
      </c>
      <c r="C1272" s="14" t="s">
        <v>864</v>
      </c>
      <c r="D1272" s="9" t="s">
        <v>872</v>
      </c>
      <c r="E1272" s="17" t="s">
        <v>872</v>
      </c>
      <c r="F1272" s="17"/>
      <c r="G1272" s="169"/>
      <c r="H1272" s="229"/>
      <c r="I1272" s="229">
        <v>5.7</v>
      </c>
      <c r="J1272" s="229"/>
      <c r="W1272" s="16"/>
      <c r="AB1272" s="35"/>
      <c r="AD1272" s="34"/>
      <c r="AE1272" s="17"/>
      <c r="AF1272" s="148"/>
      <c r="AG1272" s="143"/>
    </row>
    <row r="1273" spans="1:33" ht="20.100000000000001" hidden="1" customHeight="1">
      <c r="A1273" s="16" t="s">
        <v>26</v>
      </c>
      <c r="B1273" s="16">
        <v>1992</v>
      </c>
      <c r="C1273" s="14" t="s">
        <v>864</v>
      </c>
      <c r="D1273" s="9" t="s">
        <v>873</v>
      </c>
      <c r="E1273" s="17" t="s">
        <v>874</v>
      </c>
      <c r="F1273" s="17"/>
      <c r="G1273" s="169"/>
      <c r="H1273" s="229"/>
      <c r="I1273" s="229">
        <v>11</v>
      </c>
      <c r="J1273" s="229"/>
      <c r="W1273" s="16"/>
      <c r="AB1273" s="35"/>
      <c r="AD1273" s="34"/>
      <c r="AE1273" s="17"/>
      <c r="AF1273" s="148"/>
      <c r="AG1273" s="143"/>
    </row>
    <row r="1274" spans="1:33" ht="20.100000000000001" hidden="1" customHeight="1">
      <c r="A1274" s="16" t="s">
        <v>26</v>
      </c>
      <c r="B1274" s="16">
        <v>1992</v>
      </c>
      <c r="C1274" s="14" t="s">
        <v>864</v>
      </c>
      <c r="D1274" s="9" t="s">
        <v>875</v>
      </c>
      <c r="E1274" s="17" t="s">
        <v>875</v>
      </c>
      <c r="F1274" s="17"/>
      <c r="G1274" s="169"/>
      <c r="H1274" s="229"/>
      <c r="I1274" s="229">
        <v>4.0999999999999996</v>
      </c>
      <c r="J1274" s="229"/>
      <c r="W1274" s="16"/>
      <c r="AB1274" s="35"/>
      <c r="AD1274" s="34"/>
      <c r="AE1274" s="17"/>
      <c r="AF1274" s="148"/>
      <c r="AG1274" s="143"/>
    </row>
    <row r="1275" spans="1:33" ht="20.100000000000001" hidden="1" customHeight="1">
      <c r="A1275" s="16" t="s">
        <v>26</v>
      </c>
      <c r="B1275" s="16">
        <v>1992</v>
      </c>
      <c r="C1275" s="14" t="s">
        <v>864</v>
      </c>
      <c r="D1275" s="9" t="s">
        <v>876</v>
      </c>
      <c r="E1275" s="17" t="s">
        <v>876</v>
      </c>
      <c r="F1275" s="17"/>
      <c r="G1275" s="169"/>
      <c r="H1275" s="229"/>
      <c r="I1275" s="169"/>
      <c r="J1275" s="169"/>
      <c r="W1275" s="16"/>
      <c r="AB1275" s="35"/>
      <c r="AD1275" s="34"/>
      <c r="AE1275" s="17"/>
      <c r="AF1275" s="148"/>
      <c r="AG1275" s="143"/>
    </row>
    <row r="1276" spans="1:33" ht="20.100000000000001" hidden="1" customHeight="1">
      <c r="A1276" s="16" t="s">
        <v>26</v>
      </c>
      <c r="B1276" s="16">
        <v>1992</v>
      </c>
      <c r="C1276" s="14" t="s">
        <v>864</v>
      </c>
      <c r="D1276" s="9" t="s">
        <v>877</v>
      </c>
      <c r="E1276" s="17" t="s">
        <v>877</v>
      </c>
      <c r="F1276" s="17"/>
      <c r="G1276" s="169"/>
      <c r="H1276" s="229"/>
      <c r="I1276" s="169"/>
      <c r="J1276" s="169"/>
      <c r="W1276" s="16"/>
      <c r="AB1276" s="35"/>
      <c r="AD1276" s="34"/>
      <c r="AE1276" s="17"/>
      <c r="AF1276" s="148"/>
      <c r="AG1276" s="143"/>
    </row>
    <row r="1277" spans="1:33" ht="20.100000000000001" hidden="1" customHeight="1">
      <c r="A1277" s="16" t="s">
        <v>26</v>
      </c>
      <c r="B1277" s="16">
        <v>1992</v>
      </c>
      <c r="C1277" s="14" t="s">
        <v>864</v>
      </c>
      <c r="D1277" s="9" t="s">
        <v>878</v>
      </c>
      <c r="E1277" s="17" t="s">
        <v>879</v>
      </c>
      <c r="F1277" s="17"/>
      <c r="G1277" s="169"/>
      <c r="H1277" s="229"/>
      <c r="I1277" s="229">
        <v>10.5</v>
      </c>
      <c r="J1277" s="229"/>
      <c r="W1277" s="16"/>
      <c r="AB1277" s="35"/>
      <c r="AD1277" s="34"/>
      <c r="AE1277" s="17"/>
      <c r="AF1277" s="148"/>
      <c r="AG1277" s="143"/>
    </row>
    <row r="1278" spans="1:33" ht="20.100000000000001" hidden="1" customHeight="1">
      <c r="A1278" s="16" t="s">
        <v>26</v>
      </c>
      <c r="B1278" s="16">
        <v>1992</v>
      </c>
      <c r="C1278" s="14" t="s">
        <v>864</v>
      </c>
      <c r="D1278" s="9" t="s">
        <v>880</v>
      </c>
      <c r="E1278" s="17" t="s">
        <v>880</v>
      </c>
      <c r="F1278" s="17"/>
      <c r="G1278" s="169"/>
      <c r="H1278" s="229"/>
      <c r="I1278" s="169"/>
      <c r="J1278" s="169"/>
      <c r="W1278" s="16"/>
      <c r="AB1278" s="35"/>
      <c r="AD1278" s="34"/>
      <c r="AE1278" s="17"/>
      <c r="AF1278" s="148"/>
      <c r="AG1278" s="143"/>
    </row>
    <row r="1279" spans="1:33" ht="20.100000000000001" hidden="1" customHeight="1">
      <c r="A1279" s="16" t="s">
        <v>26</v>
      </c>
      <c r="B1279" s="16">
        <v>1992</v>
      </c>
      <c r="C1279" s="14" t="s">
        <v>864</v>
      </c>
      <c r="D1279" s="9" t="s">
        <v>881</v>
      </c>
      <c r="E1279" s="17" t="s">
        <v>881</v>
      </c>
      <c r="F1279" s="17"/>
      <c r="G1279" s="169"/>
      <c r="H1279" s="229"/>
      <c r="I1279" s="169"/>
      <c r="J1279" s="169"/>
      <c r="W1279" s="16"/>
      <c r="AB1279" s="35"/>
      <c r="AD1279" s="34"/>
      <c r="AE1279" s="17"/>
      <c r="AF1279" s="148"/>
      <c r="AG1279" s="143"/>
    </row>
    <row r="1280" spans="1:33" ht="20.100000000000001" hidden="1" customHeight="1">
      <c r="A1280" s="16" t="s">
        <v>26</v>
      </c>
      <c r="B1280" s="16">
        <v>1992</v>
      </c>
      <c r="C1280" s="14" t="s">
        <v>864</v>
      </c>
      <c r="D1280" s="35" t="s">
        <v>487</v>
      </c>
      <c r="E1280" s="17" t="s">
        <v>882</v>
      </c>
      <c r="F1280" s="17"/>
      <c r="G1280" s="169"/>
      <c r="H1280" s="229"/>
      <c r="I1280" s="229">
        <v>13.3</v>
      </c>
      <c r="J1280" s="229"/>
      <c r="W1280" s="16"/>
      <c r="AB1280" s="35"/>
      <c r="AD1280" s="34"/>
      <c r="AE1280" s="17"/>
      <c r="AF1280" s="148"/>
      <c r="AG1280" s="143"/>
    </row>
    <row r="1281" spans="1:33" ht="20.100000000000001" hidden="1" customHeight="1">
      <c r="A1281" s="16" t="s">
        <v>26</v>
      </c>
      <c r="B1281" s="16">
        <v>1992</v>
      </c>
      <c r="C1281" s="14" t="s">
        <v>864</v>
      </c>
      <c r="D1281" s="27" t="s">
        <v>202</v>
      </c>
      <c r="E1281" s="17" t="s">
        <v>883</v>
      </c>
      <c r="F1281" s="17"/>
      <c r="G1281" s="169"/>
      <c r="H1281" s="229"/>
      <c r="I1281" s="229">
        <v>31.4</v>
      </c>
      <c r="J1281" s="229"/>
      <c r="W1281" s="16"/>
      <c r="AB1281" s="35"/>
      <c r="AD1281" s="34"/>
      <c r="AE1281" s="17"/>
      <c r="AF1281" s="148"/>
      <c r="AG1281" s="143"/>
    </row>
    <row r="1282" spans="1:33" ht="20.100000000000001" hidden="1" customHeight="1">
      <c r="A1282" s="16" t="s">
        <v>26</v>
      </c>
      <c r="B1282" s="16">
        <v>1996</v>
      </c>
      <c r="C1282" s="14" t="s">
        <v>864</v>
      </c>
      <c r="D1282" s="9" t="s">
        <v>865</v>
      </c>
      <c r="E1282" s="17" t="s">
        <v>866</v>
      </c>
      <c r="F1282" s="17"/>
      <c r="G1282" s="169"/>
      <c r="H1282" s="229"/>
      <c r="I1282" s="229">
        <v>14.7</v>
      </c>
      <c r="J1282" s="229"/>
      <c r="W1282" s="16"/>
      <c r="AB1282" s="35"/>
      <c r="AD1282" s="34"/>
      <c r="AE1282" s="17"/>
      <c r="AF1282" s="148"/>
      <c r="AG1282" s="143"/>
    </row>
    <row r="1283" spans="1:33" ht="20.100000000000001" hidden="1" customHeight="1">
      <c r="A1283" s="16" t="s">
        <v>26</v>
      </c>
      <c r="B1283" s="16">
        <v>1996</v>
      </c>
      <c r="C1283" s="14" t="s">
        <v>864</v>
      </c>
      <c r="D1283" s="9" t="s">
        <v>868</v>
      </c>
      <c r="E1283" s="17" t="s">
        <v>869</v>
      </c>
      <c r="F1283" s="17"/>
      <c r="G1283" s="169"/>
      <c r="H1283" s="229"/>
      <c r="I1283" s="229">
        <v>11.6</v>
      </c>
      <c r="J1283" s="229"/>
      <c r="W1283" s="16"/>
      <c r="AB1283" s="35"/>
      <c r="AD1283" s="34"/>
      <c r="AE1283" s="17"/>
      <c r="AF1283" s="148"/>
      <c r="AG1283" s="143"/>
    </row>
    <row r="1284" spans="1:33" ht="20.100000000000001" hidden="1" customHeight="1">
      <c r="A1284" s="16" t="s">
        <v>26</v>
      </c>
      <c r="B1284" s="16">
        <v>1996</v>
      </c>
      <c r="C1284" s="14" t="s">
        <v>864</v>
      </c>
      <c r="D1284" s="9" t="s">
        <v>871</v>
      </c>
      <c r="E1284" s="17" t="s">
        <v>871</v>
      </c>
      <c r="F1284" s="17"/>
      <c r="G1284" s="169"/>
      <c r="H1284" s="229"/>
      <c r="I1284" s="169"/>
      <c r="J1284" s="169"/>
      <c r="W1284" s="16"/>
      <c r="AB1284" s="35"/>
      <c r="AD1284" s="34"/>
      <c r="AE1284" s="17"/>
      <c r="AF1284" s="148"/>
      <c r="AG1284" s="143"/>
    </row>
    <row r="1285" spans="1:33" ht="20.100000000000001" hidden="1" customHeight="1">
      <c r="A1285" s="16" t="s">
        <v>26</v>
      </c>
      <c r="B1285" s="16">
        <v>1996</v>
      </c>
      <c r="C1285" s="14" t="s">
        <v>864</v>
      </c>
      <c r="D1285" s="9" t="s">
        <v>872</v>
      </c>
      <c r="E1285" s="17" t="s">
        <v>872</v>
      </c>
      <c r="F1285" s="17"/>
      <c r="G1285" s="169"/>
      <c r="H1285" s="229"/>
      <c r="I1285" s="229">
        <v>8.1999999999999993</v>
      </c>
      <c r="J1285" s="229"/>
      <c r="W1285" s="16"/>
      <c r="AB1285" s="35"/>
      <c r="AD1285" s="34"/>
      <c r="AE1285" s="17"/>
      <c r="AF1285" s="148"/>
      <c r="AG1285" s="143"/>
    </row>
    <row r="1286" spans="1:33" ht="20.100000000000001" hidden="1" customHeight="1">
      <c r="A1286" s="16" t="s">
        <v>26</v>
      </c>
      <c r="B1286" s="16">
        <v>1996</v>
      </c>
      <c r="C1286" s="14" t="s">
        <v>864</v>
      </c>
      <c r="D1286" s="9" t="s">
        <v>873</v>
      </c>
      <c r="E1286" s="17" t="s">
        <v>874</v>
      </c>
      <c r="F1286" s="17"/>
      <c r="G1286" s="169"/>
      <c r="H1286" s="229"/>
      <c r="I1286" s="229">
        <v>14.2</v>
      </c>
      <c r="J1286" s="229"/>
      <c r="W1286" s="16"/>
      <c r="AB1286" s="35"/>
      <c r="AD1286" s="34"/>
      <c r="AE1286" s="17"/>
      <c r="AF1286" s="148"/>
      <c r="AG1286" s="143"/>
    </row>
    <row r="1287" spans="1:33" ht="20.100000000000001" hidden="1" customHeight="1">
      <c r="A1287" s="16" t="s">
        <v>26</v>
      </c>
      <c r="B1287" s="16">
        <v>1996</v>
      </c>
      <c r="C1287" s="14" t="s">
        <v>864</v>
      </c>
      <c r="D1287" s="9" t="s">
        <v>875</v>
      </c>
      <c r="E1287" s="17" t="s">
        <v>875</v>
      </c>
      <c r="F1287" s="17"/>
      <c r="G1287" s="169"/>
      <c r="H1287" s="229"/>
      <c r="I1287" s="169"/>
      <c r="J1287" s="169"/>
      <c r="W1287" s="16"/>
      <c r="AB1287" s="35"/>
      <c r="AD1287" s="34"/>
      <c r="AE1287" s="17"/>
      <c r="AF1287" s="148"/>
      <c r="AG1287" s="143"/>
    </row>
    <row r="1288" spans="1:33" ht="20.100000000000001" hidden="1" customHeight="1">
      <c r="A1288" s="16" t="s">
        <v>26</v>
      </c>
      <c r="B1288" s="16">
        <v>1996</v>
      </c>
      <c r="C1288" s="14" t="s">
        <v>864</v>
      </c>
      <c r="D1288" s="9" t="s">
        <v>876</v>
      </c>
      <c r="E1288" s="17" t="s">
        <v>876</v>
      </c>
      <c r="F1288" s="17"/>
      <c r="G1288" s="169"/>
      <c r="H1288" s="229"/>
      <c r="I1288" s="169"/>
      <c r="J1288" s="169"/>
      <c r="W1288" s="16"/>
      <c r="AB1288" s="35"/>
      <c r="AD1288" s="34"/>
      <c r="AE1288" s="17"/>
      <c r="AF1288" s="148"/>
      <c r="AG1288" s="143"/>
    </row>
    <row r="1289" spans="1:33" ht="20.100000000000001" hidden="1" customHeight="1">
      <c r="A1289" s="16" t="s">
        <v>26</v>
      </c>
      <c r="B1289" s="16">
        <v>1996</v>
      </c>
      <c r="C1289" s="14" t="s">
        <v>864</v>
      </c>
      <c r="D1289" s="9" t="s">
        <v>877</v>
      </c>
      <c r="E1289" s="17" t="s">
        <v>877</v>
      </c>
      <c r="F1289" s="17"/>
      <c r="G1289" s="169"/>
      <c r="H1289" s="229"/>
      <c r="I1289" s="169"/>
      <c r="J1289" s="169"/>
      <c r="W1289" s="16"/>
      <c r="AB1289" s="35"/>
      <c r="AD1289" s="34"/>
      <c r="AE1289" s="17"/>
      <c r="AF1289" s="148"/>
      <c r="AG1289" s="143"/>
    </row>
    <row r="1290" spans="1:33" ht="20.100000000000001" hidden="1" customHeight="1">
      <c r="A1290" s="16" t="s">
        <v>26</v>
      </c>
      <c r="B1290" s="16">
        <v>1996</v>
      </c>
      <c r="C1290" s="14" t="s">
        <v>864</v>
      </c>
      <c r="D1290" s="9" t="s">
        <v>878</v>
      </c>
      <c r="E1290" s="17" t="s">
        <v>879</v>
      </c>
      <c r="F1290" s="17"/>
      <c r="G1290" s="169"/>
      <c r="H1290" s="229"/>
      <c r="I1290" s="229">
        <v>11.7</v>
      </c>
      <c r="J1290" s="229"/>
      <c r="W1290" s="16"/>
      <c r="AB1290" s="35"/>
      <c r="AD1290" s="34"/>
      <c r="AE1290" s="17"/>
      <c r="AF1290" s="148"/>
      <c r="AG1290" s="143"/>
    </row>
    <row r="1291" spans="1:33" ht="20.100000000000001" hidden="1" customHeight="1">
      <c r="A1291" s="16" t="s">
        <v>26</v>
      </c>
      <c r="B1291" s="16">
        <v>1996</v>
      </c>
      <c r="C1291" s="14" t="s">
        <v>864</v>
      </c>
      <c r="D1291" s="9" t="s">
        <v>880</v>
      </c>
      <c r="E1291" s="17" t="s">
        <v>880</v>
      </c>
      <c r="F1291" s="17"/>
      <c r="G1291" s="169"/>
      <c r="H1291" s="229"/>
      <c r="I1291" s="169"/>
      <c r="J1291" s="169"/>
      <c r="W1291" s="16"/>
      <c r="AB1291" s="35"/>
      <c r="AD1291" s="34"/>
      <c r="AE1291" s="17"/>
      <c r="AF1291" s="148"/>
      <c r="AG1291" s="143"/>
    </row>
    <row r="1292" spans="1:33" ht="20.100000000000001" hidden="1" customHeight="1">
      <c r="A1292" s="16" t="s">
        <v>26</v>
      </c>
      <c r="B1292" s="16">
        <v>1996</v>
      </c>
      <c r="C1292" s="14" t="s">
        <v>864</v>
      </c>
      <c r="D1292" s="9" t="s">
        <v>881</v>
      </c>
      <c r="E1292" s="17" t="s">
        <v>881</v>
      </c>
      <c r="F1292" s="17"/>
      <c r="G1292" s="169"/>
      <c r="H1292" s="229"/>
      <c r="I1292" s="169"/>
      <c r="J1292" s="169"/>
      <c r="W1292" s="16"/>
      <c r="AB1292" s="35"/>
      <c r="AD1292" s="34"/>
      <c r="AE1292" s="17"/>
      <c r="AF1292" s="148"/>
      <c r="AG1292" s="143"/>
    </row>
    <row r="1293" spans="1:33" ht="20.100000000000001" hidden="1" customHeight="1">
      <c r="A1293" s="16" t="s">
        <v>26</v>
      </c>
      <c r="B1293" s="16">
        <v>1996</v>
      </c>
      <c r="C1293" s="14" t="s">
        <v>864</v>
      </c>
      <c r="D1293" s="35" t="s">
        <v>487</v>
      </c>
      <c r="E1293" s="17" t="s">
        <v>882</v>
      </c>
      <c r="F1293" s="17"/>
      <c r="G1293" s="169"/>
      <c r="H1293" s="229"/>
      <c r="I1293" s="229">
        <v>12.1</v>
      </c>
      <c r="J1293" s="229"/>
      <c r="W1293" s="16"/>
      <c r="AB1293" s="35"/>
      <c r="AD1293" s="34"/>
      <c r="AE1293" s="17"/>
      <c r="AF1293" s="148"/>
      <c r="AG1293" s="143"/>
    </row>
    <row r="1294" spans="1:33" ht="20.100000000000001" hidden="1" customHeight="1">
      <c r="A1294" s="16" t="s">
        <v>26</v>
      </c>
      <c r="B1294" s="16">
        <v>1996</v>
      </c>
      <c r="C1294" s="14" t="s">
        <v>864</v>
      </c>
      <c r="D1294" s="27" t="s">
        <v>202</v>
      </c>
      <c r="E1294" s="17" t="s">
        <v>883</v>
      </c>
      <c r="F1294" s="17"/>
      <c r="G1294" s="169"/>
      <c r="H1294" s="229"/>
      <c r="I1294" s="229">
        <v>27.5</v>
      </c>
      <c r="J1294" s="229"/>
      <c r="W1294" s="16"/>
      <c r="AB1294" s="35"/>
      <c r="AD1294" s="34"/>
      <c r="AE1294" s="17"/>
      <c r="AF1294" s="148"/>
      <c r="AG1294" s="143"/>
    </row>
    <row r="1295" spans="1:33" ht="20.100000000000001" hidden="1" customHeight="1">
      <c r="A1295" s="16" t="s">
        <v>26</v>
      </c>
      <c r="B1295" s="16">
        <v>2000</v>
      </c>
      <c r="C1295" s="14" t="s">
        <v>864</v>
      </c>
      <c r="D1295" s="9" t="s">
        <v>865</v>
      </c>
      <c r="E1295" s="17" t="s">
        <v>866</v>
      </c>
      <c r="F1295" s="17"/>
      <c r="G1295" s="168"/>
      <c r="H1295" s="170">
        <f>1957*I1295%</f>
        <v>195.70000000000002</v>
      </c>
      <c r="I1295" s="170">
        <v>10</v>
      </c>
      <c r="W1295" s="16"/>
      <c r="AB1295" s="35"/>
      <c r="AD1295" s="34"/>
      <c r="AE1295" s="17"/>
      <c r="AF1295" s="148"/>
      <c r="AG1295" s="143"/>
    </row>
    <row r="1296" spans="1:33" ht="20.100000000000001" hidden="1" customHeight="1">
      <c r="A1296" s="16" t="s">
        <v>26</v>
      </c>
      <c r="B1296" s="16">
        <v>2000</v>
      </c>
      <c r="C1296" s="14" t="s">
        <v>864</v>
      </c>
      <c r="D1296" s="9" t="s">
        <v>868</v>
      </c>
      <c r="E1296" s="17" t="s">
        <v>869</v>
      </c>
      <c r="F1296" s="17"/>
      <c r="G1296" s="168"/>
      <c r="H1296" s="170">
        <f>1957*I1296%</f>
        <v>195.70000000000002</v>
      </c>
      <c r="I1296" s="170">
        <v>10</v>
      </c>
      <c r="W1296" s="16"/>
      <c r="AB1296" s="35"/>
      <c r="AD1296" s="34"/>
      <c r="AE1296" s="17"/>
      <c r="AF1296" s="148"/>
      <c r="AG1296" s="143"/>
    </row>
    <row r="1297" spans="1:33" ht="20.100000000000001" hidden="1" customHeight="1">
      <c r="A1297" s="16" t="s">
        <v>26</v>
      </c>
      <c r="B1297" s="16">
        <v>2000</v>
      </c>
      <c r="C1297" s="14" t="s">
        <v>864</v>
      </c>
      <c r="D1297" s="9" t="s">
        <v>871</v>
      </c>
      <c r="E1297" s="17" t="s">
        <v>871</v>
      </c>
      <c r="F1297" s="17"/>
      <c r="G1297" s="168"/>
      <c r="H1297" s="170">
        <f>1957*I1297%</f>
        <v>156.56</v>
      </c>
      <c r="I1297" s="170">
        <v>8</v>
      </c>
      <c r="W1297" s="16"/>
      <c r="AB1297" s="35"/>
      <c r="AD1297" s="34"/>
      <c r="AE1297" s="17"/>
      <c r="AF1297" s="148"/>
      <c r="AG1297" s="143"/>
    </row>
    <row r="1298" spans="1:33" ht="20.100000000000001" hidden="1" customHeight="1">
      <c r="A1298" s="16" t="s">
        <v>26</v>
      </c>
      <c r="B1298" s="16">
        <v>2000</v>
      </c>
      <c r="C1298" s="14" t="s">
        <v>864</v>
      </c>
      <c r="D1298" s="9" t="s">
        <v>872</v>
      </c>
      <c r="E1298" s="17" t="s">
        <v>872</v>
      </c>
      <c r="F1298" s="17"/>
      <c r="G1298" s="168"/>
      <c r="H1298" s="170">
        <f>1957*I1298%</f>
        <v>176.13</v>
      </c>
      <c r="I1298" s="170">
        <v>9</v>
      </c>
      <c r="W1298" s="16"/>
      <c r="AB1298" s="35"/>
      <c r="AD1298" s="34"/>
      <c r="AE1298" s="17"/>
      <c r="AF1298" s="148"/>
      <c r="AG1298" s="143"/>
    </row>
    <row r="1299" spans="1:33" ht="20.100000000000001" hidden="1" customHeight="1">
      <c r="A1299" s="16" t="s">
        <v>26</v>
      </c>
      <c r="B1299" s="16">
        <v>2000</v>
      </c>
      <c r="C1299" s="14" t="s">
        <v>864</v>
      </c>
      <c r="D1299" s="9" t="s">
        <v>873</v>
      </c>
      <c r="E1299" s="17" t="s">
        <v>874</v>
      </c>
      <c r="F1299" s="17"/>
      <c r="G1299" s="168"/>
      <c r="H1299" s="170">
        <f>1957*I1299%</f>
        <v>254.41</v>
      </c>
      <c r="I1299" s="170">
        <v>13</v>
      </c>
      <c r="W1299" s="16"/>
      <c r="AB1299" s="35"/>
      <c r="AD1299" s="34"/>
      <c r="AE1299" s="17"/>
      <c r="AF1299" s="148"/>
      <c r="AG1299" s="143"/>
    </row>
    <row r="1300" spans="1:33" ht="20.100000000000001" hidden="1" customHeight="1">
      <c r="A1300" s="16" t="s">
        <v>26</v>
      </c>
      <c r="B1300" s="16">
        <v>2000</v>
      </c>
      <c r="C1300" s="14" t="s">
        <v>864</v>
      </c>
      <c r="D1300" s="9" t="s">
        <v>875</v>
      </c>
      <c r="E1300" s="17" t="s">
        <v>875</v>
      </c>
      <c r="F1300" s="17"/>
      <c r="G1300" s="169"/>
      <c r="H1300" s="169"/>
      <c r="I1300" s="169"/>
      <c r="J1300" s="169"/>
      <c r="W1300" s="16"/>
      <c r="AB1300" s="35"/>
      <c r="AD1300" s="34"/>
      <c r="AE1300" s="17"/>
      <c r="AF1300" s="148"/>
      <c r="AG1300" s="143"/>
    </row>
    <row r="1301" spans="1:33" ht="20.100000000000001" hidden="1" customHeight="1">
      <c r="A1301" s="16" t="s">
        <v>26</v>
      </c>
      <c r="B1301" s="16">
        <v>2000</v>
      </c>
      <c r="C1301" s="14" t="s">
        <v>864</v>
      </c>
      <c r="D1301" s="9" t="s">
        <v>876</v>
      </c>
      <c r="E1301" s="17" t="s">
        <v>876</v>
      </c>
      <c r="F1301" s="17"/>
      <c r="G1301" s="169"/>
      <c r="H1301" s="169"/>
      <c r="I1301" s="169"/>
      <c r="J1301" s="169"/>
      <c r="W1301" s="16"/>
      <c r="AB1301" s="35"/>
      <c r="AD1301" s="34"/>
      <c r="AE1301" s="17"/>
      <c r="AF1301" s="148"/>
      <c r="AG1301" s="143"/>
    </row>
    <row r="1302" spans="1:33" ht="20.100000000000001" hidden="1" customHeight="1">
      <c r="A1302" s="16" t="s">
        <v>26</v>
      </c>
      <c r="B1302" s="16">
        <v>2000</v>
      </c>
      <c r="C1302" s="14" t="s">
        <v>864</v>
      </c>
      <c r="D1302" s="9" t="s">
        <v>877</v>
      </c>
      <c r="E1302" s="17" t="s">
        <v>877</v>
      </c>
      <c r="F1302" s="17"/>
      <c r="G1302" s="168"/>
      <c r="H1302" s="170">
        <f>1957*I1302%</f>
        <v>19.57</v>
      </c>
      <c r="I1302" s="170">
        <v>1</v>
      </c>
      <c r="W1302" s="16"/>
      <c r="AB1302" s="35"/>
      <c r="AD1302" s="34"/>
      <c r="AE1302" s="17"/>
      <c r="AF1302" s="148"/>
      <c r="AG1302" s="143"/>
    </row>
    <row r="1303" spans="1:33" ht="20.100000000000001" hidden="1" customHeight="1">
      <c r="A1303" s="16" t="s">
        <v>26</v>
      </c>
      <c r="B1303" s="16">
        <v>2000</v>
      </c>
      <c r="C1303" s="14" t="s">
        <v>864</v>
      </c>
      <c r="D1303" s="9" t="s">
        <v>878</v>
      </c>
      <c r="E1303" s="17" t="s">
        <v>879</v>
      </c>
      <c r="F1303" s="17"/>
      <c r="G1303" s="168"/>
      <c r="H1303" s="170">
        <f>1957*I1303%</f>
        <v>156.56</v>
      </c>
      <c r="I1303" s="170">
        <v>8</v>
      </c>
      <c r="W1303" s="16"/>
      <c r="AB1303" s="77"/>
      <c r="AD1303" s="34"/>
      <c r="AE1303" s="17"/>
      <c r="AF1303" s="148"/>
      <c r="AG1303" s="143"/>
    </row>
    <row r="1304" spans="1:33" ht="20.100000000000001" hidden="1" customHeight="1">
      <c r="A1304" s="16" t="s">
        <v>26</v>
      </c>
      <c r="B1304" s="16">
        <v>2000</v>
      </c>
      <c r="C1304" s="14" t="s">
        <v>864</v>
      </c>
      <c r="D1304" s="9" t="s">
        <v>880</v>
      </c>
      <c r="E1304" s="17" t="s">
        <v>880</v>
      </c>
      <c r="F1304" s="17"/>
      <c r="G1304" s="169"/>
      <c r="H1304" s="169"/>
      <c r="I1304" s="169"/>
      <c r="J1304" s="169"/>
      <c r="W1304" s="16"/>
      <c r="AB1304" s="77"/>
      <c r="AD1304" s="34"/>
      <c r="AE1304" s="17"/>
      <c r="AF1304" s="148"/>
      <c r="AG1304" s="143"/>
    </row>
    <row r="1305" spans="1:33" ht="20.100000000000001" hidden="1" customHeight="1">
      <c r="A1305" s="16" t="s">
        <v>26</v>
      </c>
      <c r="B1305" s="16">
        <v>2000</v>
      </c>
      <c r="C1305" s="14" t="s">
        <v>864</v>
      </c>
      <c r="D1305" s="9" t="s">
        <v>881</v>
      </c>
      <c r="E1305" s="17" t="s">
        <v>881</v>
      </c>
      <c r="F1305" s="17"/>
      <c r="G1305" s="169"/>
      <c r="H1305" s="169"/>
      <c r="I1305" s="169"/>
      <c r="J1305" s="169"/>
      <c r="W1305" s="16"/>
      <c r="AB1305" s="77"/>
      <c r="AD1305" s="34"/>
      <c r="AE1305" s="17"/>
      <c r="AF1305" s="148"/>
      <c r="AG1305" s="143"/>
    </row>
    <row r="1306" spans="1:33" ht="20.100000000000001" hidden="1" customHeight="1">
      <c r="A1306" s="16" t="s">
        <v>26</v>
      </c>
      <c r="B1306" s="16">
        <v>2000</v>
      </c>
      <c r="C1306" s="14" t="s">
        <v>864</v>
      </c>
      <c r="D1306" s="35" t="s">
        <v>487</v>
      </c>
      <c r="E1306" s="17" t="s">
        <v>882</v>
      </c>
      <c r="F1306" s="17"/>
      <c r="G1306" s="168"/>
      <c r="H1306" s="170">
        <f>1957*I1306%</f>
        <v>254.41</v>
      </c>
      <c r="I1306" s="170">
        <v>13</v>
      </c>
      <c r="W1306" s="16"/>
      <c r="AB1306" s="77"/>
      <c r="AD1306" s="34"/>
      <c r="AE1306" s="17"/>
      <c r="AF1306" s="148"/>
      <c r="AG1306" s="143"/>
    </row>
    <row r="1307" spans="1:33" ht="20.100000000000001" hidden="1" customHeight="1">
      <c r="A1307" s="16" t="s">
        <v>26</v>
      </c>
      <c r="B1307" s="16">
        <v>2000</v>
      </c>
      <c r="C1307" s="14" t="s">
        <v>864</v>
      </c>
      <c r="D1307" s="27" t="s">
        <v>202</v>
      </c>
      <c r="E1307" s="17" t="s">
        <v>883</v>
      </c>
      <c r="F1307" s="17"/>
      <c r="G1307" s="168"/>
      <c r="H1307" s="170">
        <f>1957*I1307%</f>
        <v>547.96</v>
      </c>
      <c r="I1307" s="170">
        <v>28</v>
      </c>
      <c r="W1307" s="16"/>
      <c r="AB1307" s="77"/>
      <c r="AD1307" s="34"/>
      <c r="AE1307" s="17"/>
      <c r="AF1307" s="148"/>
      <c r="AG1307" s="143"/>
    </row>
    <row r="1308" spans="1:33" ht="20.100000000000001" hidden="1" customHeight="1">
      <c r="A1308" s="16" t="s">
        <v>26</v>
      </c>
      <c r="B1308" s="16">
        <v>2004</v>
      </c>
      <c r="C1308" s="14" t="s">
        <v>864</v>
      </c>
      <c r="D1308" s="9" t="s">
        <v>865</v>
      </c>
      <c r="E1308" s="17" t="s">
        <v>866</v>
      </c>
      <c r="F1308" s="17"/>
      <c r="G1308" s="168"/>
      <c r="H1308" s="170">
        <f>3272*I1308%</f>
        <v>441.72</v>
      </c>
      <c r="I1308" s="170">
        <v>13.5</v>
      </c>
      <c r="W1308" s="16"/>
      <c r="AB1308" s="77"/>
      <c r="AD1308" s="34"/>
      <c r="AE1308" s="17"/>
      <c r="AF1308" s="148"/>
      <c r="AG1308" s="143"/>
    </row>
    <row r="1309" spans="1:33" ht="20.100000000000001" hidden="1" customHeight="1">
      <c r="A1309" s="16" t="s">
        <v>26</v>
      </c>
      <c r="B1309" s="16">
        <v>2004</v>
      </c>
      <c r="C1309" s="14" t="s">
        <v>864</v>
      </c>
      <c r="D1309" s="9" t="s">
        <v>868</v>
      </c>
      <c r="E1309" s="17" t="s">
        <v>869</v>
      </c>
      <c r="F1309" s="17"/>
      <c r="G1309" s="168"/>
      <c r="H1309" s="170">
        <f>3272*I1309%</f>
        <v>310.84000000000003</v>
      </c>
      <c r="I1309" s="170">
        <v>9.5</v>
      </c>
      <c r="W1309" s="16"/>
      <c r="AB1309" s="77"/>
      <c r="AD1309" s="34"/>
      <c r="AE1309" s="17"/>
      <c r="AF1309" s="148"/>
      <c r="AG1309" s="143"/>
    </row>
    <row r="1310" spans="1:33" ht="20.100000000000001" hidden="1" customHeight="1">
      <c r="A1310" s="16" t="s">
        <v>26</v>
      </c>
      <c r="B1310" s="16">
        <v>2004</v>
      </c>
      <c r="C1310" s="14" t="s">
        <v>864</v>
      </c>
      <c r="D1310" s="9" t="s">
        <v>871</v>
      </c>
      <c r="E1310" s="17" t="s">
        <v>871</v>
      </c>
      <c r="F1310" s="17"/>
      <c r="G1310" s="168"/>
      <c r="H1310" s="170">
        <f>3272*I1310%</f>
        <v>363.19200000000001</v>
      </c>
      <c r="I1310" s="170">
        <v>11.1</v>
      </c>
      <c r="W1310" s="16"/>
      <c r="AB1310" s="77"/>
      <c r="AD1310" s="34"/>
      <c r="AE1310" s="17"/>
      <c r="AF1310" s="148"/>
      <c r="AG1310" s="143"/>
    </row>
    <row r="1311" spans="1:33" ht="20.100000000000001" hidden="1" customHeight="1">
      <c r="A1311" s="16" t="s">
        <v>26</v>
      </c>
      <c r="B1311" s="16">
        <v>2004</v>
      </c>
      <c r="C1311" s="14" t="s">
        <v>864</v>
      </c>
      <c r="D1311" s="9" t="s">
        <v>872</v>
      </c>
      <c r="E1311" s="17" t="s">
        <v>872</v>
      </c>
      <c r="F1311" s="17"/>
      <c r="G1311" s="168"/>
      <c r="H1311" s="170">
        <f>3272*I1311%</f>
        <v>304.29600000000005</v>
      </c>
      <c r="I1311" s="170">
        <v>9.3000000000000007</v>
      </c>
      <c r="W1311" s="16"/>
      <c r="AB1311" s="77"/>
      <c r="AD1311" s="34"/>
      <c r="AE1311" s="17"/>
      <c r="AF1311" s="148"/>
      <c r="AG1311" s="143"/>
    </row>
    <row r="1312" spans="1:33" ht="20.100000000000001" hidden="1" customHeight="1">
      <c r="A1312" s="16" t="s">
        <v>26</v>
      </c>
      <c r="B1312" s="16">
        <v>2004</v>
      </c>
      <c r="C1312" s="14" t="s">
        <v>864</v>
      </c>
      <c r="D1312" s="9" t="s">
        <v>873</v>
      </c>
      <c r="E1312" s="17" t="s">
        <v>874</v>
      </c>
      <c r="F1312" s="17"/>
      <c r="G1312" s="168"/>
      <c r="H1312" s="170">
        <f>3272*I1312%</f>
        <v>317.38399999999996</v>
      </c>
      <c r="I1312" s="170">
        <v>9.6999999999999993</v>
      </c>
      <c r="W1312" s="16"/>
      <c r="AB1312" s="77"/>
      <c r="AD1312" s="34"/>
      <c r="AE1312" s="17"/>
      <c r="AF1312" s="148"/>
      <c r="AG1312" s="143"/>
    </row>
    <row r="1313" spans="1:33" ht="20.100000000000001" hidden="1" customHeight="1">
      <c r="A1313" s="16" t="s">
        <v>26</v>
      </c>
      <c r="B1313" s="16">
        <v>2004</v>
      </c>
      <c r="C1313" s="14" t="s">
        <v>864</v>
      </c>
      <c r="D1313" s="9" t="s">
        <v>875</v>
      </c>
      <c r="E1313" s="17" t="s">
        <v>875</v>
      </c>
      <c r="F1313" s="17"/>
      <c r="G1313" s="169"/>
      <c r="H1313" s="169"/>
      <c r="I1313" s="169"/>
      <c r="J1313" s="169"/>
      <c r="W1313" s="16"/>
      <c r="AB1313" s="77"/>
      <c r="AD1313" s="34"/>
      <c r="AE1313" s="17"/>
      <c r="AF1313" s="148"/>
      <c r="AG1313" s="143"/>
    </row>
    <row r="1314" spans="1:33" ht="20.100000000000001" hidden="1" customHeight="1">
      <c r="A1314" s="16" t="s">
        <v>26</v>
      </c>
      <c r="B1314" s="16">
        <v>2004</v>
      </c>
      <c r="C1314" s="14" t="s">
        <v>864</v>
      </c>
      <c r="D1314" s="9" t="s">
        <v>876</v>
      </c>
      <c r="E1314" s="17" t="s">
        <v>876</v>
      </c>
      <c r="F1314" s="17"/>
      <c r="G1314" s="168"/>
      <c r="H1314" s="170">
        <f>3272*I1314%</f>
        <v>52.352000000000004</v>
      </c>
      <c r="I1314" s="170">
        <v>1.6</v>
      </c>
      <c r="W1314" s="16"/>
      <c r="AB1314" s="77"/>
      <c r="AD1314" s="34"/>
      <c r="AE1314" s="17"/>
      <c r="AF1314" s="148"/>
      <c r="AG1314" s="143"/>
    </row>
    <row r="1315" spans="1:33" ht="20.100000000000001" hidden="1" customHeight="1">
      <c r="A1315" s="16" t="s">
        <v>26</v>
      </c>
      <c r="B1315" s="16">
        <v>2004</v>
      </c>
      <c r="C1315" s="14" t="s">
        <v>864</v>
      </c>
      <c r="D1315" s="9" t="s">
        <v>877</v>
      </c>
      <c r="E1315" s="17" t="s">
        <v>877</v>
      </c>
      <c r="F1315" s="17"/>
      <c r="G1315" s="168"/>
      <c r="H1315" s="170">
        <f>3272*I1315%</f>
        <v>39.264000000000003</v>
      </c>
      <c r="I1315" s="170">
        <v>1.2</v>
      </c>
      <c r="W1315" s="16"/>
      <c r="AB1315" s="77"/>
      <c r="AD1315" s="34"/>
      <c r="AE1315" s="17"/>
      <c r="AF1315" s="148"/>
      <c r="AG1315" s="143"/>
    </row>
    <row r="1316" spans="1:33" ht="20.100000000000001" hidden="1" customHeight="1">
      <c r="A1316" s="16" t="s">
        <v>26</v>
      </c>
      <c r="B1316" s="16">
        <v>2004</v>
      </c>
      <c r="C1316" s="14" t="s">
        <v>864</v>
      </c>
      <c r="D1316" s="9" t="s">
        <v>878</v>
      </c>
      <c r="E1316" s="17" t="s">
        <v>879</v>
      </c>
      <c r="F1316" s="17"/>
      <c r="G1316" s="168"/>
      <c r="H1316" s="170">
        <f>3272*I1316%</f>
        <v>438.44800000000004</v>
      </c>
      <c r="I1316" s="170">
        <v>13.4</v>
      </c>
      <c r="W1316" s="16"/>
      <c r="AB1316" s="77"/>
      <c r="AD1316" s="34"/>
      <c r="AE1316" s="17"/>
      <c r="AF1316" s="148"/>
      <c r="AG1316" s="143"/>
    </row>
    <row r="1317" spans="1:33" ht="20.100000000000001" hidden="1" customHeight="1">
      <c r="A1317" s="16" t="s">
        <v>26</v>
      </c>
      <c r="B1317" s="16">
        <v>2004</v>
      </c>
      <c r="C1317" s="14" t="s">
        <v>864</v>
      </c>
      <c r="D1317" s="9" t="s">
        <v>880</v>
      </c>
      <c r="E1317" s="17" t="s">
        <v>880</v>
      </c>
      <c r="F1317" s="17"/>
      <c r="G1317" s="169"/>
      <c r="H1317" s="169"/>
      <c r="I1317" s="169"/>
      <c r="J1317" s="169"/>
      <c r="W1317" s="16"/>
      <c r="AB1317" s="77"/>
      <c r="AD1317" s="34"/>
      <c r="AE1317" s="17"/>
      <c r="AF1317" s="148"/>
      <c r="AG1317" s="143"/>
    </row>
    <row r="1318" spans="1:33" ht="20.100000000000001" hidden="1" customHeight="1">
      <c r="A1318" s="16" t="s">
        <v>26</v>
      </c>
      <c r="B1318" s="16">
        <v>2004</v>
      </c>
      <c r="C1318" s="14" t="s">
        <v>864</v>
      </c>
      <c r="D1318" s="9" t="s">
        <v>881</v>
      </c>
      <c r="E1318" s="17" t="s">
        <v>881</v>
      </c>
      <c r="F1318" s="17"/>
      <c r="G1318" s="169"/>
      <c r="H1318" s="169"/>
      <c r="I1318" s="169"/>
      <c r="J1318" s="169"/>
      <c r="W1318" s="16"/>
      <c r="AB1318" s="77"/>
      <c r="AD1318" s="34"/>
      <c r="AE1318" s="17"/>
      <c r="AF1318" s="148"/>
      <c r="AG1318" s="143"/>
    </row>
    <row r="1319" spans="1:33" ht="20.100000000000001" hidden="1" customHeight="1">
      <c r="A1319" s="16" t="s">
        <v>26</v>
      </c>
      <c r="B1319" s="16">
        <v>2004</v>
      </c>
      <c r="C1319" s="14" t="s">
        <v>864</v>
      </c>
      <c r="D1319" s="35" t="s">
        <v>487</v>
      </c>
      <c r="E1319" s="17" t="s">
        <v>882</v>
      </c>
      <c r="F1319" s="17"/>
      <c r="G1319" s="168"/>
      <c r="H1319" s="170">
        <f>3272*I1319%</f>
        <v>297.75200000000001</v>
      </c>
      <c r="I1319" s="170">
        <v>9.1</v>
      </c>
      <c r="W1319" s="16"/>
      <c r="AB1319" s="77"/>
      <c r="AD1319" s="34"/>
      <c r="AE1319" s="17"/>
      <c r="AF1319" s="148"/>
      <c r="AG1319" s="143"/>
    </row>
    <row r="1320" spans="1:33" ht="20.100000000000001" hidden="1" customHeight="1">
      <c r="A1320" s="16" t="s">
        <v>26</v>
      </c>
      <c r="B1320" s="16">
        <v>2004</v>
      </c>
      <c r="C1320" s="14" t="s">
        <v>864</v>
      </c>
      <c r="D1320" s="27" t="s">
        <v>202</v>
      </c>
      <c r="E1320" s="17" t="s">
        <v>883</v>
      </c>
      <c r="F1320" s="17"/>
      <c r="G1320" s="168"/>
      <c r="H1320" s="170">
        <f>3272*I1320%</f>
        <v>706.75200000000007</v>
      </c>
      <c r="I1320" s="170">
        <v>21.6</v>
      </c>
      <c r="W1320" s="16"/>
      <c r="AB1320" s="77"/>
      <c r="AD1320" s="34"/>
      <c r="AE1320" s="17"/>
      <c r="AF1320" s="148"/>
      <c r="AG1320" s="143"/>
    </row>
    <row r="1321" spans="1:33" ht="20.100000000000001" hidden="1" customHeight="1">
      <c r="A1321" s="16" t="s">
        <v>26</v>
      </c>
      <c r="B1321" s="16">
        <v>2008</v>
      </c>
      <c r="C1321" s="14" t="s">
        <v>864</v>
      </c>
      <c r="D1321" s="9" t="s">
        <v>865</v>
      </c>
      <c r="E1321" s="17" t="s">
        <v>866</v>
      </c>
      <c r="F1321" s="17"/>
      <c r="G1321" s="168"/>
      <c r="H1321" s="170">
        <f>2356*I1321%</f>
        <v>391.096</v>
      </c>
      <c r="I1321" s="170">
        <v>16.600000000000001</v>
      </c>
      <c r="W1321" s="16"/>
      <c r="AB1321" s="77"/>
      <c r="AD1321" s="34"/>
      <c r="AE1321" s="17"/>
      <c r="AF1321" s="148"/>
      <c r="AG1321" s="143"/>
    </row>
    <row r="1322" spans="1:33" ht="20.100000000000001" hidden="1" customHeight="1">
      <c r="A1322" s="16" t="s">
        <v>26</v>
      </c>
      <c r="B1322" s="16">
        <v>2008</v>
      </c>
      <c r="C1322" s="14" t="s">
        <v>864</v>
      </c>
      <c r="D1322" s="9" t="s">
        <v>868</v>
      </c>
      <c r="E1322" s="17" t="s">
        <v>869</v>
      </c>
      <c r="F1322" s="17"/>
      <c r="G1322" s="168"/>
      <c r="H1322" s="170">
        <f>2356*I1322%</f>
        <v>327.48400000000004</v>
      </c>
      <c r="I1322" s="170">
        <v>13.9</v>
      </c>
      <c r="W1322" s="16"/>
      <c r="AB1322" s="77"/>
      <c r="AD1322" s="34"/>
      <c r="AE1322" s="17"/>
      <c r="AF1322" s="148"/>
      <c r="AG1322" s="143"/>
    </row>
    <row r="1323" spans="1:33" ht="20.100000000000001" hidden="1" customHeight="1">
      <c r="A1323" s="16" t="s">
        <v>26</v>
      </c>
      <c r="B1323" s="16">
        <v>2008</v>
      </c>
      <c r="C1323" s="14" t="s">
        <v>864</v>
      </c>
      <c r="D1323" s="9" t="s">
        <v>871</v>
      </c>
      <c r="E1323" s="17" t="s">
        <v>871</v>
      </c>
      <c r="F1323" s="17"/>
      <c r="G1323" s="169"/>
      <c r="H1323" s="169"/>
      <c r="I1323" s="169"/>
      <c r="J1323" s="169"/>
      <c r="AB1323" s="77"/>
      <c r="AD1323" s="34"/>
      <c r="AE1323" s="17"/>
      <c r="AF1323" s="148"/>
      <c r="AG1323" s="143"/>
    </row>
    <row r="1324" spans="1:33" ht="20.100000000000001" hidden="1" customHeight="1">
      <c r="A1324" s="16" t="s">
        <v>26</v>
      </c>
      <c r="B1324" s="16">
        <v>2008</v>
      </c>
      <c r="C1324" s="14" t="s">
        <v>864</v>
      </c>
      <c r="D1324" s="9" t="s">
        <v>872</v>
      </c>
      <c r="E1324" s="17" t="s">
        <v>872</v>
      </c>
      <c r="F1324" s="17"/>
      <c r="G1324" s="168"/>
      <c r="H1324" s="170">
        <f>2356*I1324%</f>
        <v>212.04</v>
      </c>
      <c r="I1324" s="170">
        <v>9</v>
      </c>
      <c r="AB1324" s="77"/>
      <c r="AD1324" s="34"/>
      <c r="AE1324" s="17"/>
      <c r="AF1324" s="148"/>
      <c r="AG1324" s="143"/>
    </row>
    <row r="1325" spans="1:33" ht="20.100000000000001" hidden="1" customHeight="1">
      <c r="A1325" s="16" t="s">
        <v>26</v>
      </c>
      <c r="B1325" s="16">
        <v>2008</v>
      </c>
      <c r="C1325" s="14" t="s">
        <v>864</v>
      </c>
      <c r="D1325" s="9" t="s">
        <v>873</v>
      </c>
      <c r="E1325" s="17" t="s">
        <v>874</v>
      </c>
      <c r="F1325" s="17"/>
      <c r="G1325" s="168"/>
      <c r="H1325" s="170">
        <f>2356*I1325%</f>
        <v>240.31199999999998</v>
      </c>
      <c r="I1325" s="170">
        <v>10.199999999999999</v>
      </c>
      <c r="AB1325" s="77"/>
      <c r="AD1325" s="34"/>
      <c r="AE1325" s="17"/>
      <c r="AF1325" s="148"/>
      <c r="AG1325" s="143"/>
    </row>
    <row r="1326" spans="1:33" ht="20.100000000000001" hidden="1" customHeight="1">
      <c r="A1326" s="16" t="s">
        <v>26</v>
      </c>
      <c r="B1326" s="16">
        <v>2008</v>
      </c>
      <c r="C1326" s="14" t="s">
        <v>864</v>
      </c>
      <c r="D1326" s="9" t="s">
        <v>875</v>
      </c>
      <c r="E1326" s="17" t="s">
        <v>875</v>
      </c>
      <c r="F1326" s="17"/>
      <c r="G1326" s="169"/>
      <c r="H1326" s="169"/>
      <c r="I1326" s="169"/>
      <c r="J1326" s="169"/>
      <c r="AB1326" s="77"/>
      <c r="AD1326" s="34"/>
      <c r="AE1326" s="17"/>
      <c r="AF1326" s="148"/>
      <c r="AG1326" s="143"/>
    </row>
    <row r="1327" spans="1:33" ht="20.100000000000001" hidden="1" customHeight="1">
      <c r="A1327" s="16" t="s">
        <v>26</v>
      </c>
      <c r="B1327" s="16">
        <v>2008</v>
      </c>
      <c r="C1327" s="14" t="s">
        <v>864</v>
      </c>
      <c r="D1327" s="9" t="s">
        <v>876</v>
      </c>
      <c r="E1327" s="17" t="s">
        <v>876</v>
      </c>
      <c r="F1327" s="17"/>
      <c r="G1327" s="169"/>
      <c r="H1327" s="169"/>
      <c r="I1327" s="169"/>
      <c r="J1327" s="169"/>
      <c r="AB1327" s="77"/>
      <c r="AD1327" s="34"/>
      <c r="AE1327" s="17"/>
      <c r="AF1327" s="148"/>
      <c r="AG1327" s="143"/>
    </row>
    <row r="1328" spans="1:33" ht="20.100000000000001" hidden="1" customHeight="1">
      <c r="A1328" s="16" t="s">
        <v>26</v>
      </c>
      <c r="B1328" s="16">
        <v>2008</v>
      </c>
      <c r="C1328" s="14" t="s">
        <v>864</v>
      </c>
      <c r="D1328" s="9" t="s">
        <v>877</v>
      </c>
      <c r="E1328" s="17" t="s">
        <v>877</v>
      </c>
      <c r="F1328" s="17"/>
      <c r="G1328" s="168"/>
      <c r="H1328" s="170">
        <f>2356*I1328%</f>
        <v>73.036000000000001</v>
      </c>
      <c r="I1328" s="170">
        <v>3.1</v>
      </c>
      <c r="AB1328" s="77"/>
      <c r="AD1328" s="34"/>
      <c r="AE1328" s="17"/>
      <c r="AF1328" s="148"/>
      <c r="AG1328" s="143"/>
    </row>
    <row r="1329" spans="1:33" ht="20.100000000000001" hidden="1" customHeight="1">
      <c r="A1329" s="16" t="s">
        <v>26</v>
      </c>
      <c r="B1329" s="16">
        <v>2008</v>
      </c>
      <c r="C1329" s="14" t="s">
        <v>864</v>
      </c>
      <c r="D1329" s="9" t="s">
        <v>878</v>
      </c>
      <c r="E1329" s="17" t="s">
        <v>879</v>
      </c>
      <c r="F1329" s="17"/>
      <c r="G1329" s="168"/>
      <c r="H1329" s="170">
        <f>2356*I1329%</f>
        <v>242.66800000000001</v>
      </c>
      <c r="I1329" s="170">
        <v>10.3</v>
      </c>
      <c r="AB1329" s="77"/>
      <c r="AD1329" s="34"/>
      <c r="AE1329" s="17"/>
      <c r="AF1329" s="148"/>
      <c r="AG1329" s="143"/>
    </row>
    <row r="1330" spans="1:33" ht="20.100000000000001" hidden="1" customHeight="1">
      <c r="A1330" s="16" t="s">
        <v>26</v>
      </c>
      <c r="B1330" s="16">
        <v>2008</v>
      </c>
      <c r="C1330" s="14" t="s">
        <v>864</v>
      </c>
      <c r="D1330" s="9" t="s">
        <v>880</v>
      </c>
      <c r="E1330" s="17" t="s">
        <v>880</v>
      </c>
      <c r="F1330" s="17"/>
      <c r="G1330" s="169"/>
      <c r="H1330" s="169"/>
      <c r="I1330" s="169"/>
      <c r="J1330" s="169"/>
      <c r="AB1330" s="77"/>
      <c r="AD1330" s="34"/>
      <c r="AE1330" s="17"/>
      <c r="AF1330" s="148"/>
      <c r="AG1330" s="143"/>
    </row>
    <row r="1331" spans="1:33" ht="20.100000000000001" hidden="1" customHeight="1">
      <c r="A1331" s="16" t="s">
        <v>26</v>
      </c>
      <c r="B1331" s="16">
        <v>2008</v>
      </c>
      <c r="C1331" s="14" t="s">
        <v>864</v>
      </c>
      <c r="D1331" s="9" t="s">
        <v>881</v>
      </c>
      <c r="E1331" s="17" t="s">
        <v>881</v>
      </c>
      <c r="F1331" s="17"/>
      <c r="G1331" s="169"/>
      <c r="H1331" s="169"/>
      <c r="I1331" s="169"/>
      <c r="J1331" s="169"/>
      <c r="AB1331" s="77"/>
      <c r="AD1331" s="34"/>
      <c r="AE1331" s="17"/>
      <c r="AF1331" s="148"/>
      <c r="AG1331" s="143"/>
    </row>
    <row r="1332" spans="1:33" ht="20.100000000000001" hidden="1" customHeight="1">
      <c r="A1332" s="16" t="s">
        <v>26</v>
      </c>
      <c r="B1332" s="16">
        <v>2008</v>
      </c>
      <c r="C1332" s="14" t="s">
        <v>864</v>
      </c>
      <c r="D1332" s="35" t="s">
        <v>487</v>
      </c>
      <c r="E1332" s="17" t="s">
        <v>882</v>
      </c>
      <c r="F1332" s="17"/>
      <c r="G1332" s="168"/>
      <c r="H1332" s="170">
        <f>2356*I1332%</f>
        <v>301.56799999999998</v>
      </c>
      <c r="I1332" s="170">
        <v>12.8</v>
      </c>
      <c r="AB1332" s="77"/>
      <c r="AD1332" s="34"/>
      <c r="AE1332" s="17"/>
      <c r="AF1332" s="148"/>
      <c r="AG1332" s="143"/>
    </row>
    <row r="1333" spans="1:33" ht="20.100000000000001" hidden="1" customHeight="1">
      <c r="A1333" s="16" t="s">
        <v>26</v>
      </c>
      <c r="B1333" s="16">
        <v>2008</v>
      </c>
      <c r="C1333" s="14" t="s">
        <v>864</v>
      </c>
      <c r="D1333" s="27" t="s">
        <v>202</v>
      </c>
      <c r="E1333" s="17" t="s">
        <v>883</v>
      </c>
      <c r="F1333" s="17"/>
      <c r="G1333" s="168"/>
      <c r="H1333" s="170">
        <f>2356*I1333%</f>
        <v>567.79600000000005</v>
      </c>
      <c r="I1333" s="170">
        <v>24.1</v>
      </c>
      <c r="AB1333" s="77"/>
      <c r="AD1333" s="34"/>
      <c r="AE1333" s="17"/>
      <c r="AF1333" s="148"/>
      <c r="AG1333" s="143"/>
    </row>
    <row r="1334" spans="1:33" ht="20.100000000000001" hidden="1" customHeight="1">
      <c r="A1334" s="16" t="s">
        <v>26</v>
      </c>
      <c r="B1334" s="16">
        <v>2010</v>
      </c>
      <c r="C1334" s="14" t="s">
        <v>864</v>
      </c>
      <c r="D1334" s="9" t="s">
        <v>865</v>
      </c>
      <c r="E1334" s="17" t="s">
        <v>866</v>
      </c>
      <c r="F1334" s="17"/>
      <c r="G1334" s="168"/>
      <c r="H1334" s="170">
        <f>2807*I1334%</f>
        <v>415.43600000000004</v>
      </c>
      <c r="I1334" s="170">
        <v>14.8</v>
      </c>
      <c r="AB1334" s="77"/>
      <c r="AD1334" s="34"/>
      <c r="AE1334" s="17"/>
      <c r="AF1334" s="148"/>
      <c r="AG1334" s="143"/>
    </row>
    <row r="1335" spans="1:33" ht="20.100000000000001" hidden="1" customHeight="1">
      <c r="A1335" s="16" t="s">
        <v>26</v>
      </c>
      <c r="B1335" s="16">
        <v>2010</v>
      </c>
      <c r="C1335" s="14" t="s">
        <v>864</v>
      </c>
      <c r="D1335" s="9" t="s">
        <v>868</v>
      </c>
      <c r="E1335" s="17" t="s">
        <v>869</v>
      </c>
      <c r="F1335" s="17"/>
      <c r="G1335" s="168"/>
      <c r="H1335" s="170">
        <f>2807*I1335%</f>
        <v>370.524</v>
      </c>
      <c r="I1335" s="170">
        <v>13.2</v>
      </c>
      <c r="AB1335" s="77"/>
      <c r="AD1335" s="34"/>
      <c r="AE1335" s="17"/>
      <c r="AF1335" s="148"/>
      <c r="AG1335" s="143"/>
    </row>
    <row r="1336" spans="1:33" ht="20.100000000000001" hidden="1" customHeight="1">
      <c r="A1336" s="16" t="s">
        <v>26</v>
      </c>
      <c r="B1336" s="16">
        <v>2010</v>
      </c>
      <c r="C1336" s="14" t="s">
        <v>864</v>
      </c>
      <c r="D1336" s="9" t="s">
        <v>871</v>
      </c>
      <c r="E1336" s="17" t="s">
        <v>871</v>
      </c>
      <c r="F1336" s="17"/>
      <c r="G1336" s="169"/>
      <c r="H1336" s="169"/>
      <c r="I1336" s="169"/>
      <c r="J1336" s="169"/>
      <c r="AB1336" s="77"/>
      <c r="AD1336" s="34"/>
      <c r="AE1336" s="17"/>
      <c r="AF1336" s="148"/>
      <c r="AG1336" s="143"/>
    </row>
    <row r="1337" spans="1:33" ht="20.100000000000001" hidden="1" customHeight="1">
      <c r="A1337" s="16" t="s">
        <v>26</v>
      </c>
      <c r="B1337" s="16">
        <v>2010</v>
      </c>
      <c r="C1337" s="14" t="s">
        <v>864</v>
      </c>
      <c r="D1337" s="9" t="s">
        <v>872</v>
      </c>
      <c r="E1337" s="17" t="s">
        <v>872</v>
      </c>
      <c r="F1337" s="17"/>
      <c r="G1337" s="168"/>
      <c r="H1337" s="170">
        <f>2807*I1337%</f>
        <v>328.41899999999998</v>
      </c>
      <c r="I1337" s="170">
        <v>11.7</v>
      </c>
      <c r="AB1337" s="77"/>
      <c r="AD1337" s="34"/>
      <c r="AE1337" s="17"/>
      <c r="AF1337" s="142"/>
      <c r="AG1337" s="143"/>
    </row>
    <row r="1338" spans="1:33" ht="20.100000000000001" hidden="1" customHeight="1">
      <c r="A1338" s="16" t="s">
        <v>26</v>
      </c>
      <c r="B1338" s="16">
        <v>2010</v>
      </c>
      <c r="C1338" s="14" t="s">
        <v>864</v>
      </c>
      <c r="D1338" s="9" t="s">
        <v>873</v>
      </c>
      <c r="E1338" s="17" t="s">
        <v>874</v>
      </c>
      <c r="F1338" s="17"/>
      <c r="G1338" s="168"/>
      <c r="H1338" s="170">
        <f>2807*I1338%</f>
        <v>311.577</v>
      </c>
      <c r="I1338" s="170">
        <v>11.1</v>
      </c>
      <c r="AB1338" s="77"/>
      <c r="AD1338" s="34"/>
      <c r="AE1338" s="17"/>
      <c r="AF1338" s="142"/>
      <c r="AG1338" s="143"/>
    </row>
    <row r="1339" spans="1:33" ht="20.100000000000001" hidden="1" customHeight="1">
      <c r="A1339" s="16" t="s">
        <v>26</v>
      </c>
      <c r="B1339" s="16">
        <v>2010</v>
      </c>
      <c r="C1339" s="14" t="s">
        <v>864</v>
      </c>
      <c r="D1339" s="9" t="s">
        <v>875</v>
      </c>
      <c r="E1339" s="17" t="s">
        <v>875</v>
      </c>
      <c r="F1339" s="17"/>
      <c r="G1339" s="169"/>
      <c r="H1339" s="169"/>
      <c r="I1339" s="169"/>
      <c r="J1339" s="169"/>
      <c r="AB1339" s="77"/>
      <c r="AD1339" s="34"/>
      <c r="AE1339" s="17"/>
      <c r="AF1339" s="142"/>
      <c r="AG1339" s="143"/>
    </row>
    <row r="1340" spans="1:33" ht="20.100000000000001" hidden="1" customHeight="1">
      <c r="A1340" s="16" t="s">
        <v>26</v>
      </c>
      <c r="B1340" s="16">
        <v>2010</v>
      </c>
      <c r="C1340" s="14" t="s">
        <v>864</v>
      </c>
      <c r="D1340" s="9" t="s">
        <v>876</v>
      </c>
      <c r="E1340" s="17" t="s">
        <v>876</v>
      </c>
      <c r="F1340" s="17"/>
      <c r="G1340" s="169"/>
      <c r="H1340" s="169"/>
      <c r="I1340" s="169"/>
      <c r="J1340" s="169"/>
      <c r="AB1340" s="77"/>
      <c r="AD1340" s="34"/>
      <c r="AE1340" s="17"/>
      <c r="AF1340" s="142"/>
      <c r="AG1340" s="143"/>
    </row>
    <row r="1341" spans="1:33" ht="20.100000000000001" hidden="1" customHeight="1">
      <c r="A1341" s="16" t="s">
        <v>26</v>
      </c>
      <c r="B1341" s="16">
        <v>2010</v>
      </c>
      <c r="C1341" s="14" t="s">
        <v>864</v>
      </c>
      <c r="D1341" s="9" t="s">
        <v>877</v>
      </c>
      <c r="E1341" s="17" t="s">
        <v>877</v>
      </c>
      <c r="F1341" s="17"/>
      <c r="G1341" s="169"/>
      <c r="H1341" s="169"/>
      <c r="I1341" s="169"/>
      <c r="J1341" s="169"/>
      <c r="AB1341" s="77"/>
      <c r="AD1341" s="34"/>
      <c r="AE1341" s="17"/>
      <c r="AF1341" s="142"/>
      <c r="AG1341" s="143"/>
    </row>
    <row r="1342" spans="1:33" ht="20.100000000000001" hidden="1" customHeight="1">
      <c r="A1342" s="16" t="s">
        <v>26</v>
      </c>
      <c r="B1342" s="16">
        <v>2010</v>
      </c>
      <c r="C1342" s="14" t="s">
        <v>864</v>
      </c>
      <c r="D1342" s="9" t="s">
        <v>878</v>
      </c>
      <c r="E1342" s="17" t="s">
        <v>879</v>
      </c>
      <c r="F1342" s="17"/>
      <c r="G1342" s="168"/>
      <c r="H1342" s="170">
        <f>2807*I1342%</f>
        <v>291.928</v>
      </c>
      <c r="I1342" s="170">
        <v>10.4</v>
      </c>
      <c r="AB1342" s="77"/>
      <c r="AD1342" s="34"/>
      <c r="AE1342" s="17"/>
      <c r="AF1342" s="142"/>
      <c r="AG1342" s="143"/>
    </row>
    <row r="1343" spans="1:33" ht="20.100000000000001" hidden="1" customHeight="1">
      <c r="A1343" s="16" t="s">
        <v>26</v>
      </c>
      <c r="B1343" s="16">
        <v>2010</v>
      </c>
      <c r="C1343" s="14" t="s">
        <v>864</v>
      </c>
      <c r="D1343" s="9" t="s">
        <v>880</v>
      </c>
      <c r="E1343" s="17" t="s">
        <v>880</v>
      </c>
      <c r="F1343" s="17"/>
      <c r="G1343" s="169"/>
      <c r="H1343" s="169"/>
      <c r="I1343" s="169"/>
      <c r="J1343" s="169"/>
      <c r="AB1343" s="77"/>
      <c r="AD1343" s="34"/>
      <c r="AE1343" s="17"/>
      <c r="AF1343" s="142"/>
      <c r="AG1343" s="143"/>
    </row>
    <row r="1344" spans="1:33" ht="20.100000000000001" hidden="1" customHeight="1">
      <c r="A1344" s="16" t="s">
        <v>26</v>
      </c>
      <c r="B1344" s="16">
        <v>2010</v>
      </c>
      <c r="C1344" s="14" t="s">
        <v>864</v>
      </c>
      <c r="D1344" s="9" t="s">
        <v>881</v>
      </c>
      <c r="E1344" s="17" t="s">
        <v>881</v>
      </c>
      <c r="F1344" s="17"/>
      <c r="G1344" s="169"/>
      <c r="H1344" s="169"/>
      <c r="I1344" s="169"/>
      <c r="J1344" s="169"/>
      <c r="AB1344" s="77"/>
      <c r="AD1344" s="34"/>
      <c r="AE1344" s="17"/>
      <c r="AF1344" s="142"/>
      <c r="AG1344" s="143"/>
    </row>
    <row r="1345" spans="1:33" ht="20.100000000000001" hidden="1" customHeight="1">
      <c r="A1345" s="16" t="s">
        <v>26</v>
      </c>
      <c r="B1345" s="16">
        <v>2010</v>
      </c>
      <c r="C1345" s="14" t="s">
        <v>864</v>
      </c>
      <c r="D1345" s="35" t="s">
        <v>487</v>
      </c>
      <c r="E1345" s="17" t="s">
        <v>882</v>
      </c>
      <c r="F1345" s="17"/>
      <c r="G1345" s="168"/>
      <c r="H1345" s="170">
        <f>2807*I1345%</f>
        <v>272.279</v>
      </c>
      <c r="I1345" s="170">
        <v>9.6999999999999993</v>
      </c>
      <c r="AB1345" s="77"/>
      <c r="AD1345" s="34"/>
      <c r="AE1345" s="17"/>
      <c r="AF1345" s="142"/>
      <c r="AG1345" s="143"/>
    </row>
    <row r="1346" spans="1:33" ht="20.100000000000001" hidden="1" customHeight="1">
      <c r="A1346" s="16" t="s">
        <v>26</v>
      </c>
      <c r="B1346" s="16">
        <v>2010</v>
      </c>
      <c r="C1346" s="14" t="s">
        <v>864</v>
      </c>
      <c r="D1346" s="27" t="s">
        <v>202</v>
      </c>
      <c r="E1346" s="17" t="s">
        <v>883</v>
      </c>
      <c r="F1346" s="17"/>
      <c r="G1346" s="168"/>
      <c r="H1346" s="170">
        <f>2807*I1346%</f>
        <v>816.8370000000001</v>
      </c>
      <c r="I1346" s="170">
        <v>29.1</v>
      </c>
      <c r="AB1346" s="77"/>
      <c r="AD1346" s="34"/>
      <c r="AE1346" s="17"/>
      <c r="AF1346" s="142"/>
      <c r="AG1346" s="143"/>
    </row>
    <row r="1347" spans="1:33" ht="20.100000000000001" customHeight="1">
      <c r="A1347" s="16" t="s">
        <v>26</v>
      </c>
      <c r="B1347" s="16">
        <v>2019</v>
      </c>
      <c r="C1347" s="14" t="s">
        <v>827</v>
      </c>
      <c r="D1347" s="27" t="s">
        <v>663</v>
      </c>
      <c r="E1347" s="35" t="s">
        <v>666</v>
      </c>
      <c r="F1347" s="35" t="s">
        <v>842</v>
      </c>
      <c r="G1347" s="168"/>
      <c r="H1347" s="170">
        <f t="shared" ref="H1347:H1351" si="83">G1347/0.893276257067409</f>
        <v>0</v>
      </c>
      <c r="AB1347" s="77"/>
      <c r="AD1347" s="25">
        <v>52.74</v>
      </c>
      <c r="AF1347" s="264" t="s">
        <v>156</v>
      </c>
      <c r="AG1347" s="53" t="s">
        <v>884</v>
      </c>
    </row>
    <row r="1348" spans="1:33" ht="20.100000000000001" customHeight="1">
      <c r="A1348" s="16" t="s">
        <v>26</v>
      </c>
      <c r="B1348" s="16">
        <v>2019</v>
      </c>
      <c r="C1348" s="14" t="s">
        <v>827</v>
      </c>
      <c r="D1348" s="27" t="s">
        <v>404</v>
      </c>
      <c r="E1348" s="35" t="s">
        <v>404</v>
      </c>
      <c r="F1348" s="35" t="s">
        <v>830</v>
      </c>
      <c r="G1348" s="168"/>
      <c r="H1348" s="170">
        <f t="shared" si="83"/>
        <v>0</v>
      </c>
      <c r="AB1348" s="77"/>
      <c r="AD1348" s="25">
        <v>26.9</v>
      </c>
      <c r="AF1348" s="264" t="s">
        <v>156</v>
      </c>
      <c r="AG1348" s="53" t="s">
        <v>884</v>
      </c>
    </row>
    <row r="1349" spans="1:33" ht="20.100000000000001" hidden="1" customHeight="1">
      <c r="A1349" s="16" t="s">
        <v>26</v>
      </c>
      <c r="B1349" s="16">
        <v>2019</v>
      </c>
      <c r="C1349" s="14" t="s">
        <v>827</v>
      </c>
      <c r="D1349" s="27" t="s">
        <v>810</v>
      </c>
      <c r="E1349" s="35" t="s">
        <v>810</v>
      </c>
      <c r="F1349" s="35" t="s">
        <v>832</v>
      </c>
      <c r="G1349" s="168"/>
      <c r="H1349" s="170">
        <f t="shared" si="83"/>
        <v>0</v>
      </c>
      <c r="AB1349" s="77"/>
      <c r="AD1349" s="25">
        <v>16.190000000000001</v>
      </c>
      <c r="AF1349" s="264" t="s">
        <v>156</v>
      </c>
      <c r="AG1349" s="53" t="s">
        <v>884</v>
      </c>
    </row>
    <row r="1350" spans="1:33" ht="20.100000000000001" hidden="1" customHeight="1">
      <c r="A1350" s="16" t="s">
        <v>26</v>
      </c>
      <c r="B1350" s="16">
        <v>2019</v>
      </c>
      <c r="C1350" s="14" t="s">
        <v>827</v>
      </c>
      <c r="D1350" s="27" t="s">
        <v>833</v>
      </c>
      <c r="E1350" s="35" t="s">
        <v>834</v>
      </c>
      <c r="F1350" s="35" t="s">
        <v>835</v>
      </c>
      <c r="G1350" s="168"/>
      <c r="H1350" s="170">
        <f t="shared" si="83"/>
        <v>0</v>
      </c>
      <c r="AB1350" s="77"/>
      <c r="AD1350" s="25">
        <v>1.4</v>
      </c>
      <c r="AF1350" s="264" t="s">
        <v>156</v>
      </c>
      <c r="AG1350" s="53" t="s">
        <v>884</v>
      </c>
    </row>
    <row r="1351" spans="1:33" ht="20.100000000000001" hidden="1" customHeight="1">
      <c r="A1351" s="16" t="s">
        <v>26</v>
      </c>
      <c r="B1351" s="16">
        <v>2019</v>
      </c>
      <c r="C1351" s="14" t="s">
        <v>827</v>
      </c>
      <c r="D1351" s="27" t="s">
        <v>202</v>
      </c>
      <c r="E1351" s="35"/>
      <c r="F1351" s="35"/>
      <c r="G1351" s="168"/>
      <c r="H1351" s="170">
        <f t="shared" si="83"/>
        <v>0</v>
      </c>
      <c r="AB1351" s="77"/>
      <c r="AD1351" s="25">
        <v>2.77</v>
      </c>
      <c r="AF1351" s="264"/>
      <c r="AG1351" s="53" t="s">
        <v>884</v>
      </c>
    </row>
    <row r="1352" spans="1:33" ht="20.100000000000001" customHeight="1">
      <c r="A1352" s="16" t="s">
        <v>26</v>
      </c>
      <c r="B1352" s="16">
        <v>2020</v>
      </c>
      <c r="C1352" s="14" t="s">
        <v>827</v>
      </c>
      <c r="D1352" s="27" t="s">
        <v>663</v>
      </c>
      <c r="E1352" s="35" t="s">
        <v>666</v>
      </c>
      <c r="F1352" s="35" t="s">
        <v>842</v>
      </c>
      <c r="G1352" s="168"/>
      <c r="AB1352" s="77"/>
      <c r="AD1352" s="52">
        <v>54.04</v>
      </c>
      <c r="AF1352" s="269" t="s">
        <v>156</v>
      </c>
      <c r="AG1352" s="53" t="s">
        <v>885</v>
      </c>
    </row>
    <row r="1353" spans="1:33" ht="20.100000000000001" customHeight="1">
      <c r="A1353" s="16" t="s">
        <v>26</v>
      </c>
      <c r="B1353" s="16">
        <v>2020</v>
      </c>
      <c r="C1353" s="14" t="s">
        <v>827</v>
      </c>
      <c r="D1353" s="27" t="s">
        <v>404</v>
      </c>
      <c r="E1353" s="35" t="s">
        <v>404</v>
      </c>
      <c r="F1353" s="35" t="s">
        <v>830</v>
      </c>
      <c r="G1353" s="168"/>
      <c r="AB1353" s="77"/>
      <c r="AD1353" s="52">
        <v>28.82</v>
      </c>
      <c r="AF1353" s="269" t="s">
        <v>156</v>
      </c>
      <c r="AG1353" s="53" t="s">
        <v>885</v>
      </c>
    </row>
    <row r="1354" spans="1:33" ht="20.100000000000001" hidden="1" customHeight="1">
      <c r="A1354" s="16" t="s">
        <v>26</v>
      </c>
      <c r="B1354" s="16">
        <v>2020</v>
      </c>
      <c r="C1354" s="14" t="s">
        <v>827</v>
      </c>
      <c r="D1354" s="27" t="s">
        <v>810</v>
      </c>
      <c r="E1354" s="35" t="s">
        <v>810</v>
      </c>
      <c r="F1354" s="35" t="s">
        <v>832</v>
      </c>
      <c r="G1354" s="168"/>
      <c r="AB1354" s="77"/>
      <c r="AD1354" s="52">
        <v>13.42</v>
      </c>
      <c r="AF1354" s="269" t="s">
        <v>156</v>
      </c>
      <c r="AG1354" s="53" t="s">
        <v>885</v>
      </c>
    </row>
    <row r="1355" spans="1:33" ht="20.100000000000001" hidden="1" customHeight="1">
      <c r="A1355" s="16" t="s">
        <v>26</v>
      </c>
      <c r="B1355" s="16">
        <v>2020</v>
      </c>
      <c r="C1355" s="14" t="s">
        <v>827</v>
      </c>
      <c r="D1355" s="27" t="s">
        <v>833</v>
      </c>
      <c r="E1355" s="35" t="s">
        <v>834</v>
      </c>
      <c r="F1355" s="35" t="s">
        <v>835</v>
      </c>
      <c r="G1355" s="168"/>
      <c r="AB1355" s="77"/>
      <c r="AD1355" s="52">
        <v>1.48</v>
      </c>
      <c r="AF1355" s="269" t="s">
        <v>156</v>
      </c>
      <c r="AG1355" s="53" t="s">
        <v>885</v>
      </c>
    </row>
    <row r="1356" spans="1:33" ht="20.100000000000001" hidden="1" customHeight="1">
      <c r="A1356" s="16" t="s">
        <v>26</v>
      </c>
      <c r="B1356" s="16">
        <v>2020</v>
      </c>
      <c r="C1356" s="14" t="s">
        <v>827</v>
      </c>
      <c r="D1356" s="27" t="s">
        <v>202</v>
      </c>
      <c r="E1356" s="35"/>
      <c r="F1356" s="35"/>
      <c r="G1356" s="168"/>
      <c r="AB1356" s="77"/>
      <c r="AD1356" s="52">
        <v>2.2400000000000002</v>
      </c>
      <c r="AF1356" s="269"/>
      <c r="AG1356" s="53" t="s">
        <v>885</v>
      </c>
    </row>
    <row r="1357" spans="1:33" ht="20.100000000000001" customHeight="1">
      <c r="A1357" s="16" t="s">
        <v>26</v>
      </c>
      <c r="B1357" s="16">
        <v>2021</v>
      </c>
      <c r="C1357" s="14" t="s">
        <v>827</v>
      </c>
      <c r="D1357" s="27" t="s">
        <v>663</v>
      </c>
      <c r="E1357" s="35" t="s">
        <v>666</v>
      </c>
      <c r="F1357" s="35" t="s">
        <v>842</v>
      </c>
      <c r="G1357" s="168"/>
      <c r="AB1357" s="77"/>
      <c r="AD1357" s="52">
        <v>50.87</v>
      </c>
      <c r="AF1357" s="269" t="s">
        <v>156</v>
      </c>
      <c r="AG1357" s="53" t="s">
        <v>886</v>
      </c>
    </row>
    <row r="1358" spans="1:33" ht="20.100000000000001" customHeight="1">
      <c r="A1358" s="16" t="s">
        <v>26</v>
      </c>
      <c r="B1358" s="16">
        <v>2021</v>
      </c>
      <c r="C1358" s="14" t="s">
        <v>827</v>
      </c>
      <c r="D1358" s="27" t="s">
        <v>404</v>
      </c>
      <c r="E1358" s="35" t="s">
        <v>404</v>
      </c>
      <c r="F1358" s="35" t="s">
        <v>830</v>
      </c>
      <c r="G1358" s="168"/>
      <c r="AB1358" s="77"/>
      <c r="AD1358" s="52">
        <v>33.520000000000003</v>
      </c>
      <c r="AF1358" s="269" t="s">
        <v>156</v>
      </c>
      <c r="AG1358" s="53" t="s">
        <v>886</v>
      </c>
    </row>
    <row r="1359" spans="1:33" ht="20.100000000000001" hidden="1" customHeight="1">
      <c r="A1359" s="16" t="s">
        <v>26</v>
      </c>
      <c r="B1359" s="16">
        <v>2021</v>
      </c>
      <c r="C1359" s="14" t="s">
        <v>827</v>
      </c>
      <c r="D1359" s="27" t="s">
        <v>810</v>
      </c>
      <c r="E1359" s="35" t="s">
        <v>810</v>
      </c>
      <c r="F1359" s="35" t="s">
        <v>832</v>
      </c>
      <c r="G1359" s="168"/>
      <c r="AB1359" s="77"/>
      <c r="AD1359" s="52">
        <v>11.68</v>
      </c>
      <c r="AF1359" s="269" t="s">
        <v>156</v>
      </c>
      <c r="AG1359" s="53" t="s">
        <v>886</v>
      </c>
    </row>
    <row r="1360" spans="1:33" ht="20.100000000000001" hidden="1" customHeight="1">
      <c r="A1360" s="16" t="s">
        <v>26</v>
      </c>
      <c r="B1360" s="16">
        <v>2021</v>
      </c>
      <c r="C1360" s="14" t="s">
        <v>827</v>
      </c>
      <c r="D1360" s="27" t="s">
        <v>833</v>
      </c>
      <c r="E1360" s="35" t="s">
        <v>833</v>
      </c>
      <c r="F1360" s="35" t="s">
        <v>835</v>
      </c>
      <c r="G1360" s="168"/>
      <c r="AB1360" s="77"/>
      <c r="AD1360" s="52">
        <v>1.87</v>
      </c>
      <c r="AF1360" s="269" t="s">
        <v>156</v>
      </c>
      <c r="AG1360" s="53" t="s">
        <v>886</v>
      </c>
    </row>
    <row r="1361" spans="1:33" ht="20.100000000000001" hidden="1" customHeight="1">
      <c r="A1361" s="16" t="s">
        <v>26</v>
      </c>
      <c r="B1361" s="16">
        <v>2021</v>
      </c>
      <c r="C1361" s="14" t="s">
        <v>827</v>
      </c>
      <c r="D1361" s="27" t="s">
        <v>859</v>
      </c>
      <c r="E1361" s="35" t="s">
        <v>859</v>
      </c>
      <c r="F1361" s="35" t="s">
        <v>859</v>
      </c>
      <c r="G1361" s="168"/>
      <c r="AB1361" s="77"/>
      <c r="AD1361" s="52">
        <v>1.04</v>
      </c>
      <c r="AF1361" s="269" t="s">
        <v>156</v>
      </c>
      <c r="AG1361" s="53" t="s">
        <v>886</v>
      </c>
    </row>
    <row r="1362" spans="1:33" ht="20.100000000000001" hidden="1" customHeight="1">
      <c r="A1362" s="16" t="s">
        <v>26</v>
      </c>
      <c r="B1362" s="16">
        <v>2021</v>
      </c>
      <c r="C1362" s="14" t="s">
        <v>827</v>
      </c>
      <c r="D1362" s="27" t="s">
        <v>202</v>
      </c>
      <c r="E1362" s="35"/>
      <c r="F1362" s="35"/>
      <c r="G1362" s="168"/>
      <c r="AB1362" s="77"/>
      <c r="AD1362" s="52">
        <v>1.02</v>
      </c>
      <c r="AF1362" s="269"/>
      <c r="AG1362" s="53" t="s">
        <v>886</v>
      </c>
    </row>
    <row r="1363" spans="1:33" ht="20.100000000000001" customHeight="1">
      <c r="A1363" s="16" t="s">
        <v>26</v>
      </c>
      <c r="B1363" s="16">
        <v>2022</v>
      </c>
      <c r="C1363" s="14" t="s">
        <v>827</v>
      </c>
      <c r="D1363" s="27" t="s">
        <v>663</v>
      </c>
      <c r="E1363" s="35" t="s">
        <v>666</v>
      </c>
      <c r="F1363" s="35" t="s">
        <v>842</v>
      </c>
      <c r="G1363" s="168"/>
      <c r="AB1363" s="77"/>
      <c r="AD1363" s="52">
        <v>47.9</v>
      </c>
      <c r="AF1363" s="269" t="s">
        <v>156</v>
      </c>
      <c r="AG1363" s="53" t="s">
        <v>887</v>
      </c>
    </row>
    <row r="1364" spans="1:33" ht="20.100000000000001" customHeight="1">
      <c r="A1364" s="16" t="s">
        <v>26</v>
      </c>
      <c r="B1364" s="16">
        <v>2022</v>
      </c>
      <c r="C1364" s="14" t="s">
        <v>827</v>
      </c>
      <c r="D1364" s="27" t="s">
        <v>404</v>
      </c>
      <c r="E1364" s="35" t="s">
        <v>404</v>
      </c>
      <c r="F1364" s="35" t="s">
        <v>830</v>
      </c>
      <c r="G1364" s="168"/>
      <c r="AB1364" s="77"/>
      <c r="AD1364" s="52">
        <v>35.06</v>
      </c>
      <c r="AF1364" s="269" t="s">
        <v>156</v>
      </c>
      <c r="AG1364" s="53" t="s">
        <v>887</v>
      </c>
    </row>
    <row r="1365" spans="1:33" ht="20.100000000000001" hidden="1" customHeight="1">
      <c r="A1365" s="16" t="s">
        <v>26</v>
      </c>
      <c r="B1365" s="16">
        <v>2022</v>
      </c>
      <c r="C1365" s="14" t="s">
        <v>827</v>
      </c>
      <c r="D1365" s="27" t="s">
        <v>810</v>
      </c>
      <c r="E1365" s="35" t="s">
        <v>810</v>
      </c>
      <c r="F1365" s="35" t="s">
        <v>832</v>
      </c>
      <c r="G1365" s="168"/>
      <c r="AB1365" s="77"/>
      <c r="AD1365" s="52">
        <v>11.44</v>
      </c>
      <c r="AF1365" s="269" t="s">
        <v>156</v>
      </c>
      <c r="AG1365" s="53" t="s">
        <v>887</v>
      </c>
    </row>
    <row r="1366" spans="1:33" ht="20.100000000000001" hidden="1" customHeight="1">
      <c r="A1366" s="16" t="s">
        <v>26</v>
      </c>
      <c r="B1366" s="16">
        <v>2022</v>
      </c>
      <c r="C1366" s="14" t="s">
        <v>827</v>
      </c>
      <c r="D1366" s="27" t="s">
        <v>888</v>
      </c>
      <c r="E1366" s="35" t="s">
        <v>889</v>
      </c>
      <c r="F1366" s="35" t="s">
        <v>890</v>
      </c>
      <c r="G1366" s="168"/>
      <c r="AB1366" s="77"/>
      <c r="AD1366" s="52">
        <v>1.91</v>
      </c>
      <c r="AF1366" s="269" t="s">
        <v>891</v>
      </c>
      <c r="AG1366" s="53" t="s">
        <v>887</v>
      </c>
    </row>
    <row r="1367" spans="1:33" ht="20.100000000000001" hidden="1" customHeight="1">
      <c r="A1367" s="16" t="s">
        <v>26</v>
      </c>
      <c r="B1367" s="16">
        <v>2022</v>
      </c>
      <c r="C1367" s="14" t="s">
        <v>827</v>
      </c>
      <c r="D1367" s="27" t="s">
        <v>833</v>
      </c>
      <c r="E1367" s="35" t="s">
        <v>833</v>
      </c>
      <c r="F1367" s="35" t="s">
        <v>835</v>
      </c>
      <c r="G1367" s="168"/>
      <c r="AB1367" s="77"/>
      <c r="AD1367" s="52">
        <v>1.86</v>
      </c>
      <c r="AF1367" s="269" t="s">
        <v>156</v>
      </c>
      <c r="AG1367" s="53" t="s">
        <v>887</v>
      </c>
    </row>
    <row r="1368" spans="1:33" ht="20.100000000000001" hidden="1" customHeight="1">
      <c r="A1368" s="16" t="s">
        <v>26</v>
      </c>
      <c r="B1368" s="16">
        <v>2022</v>
      </c>
      <c r="C1368" s="14" t="s">
        <v>827</v>
      </c>
      <c r="D1368" s="27" t="s">
        <v>858</v>
      </c>
      <c r="E1368" s="35" t="s">
        <v>859</v>
      </c>
      <c r="F1368" s="35" t="s">
        <v>859</v>
      </c>
      <c r="G1368" s="168"/>
      <c r="AB1368" s="77"/>
      <c r="AD1368" s="52">
        <v>1.06</v>
      </c>
      <c r="AF1368" s="269" t="s">
        <v>156</v>
      </c>
      <c r="AG1368" s="53" t="s">
        <v>887</v>
      </c>
    </row>
    <row r="1369" spans="1:33" ht="20.100000000000001" hidden="1" customHeight="1">
      <c r="A1369" s="16" t="s">
        <v>26</v>
      </c>
      <c r="B1369" s="16">
        <v>2022</v>
      </c>
      <c r="C1369" s="14" t="s">
        <v>827</v>
      </c>
      <c r="D1369" s="27" t="s">
        <v>202</v>
      </c>
      <c r="E1369" s="35"/>
      <c r="F1369" s="35"/>
      <c r="G1369" s="168"/>
      <c r="AB1369" s="77"/>
      <c r="AD1369" s="52">
        <v>0.77</v>
      </c>
      <c r="AF1369" s="269"/>
      <c r="AG1369" s="53" t="s">
        <v>887</v>
      </c>
    </row>
    <row r="1370" spans="1:33" ht="20.100000000000001" customHeight="1">
      <c r="A1370" s="16" t="s">
        <v>26</v>
      </c>
      <c r="B1370" s="16">
        <v>2023</v>
      </c>
      <c r="C1370" s="14" t="s">
        <v>827</v>
      </c>
      <c r="D1370" s="27" t="s">
        <v>663</v>
      </c>
      <c r="E1370" s="35" t="s">
        <v>666</v>
      </c>
      <c r="F1370" s="35" t="s">
        <v>842</v>
      </c>
      <c r="G1370" s="168"/>
      <c r="AB1370" s="77"/>
      <c r="AD1370" s="52">
        <v>50.04</v>
      </c>
      <c r="AF1370" s="269" t="s">
        <v>156</v>
      </c>
      <c r="AG1370" s="53" t="s">
        <v>892</v>
      </c>
    </row>
    <row r="1371" spans="1:33" ht="20.100000000000001" customHeight="1">
      <c r="A1371" s="16" t="s">
        <v>26</v>
      </c>
      <c r="B1371" s="16">
        <v>2023</v>
      </c>
      <c r="C1371" s="14" t="s">
        <v>827</v>
      </c>
      <c r="D1371" s="27" t="s">
        <v>404</v>
      </c>
      <c r="E1371" s="35" t="s">
        <v>404</v>
      </c>
      <c r="F1371" s="35" t="s">
        <v>830</v>
      </c>
      <c r="G1371" s="168"/>
      <c r="AB1371" s="77"/>
      <c r="AD1371" s="52">
        <v>35.53</v>
      </c>
      <c r="AF1371" s="269" t="s">
        <v>156</v>
      </c>
      <c r="AG1371" s="53" t="s">
        <v>892</v>
      </c>
    </row>
    <row r="1372" spans="1:33" ht="20.100000000000001" hidden="1" customHeight="1">
      <c r="A1372" s="16" t="s">
        <v>26</v>
      </c>
      <c r="B1372" s="16">
        <v>2023</v>
      </c>
      <c r="C1372" s="14" t="s">
        <v>827</v>
      </c>
      <c r="D1372" s="27" t="s">
        <v>810</v>
      </c>
      <c r="E1372" s="35" t="s">
        <v>810</v>
      </c>
      <c r="F1372" s="35" t="s">
        <v>832</v>
      </c>
      <c r="G1372" s="168"/>
      <c r="AB1372" s="77"/>
      <c r="AD1372" s="52">
        <v>9.83</v>
      </c>
      <c r="AF1372" s="269" t="s">
        <v>156</v>
      </c>
      <c r="AG1372" s="53" t="s">
        <v>892</v>
      </c>
    </row>
    <row r="1373" spans="1:33" ht="20.100000000000001" hidden="1" customHeight="1">
      <c r="A1373" s="16" t="s">
        <v>26</v>
      </c>
      <c r="B1373" s="16">
        <v>2023</v>
      </c>
      <c r="C1373" s="14" t="s">
        <v>827</v>
      </c>
      <c r="D1373" s="27" t="s">
        <v>833</v>
      </c>
      <c r="E1373" s="35" t="s">
        <v>833</v>
      </c>
      <c r="F1373" s="35" t="s">
        <v>835</v>
      </c>
      <c r="G1373" s="168"/>
      <c r="AB1373" s="77"/>
      <c r="AD1373" s="52">
        <v>2.0299999999999998</v>
      </c>
      <c r="AF1373" s="269" t="s">
        <v>156</v>
      </c>
      <c r="AG1373" s="53" t="s">
        <v>892</v>
      </c>
    </row>
    <row r="1374" spans="1:33" ht="20.100000000000001" hidden="1" customHeight="1">
      <c r="A1374" s="16" t="s">
        <v>26</v>
      </c>
      <c r="B1374" s="16">
        <v>2023</v>
      </c>
      <c r="C1374" s="14" t="s">
        <v>827</v>
      </c>
      <c r="D1374" s="27" t="s">
        <v>858</v>
      </c>
      <c r="E1374" s="35" t="s">
        <v>859</v>
      </c>
      <c r="F1374" s="35" t="s">
        <v>859</v>
      </c>
      <c r="G1374" s="168"/>
      <c r="AB1374" s="77"/>
      <c r="AD1374" s="52">
        <v>1.27</v>
      </c>
      <c r="AF1374" s="269" t="s">
        <v>156</v>
      </c>
      <c r="AG1374" s="53" t="s">
        <v>892</v>
      </c>
    </row>
    <row r="1375" spans="1:33" ht="20.100000000000001" hidden="1" customHeight="1">
      <c r="A1375" s="16" t="s">
        <v>26</v>
      </c>
      <c r="B1375" s="16">
        <v>2023</v>
      </c>
      <c r="C1375" s="14" t="s">
        <v>827</v>
      </c>
      <c r="D1375" s="27" t="s">
        <v>202</v>
      </c>
      <c r="E1375" s="35"/>
      <c r="F1375" s="35"/>
      <c r="G1375" s="168"/>
      <c r="AB1375" s="77"/>
      <c r="AD1375" s="52">
        <v>1.3</v>
      </c>
      <c r="AF1375" s="269"/>
      <c r="AG1375" s="53" t="s">
        <v>892</v>
      </c>
    </row>
    <row r="1376" spans="1:33" ht="20.100000000000001" hidden="1" customHeight="1">
      <c r="A1376" s="16" t="s">
        <v>26</v>
      </c>
      <c r="B1376" s="15">
        <v>2019</v>
      </c>
      <c r="C1376" s="45" t="s">
        <v>893</v>
      </c>
      <c r="D1376" s="27" t="s">
        <v>401</v>
      </c>
      <c r="E1376" s="17" t="s">
        <v>894</v>
      </c>
      <c r="F1376" s="17" t="s">
        <v>434</v>
      </c>
      <c r="G1376" s="168">
        <v>1674.4</v>
      </c>
      <c r="H1376" s="170">
        <f t="shared" ref="H1376:H1386" si="84">G1376/0.893276257067409</f>
        <v>1874.4481192156497</v>
      </c>
      <c r="I1376" s="170">
        <f>(G1376/'Total Revenue (Millions)'!D65)*100</f>
        <v>56.194142304349135</v>
      </c>
      <c r="V1376" s="9"/>
      <c r="W1376" s="18"/>
      <c r="AB1376" s="77"/>
      <c r="AE1376" s="9"/>
      <c r="AF1376" s="94" t="s">
        <v>156</v>
      </c>
      <c r="AG1376" s="32" t="s">
        <v>895</v>
      </c>
    </row>
    <row r="1377" spans="1:33" ht="20.100000000000001" hidden="1" customHeight="1">
      <c r="A1377" s="16" t="s">
        <v>26</v>
      </c>
      <c r="B1377" s="15">
        <v>2019</v>
      </c>
      <c r="C1377" s="45" t="s">
        <v>893</v>
      </c>
      <c r="D1377" s="27" t="s">
        <v>154</v>
      </c>
      <c r="E1377" s="17" t="s">
        <v>155</v>
      </c>
      <c r="F1377" s="17" t="s">
        <v>155</v>
      </c>
      <c r="G1377" s="168">
        <v>1614</v>
      </c>
      <c r="H1377" s="170">
        <f t="shared" si="84"/>
        <v>1806.8318588234943</v>
      </c>
      <c r="I1377" s="170">
        <v>27.643613194943988</v>
      </c>
      <c r="V1377" s="9">
        <v>3485.5</v>
      </c>
      <c r="W1377" s="18"/>
      <c r="AB1377" s="77"/>
      <c r="AE1377" s="15" t="s">
        <v>896</v>
      </c>
      <c r="AF1377" s="94" t="s">
        <v>156</v>
      </c>
      <c r="AG1377" s="32" t="s">
        <v>897</v>
      </c>
    </row>
    <row r="1378" spans="1:33" ht="20.100000000000001" hidden="1" customHeight="1">
      <c r="A1378" s="16" t="s">
        <v>26</v>
      </c>
      <c r="B1378" s="15">
        <v>2019</v>
      </c>
      <c r="C1378" s="45" t="s">
        <v>893</v>
      </c>
      <c r="D1378" s="27" t="s">
        <v>160</v>
      </c>
      <c r="E1378" s="17" t="s">
        <v>898</v>
      </c>
      <c r="F1378" s="17" t="s">
        <v>160</v>
      </c>
      <c r="G1378" s="168">
        <v>823.01</v>
      </c>
      <c r="H1378" s="170">
        <f t="shared" si="84"/>
        <v>921.33871631370755</v>
      </c>
      <c r="I1378" s="170">
        <v>14.096016168259512</v>
      </c>
      <c r="V1378" s="29">
        <v>7620.5</v>
      </c>
      <c r="W1378" s="18"/>
      <c r="AB1378" s="77"/>
      <c r="AE1378" s="15" t="s">
        <v>899</v>
      </c>
      <c r="AF1378" s="20" t="s">
        <v>156</v>
      </c>
      <c r="AG1378" s="32" t="s">
        <v>900</v>
      </c>
    </row>
    <row r="1379" spans="1:33" ht="20.100000000000001" hidden="1" customHeight="1">
      <c r="A1379" s="16" t="s">
        <v>26</v>
      </c>
      <c r="B1379" s="16">
        <v>2019</v>
      </c>
      <c r="C1379" s="45" t="s">
        <v>893</v>
      </c>
      <c r="D1379" s="27" t="s">
        <v>165</v>
      </c>
      <c r="E1379" s="17" t="s">
        <v>166</v>
      </c>
      <c r="F1379" s="17" t="s">
        <v>167</v>
      </c>
      <c r="G1379" s="170">
        <v>666.25</v>
      </c>
      <c r="H1379" s="170">
        <f t="shared" si="84"/>
        <v>745.84989215684823</v>
      </c>
      <c r="I1379" s="170">
        <v>11.41112595485219</v>
      </c>
      <c r="V1379" s="31">
        <v>6169</v>
      </c>
      <c r="W1379" s="29"/>
      <c r="AB1379" s="77"/>
      <c r="AE1379" s="26" t="s">
        <v>901</v>
      </c>
      <c r="AF1379" s="20" t="s">
        <v>156</v>
      </c>
      <c r="AG1379" s="95" t="s">
        <v>902</v>
      </c>
    </row>
    <row r="1380" spans="1:33" ht="20.100000000000001" hidden="1" customHeight="1">
      <c r="A1380" s="16" t="s">
        <v>26</v>
      </c>
      <c r="B1380" s="3">
        <v>2019</v>
      </c>
      <c r="C1380" s="45" t="s">
        <v>893</v>
      </c>
      <c r="D1380" s="27" t="s">
        <v>171</v>
      </c>
      <c r="E1380" s="57" t="s">
        <v>172</v>
      </c>
      <c r="F1380" s="57" t="s">
        <v>172</v>
      </c>
      <c r="G1380" s="171">
        <v>112.43</v>
      </c>
      <c r="H1380" s="170">
        <f t="shared" si="84"/>
        <v>125.86251913725245</v>
      </c>
      <c r="I1380" s="244">
        <v>1.9256328571917927</v>
      </c>
      <c r="J1380" s="244"/>
      <c r="V1380" s="56">
        <v>112.34</v>
      </c>
      <c r="W1380" s="8"/>
      <c r="AB1380" s="77"/>
      <c r="AE1380" s="3" t="s">
        <v>901</v>
      </c>
      <c r="AF1380" s="20" t="s">
        <v>156</v>
      </c>
      <c r="AG1380" s="100" t="s">
        <v>903</v>
      </c>
    </row>
    <row r="1381" spans="1:33" ht="20.100000000000001" hidden="1" customHeight="1">
      <c r="A1381" s="16" t="s">
        <v>26</v>
      </c>
      <c r="B1381" s="15">
        <v>2019</v>
      </c>
      <c r="C1381" s="45" t="s">
        <v>893</v>
      </c>
      <c r="D1381" s="27" t="s">
        <v>188</v>
      </c>
      <c r="E1381" s="17" t="s">
        <v>189</v>
      </c>
      <c r="F1381" s="17" t="s">
        <v>904</v>
      </c>
      <c r="G1381" s="168">
        <v>298.19</v>
      </c>
      <c r="H1381" s="170">
        <f t="shared" si="84"/>
        <v>333.81610407842487</v>
      </c>
      <c r="I1381" s="170">
        <v>5.1072174836433382</v>
      </c>
      <c r="V1381" s="29">
        <v>2761</v>
      </c>
      <c r="W1381" s="18">
        <v>9</v>
      </c>
      <c r="AB1381" s="77"/>
      <c r="AE1381" s="15" t="s">
        <v>901</v>
      </c>
      <c r="AF1381" s="20" t="s">
        <v>156</v>
      </c>
      <c r="AG1381" s="32" t="s">
        <v>905</v>
      </c>
    </row>
    <row r="1382" spans="1:33" ht="20.100000000000001" hidden="1" customHeight="1">
      <c r="A1382" s="16" t="s">
        <v>26</v>
      </c>
      <c r="B1382" s="15">
        <v>2019</v>
      </c>
      <c r="C1382" s="45" t="s">
        <v>893</v>
      </c>
      <c r="D1382" s="27" t="s">
        <v>906</v>
      </c>
      <c r="E1382" s="27" t="s">
        <v>907</v>
      </c>
      <c r="F1382" s="17" t="s">
        <v>908</v>
      </c>
      <c r="G1382" s="168">
        <v>127.77</v>
      </c>
      <c r="H1382" s="170">
        <f t="shared" si="84"/>
        <v>143.03525811764428</v>
      </c>
      <c r="I1382" s="170">
        <f>(G1382/'Total Revenue (Millions)'!D65)*100</f>
        <v>4.2880587447603258</v>
      </c>
      <c r="V1382" s="29">
        <v>7600</v>
      </c>
      <c r="W1382" s="18"/>
      <c r="AB1382" s="77"/>
      <c r="AE1382" s="15"/>
      <c r="AF1382" s="20"/>
      <c r="AG1382" s="32" t="s">
        <v>909</v>
      </c>
    </row>
    <row r="1383" spans="1:33" ht="20.100000000000001" hidden="1" customHeight="1">
      <c r="A1383" s="16" t="s">
        <v>26</v>
      </c>
      <c r="B1383" s="15">
        <v>2019</v>
      </c>
      <c r="C1383" s="45" t="s">
        <v>893</v>
      </c>
      <c r="D1383" s="17" t="s">
        <v>264</v>
      </c>
      <c r="E1383" s="9" t="s">
        <v>910</v>
      </c>
      <c r="F1383" s="17" t="s">
        <v>911</v>
      </c>
      <c r="G1383" s="172">
        <v>70.22</v>
      </c>
      <c r="H1383" s="170">
        <f t="shared" si="84"/>
        <v>78.609500078429832</v>
      </c>
      <c r="I1383" s="168">
        <v>1.2026487514130102</v>
      </c>
      <c r="J1383" s="168"/>
      <c r="V1383" s="7">
        <v>1017.65</v>
      </c>
      <c r="W1383" s="18"/>
      <c r="AB1383" s="77"/>
      <c r="AD1383" s="77"/>
      <c r="AE1383" s="15" t="s">
        <v>912</v>
      </c>
      <c r="AF1383" s="20" t="s">
        <v>156</v>
      </c>
      <c r="AG1383" s="32" t="s">
        <v>913</v>
      </c>
    </row>
    <row r="1384" spans="1:33" ht="20.100000000000001" hidden="1" customHeight="1">
      <c r="A1384" s="16" t="s">
        <v>26</v>
      </c>
      <c r="B1384" s="15">
        <v>2019</v>
      </c>
      <c r="C1384" s="45" t="s">
        <v>893</v>
      </c>
      <c r="D1384" s="17" t="s">
        <v>264</v>
      </c>
      <c r="E1384" s="9" t="s">
        <v>914</v>
      </c>
      <c r="F1384" s="17" t="s">
        <v>915</v>
      </c>
      <c r="G1384" s="172">
        <v>19.760000000000002</v>
      </c>
      <c r="H1384" s="170">
        <f t="shared" si="84"/>
        <v>22.120816313725062</v>
      </c>
      <c r="I1384" s="168">
        <v>0.33849542698592128</v>
      </c>
      <c r="J1384" s="168"/>
      <c r="V1384" s="7">
        <v>330.05</v>
      </c>
      <c r="W1384" s="18"/>
      <c r="AB1384" s="77"/>
      <c r="AD1384" s="77"/>
      <c r="AE1384" s="15" t="s">
        <v>912</v>
      </c>
      <c r="AF1384" s="20" t="s">
        <v>156</v>
      </c>
      <c r="AG1384" s="32" t="s">
        <v>913</v>
      </c>
    </row>
    <row r="1385" spans="1:33" ht="20.100000000000001" hidden="1" customHeight="1">
      <c r="A1385" s="16" t="s">
        <v>26</v>
      </c>
      <c r="B1385" s="15">
        <v>2019</v>
      </c>
      <c r="C1385" s="45" t="s">
        <v>893</v>
      </c>
      <c r="D1385" s="9" t="s">
        <v>264</v>
      </c>
      <c r="E1385" s="17" t="s">
        <v>916</v>
      </c>
      <c r="F1385" s="17" t="s">
        <v>917</v>
      </c>
      <c r="G1385" s="168">
        <f>SUM(G1383:G1384)</f>
        <v>89.98</v>
      </c>
      <c r="H1385" s="170">
        <f t="shared" si="84"/>
        <v>100.7303163921549</v>
      </c>
      <c r="I1385" s="170">
        <v>1.5411441783989315</v>
      </c>
      <c r="V1385" s="7">
        <v>1347.7</v>
      </c>
      <c r="W1385" s="18"/>
      <c r="AB1385" s="77"/>
      <c r="AE1385" s="15" t="s">
        <v>912</v>
      </c>
      <c r="AF1385" s="20" t="s">
        <v>156</v>
      </c>
      <c r="AG1385" s="32" t="s">
        <v>918</v>
      </c>
    </row>
    <row r="1386" spans="1:33" ht="20.100000000000001" hidden="1" customHeight="1">
      <c r="A1386" s="16" t="s">
        <v>26</v>
      </c>
      <c r="B1386" s="15">
        <v>2019</v>
      </c>
      <c r="C1386" s="45" t="s">
        <v>893</v>
      </c>
      <c r="D1386" s="27" t="s">
        <v>202</v>
      </c>
      <c r="E1386" s="17"/>
      <c r="F1386" s="17"/>
      <c r="G1386" s="168">
        <f>'Total Revenue (Millions)'!D65-SUM('Unified sheet'!G105:G111)-G1385</f>
        <v>2889.69</v>
      </c>
      <c r="H1386" s="170">
        <f t="shared" si="84"/>
        <v>3234.9342962352312</v>
      </c>
      <c r="I1386" s="170">
        <f>100-SUM(I1376:I1382,I1385)</f>
        <v>-22.206950886399213</v>
      </c>
      <c r="V1386" s="9"/>
      <c r="W1386" s="18"/>
      <c r="AB1386" s="77"/>
      <c r="AE1386" s="15"/>
      <c r="AF1386" s="20"/>
      <c r="AG1386" s="32" t="s">
        <v>203</v>
      </c>
    </row>
    <row r="1387" spans="1:33" ht="20.100000000000001" hidden="1" customHeight="1">
      <c r="A1387" s="16" t="s">
        <v>26</v>
      </c>
      <c r="B1387" s="15">
        <v>2020</v>
      </c>
      <c r="C1387" s="45" t="s">
        <v>893</v>
      </c>
      <c r="D1387" s="27" t="s">
        <v>401</v>
      </c>
      <c r="E1387" s="17" t="s">
        <v>894</v>
      </c>
      <c r="F1387" s="17" t="s">
        <v>434</v>
      </c>
      <c r="G1387" s="168">
        <v>1617</v>
      </c>
      <c r="H1387" s="170">
        <f t="shared" ref="H1387:H1396" si="85">G1387/0.875506396987998</f>
        <v>1846.9311081711796</v>
      </c>
      <c r="I1387" s="170">
        <v>27.0899648182275</v>
      </c>
      <c r="V1387" s="29"/>
      <c r="W1387" s="18"/>
      <c r="AB1387" s="77"/>
      <c r="AE1387" s="15"/>
      <c r="AF1387" s="20" t="s">
        <v>156</v>
      </c>
      <c r="AG1387" s="32" t="s">
        <v>919</v>
      </c>
    </row>
    <row r="1388" spans="1:33" ht="20.100000000000001" hidden="1" customHeight="1">
      <c r="A1388" s="16" t="s">
        <v>26</v>
      </c>
      <c r="B1388" s="15">
        <v>2020</v>
      </c>
      <c r="C1388" s="45" t="s">
        <v>893</v>
      </c>
      <c r="D1388" s="27" t="s">
        <v>154</v>
      </c>
      <c r="E1388" s="17" t="s">
        <v>155</v>
      </c>
      <c r="F1388" s="17" t="s">
        <v>155</v>
      </c>
      <c r="G1388" s="168">
        <v>1777</v>
      </c>
      <c r="H1388" s="170">
        <f t="shared" si="85"/>
        <v>2029.6824856030837</v>
      </c>
      <c r="I1388" s="170">
        <v>29.770480817557381</v>
      </c>
      <c r="V1388" s="9">
        <v>3741</v>
      </c>
      <c r="W1388" s="18"/>
      <c r="AB1388" s="77"/>
      <c r="AE1388" s="15" t="s">
        <v>896</v>
      </c>
      <c r="AF1388" s="20" t="s">
        <v>156</v>
      </c>
      <c r="AG1388" s="32" t="s">
        <v>920</v>
      </c>
    </row>
    <row r="1389" spans="1:33" ht="20.100000000000001" hidden="1" customHeight="1">
      <c r="A1389" s="16" t="s">
        <v>26</v>
      </c>
      <c r="B1389" s="26">
        <v>2020</v>
      </c>
      <c r="C1389" s="45" t="s">
        <v>893</v>
      </c>
      <c r="D1389" s="27" t="s">
        <v>160</v>
      </c>
      <c r="E1389" s="35" t="s">
        <v>921</v>
      </c>
      <c r="F1389" s="35" t="s">
        <v>160</v>
      </c>
      <c r="G1389" s="227">
        <v>1457.07</v>
      </c>
      <c r="H1389" s="170">
        <f t="shared" si="85"/>
        <v>1664.2596844669022</v>
      </c>
      <c r="I1389" s="227">
        <v>24.410621544647341</v>
      </c>
      <c r="J1389" s="227"/>
      <c r="K1389" s="139"/>
      <c r="L1389" s="139"/>
      <c r="M1389" s="139"/>
      <c r="N1389" s="139"/>
      <c r="O1389" s="139"/>
      <c r="P1389" s="139"/>
      <c r="Q1389" s="139"/>
      <c r="R1389" s="139"/>
      <c r="S1389" s="139"/>
      <c r="T1389" s="139"/>
      <c r="U1389" s="139"/>
      <c r="V1389" s="31">
        <v>13643</v>
      </c>
      <c r="W1389" s="42"/>
      <c r="X1389" s="139"/>
      <c r="Y1389" s="139"/>
      <c r="Z1389" s="139"/>
      <c r="AA1389" s="139"/>
      <c r="AB1389" s="139"/>
      <c r="AC1389" s="139"/>
      <c r="AD1389" s="139"/>
      <c r="AE1389" s="31" t="s">
        <v>899</v>
      </c>
      <c r="AF1389" s="34" t="s">
        <v>156</v>
      </c>
      <c r="AG1389" s="79" t="s">
        <v>922</v>
      </c>
    </row>
    <row r="1390" spans="1:33" ht="20.100000000000001" hidden="1" customHeight="1">
      <c r="A1390" s="16" t="s">
        <v>26</v>
      </c>
      <c r="B1390" s="3">
        <v>2020</v>
      </c>
      <c r="C1390" s="45" t="s">
        <v>893</v>
      </c>
      <c r="D1390" s="27" t="s">
        <v>171</v>
      </c>
      <c r="E1390" s="57" t="s">
        <v>172</v>
      </c>
      <c r="F1390" s="57" t="s">
        <v>172</v>
      </c>
      <c r="G1390" s="171">
        <v>175.72</v>
      </c>
      <c r="H1390" s="170">
        <f t="shared" si="85"/>
        <v>200.70670026458856</v>
      </c>
      <c r="I1390" s="244">
        <v>2.9438766962640308</v>
      </c>
      <c r="J1390" s="244"/>
      <c r="V1390" s="56">
        <v>175.72</v>
      </c>
      <c r="W1390" s="8"/>
      <c r="AB1390" s="77"/>
      <c r="AE1390" s="26" t="s">
        <v>901</v>
      </c>
      <c r="AF1390" s="20" t="s">
        <v>156</v>
      </c>
      <c r="AG1390" s="100" t="s">
        <v>923</v>
      </c>
    </row>
    <row r="1391" spans="1:33" ht="20.100000000000001" hidden="1" customHeight="1">
      <c r="A1391" s="16" t="s">
        <v>26</v>
      </c>
      <c r="B1391" s="15">
        <v>2020</v>
      </c>
      <c r="C1391" s="45" t="s">
        <v>893</v>
      </c>
      <c r="D1391" s="27" t="s">
        <v>188</v>
      </c>
      <c r="E1391" s="17" t="s">
        <v>189</v>
      </c>
      <c r="F1391" s="17" t="s">
        <v>904</v>
      </c>
      <c r="G1391" s="168">
        <v>286.01</v>
      </c>
      <c r="H1391" s="170">
        <f t="shared" si="85"/>
        <v>326.67950912061787</v>
      </c>
      <c r="I1391" s="170">
        <v>4.7915898810521025</v>
      </c>
      <c r="V1391" s="9">
        <v>2678</v>
      </c>
      <c r="W1391" s="18">
        <v>8.9</v>
      </c>
      <c r="AB1391" s="77"/>
      <c r="AE1391" s="3" t="s">
        <v>901</v>
      </c>
      <c r="AF1391" s="20" t="s">
        <v>156</v>
      </c>
      <c r="AG1391" s="32" t="s">
        <v>924</v>
      </c>
    </row>
    <row r="1392" spans="1:33" ht="20.100000000000001" hidden="1" customHeight="1">
      <c r="A1392" s="16" t="s">
        <v>26</v>
      </c>
      <c r="B1392" s="15">
        <v>2020</v>
      </c>
      <c r="C1392" s="45" t="s">
        <v>893</v>
      </c>
      <c r="D1392" s="27" t="s">
        <v>906</v>
      </c>
      <c r="E1392" s="17" t="s">
        <v>907</v>
      </c>
      <c r="F1392" s="17" t="s">
        <v>908</v>
      </c>
      <c r="G1392" s="168">
        <v>126.6</v>
      </c>
      <c r="H1392" s="170">
        <f t="shared" si="85"/>
        <v>144.60202739299402</v>
      </c>
      <c r="I1392" s="170">
        <f>(G1392/'Total Revenue (Millions)'!D66)*100</f>
        <v>3.6866735197248679</v>
      </c>
      <c r="V1392" s="9">
        <v>8900</v>
      </c>
      <c r="W1392" s="18"/>
      <c r="AB1392" s="77"/>
      <c r="AE1392" s="3"/>
      <c r="AF1392" s="20"/>
      <c r="AG1392" s="32" t="s">
        <v>925</v>
      </c>
    </row>
    <row r="1393" spans="1:33" ht="20.100000000000001" hidden="1" customHeight="1">
      <c r="A1393" s="16" t="s">
        <v>26</v>
      </c>
      <c r="B1393" s="16">
        <v>2020</v>
      </c>
      <c r="C1393" s="45" t="s">
        <v>893</v>
      </c>
      <c r="D1393" s="17" t="s">
        <v>264</v>
      </c>
      <c r="E1393" s="9" t="s">
        <v>926</v>
      </c>
      <c r="F1393" s="17" t="s">
        <v>911</v>
      </c>
      <c r="G1393" s="172">
        <v>75.89</v>
      </c>
      <c r="H1393" s="170">
        <f t="shared" si="85"/>
        <v>86.681262708169967</v>
      </c>
      <c r="I1393" s="168">
        <v>1.2713272910035183</v>
      </c>
      <c r="J1393" s="168"/>
      <c r="V1393" s="9">
        <v>961.55</v>
      </c>
      <c r="W1393" s="18"/>
      <c r="AB1393" s="77"/>
      <c r="AD1393" s="77"/>
      <c r="AE1393" s="15" t="s">
        <v>901</v>
      </c>
      <c r="AF1393" s="20" t="s">
        <v>156</v>
      </c>
      <c r="AG1393" s="32" t="s">
        <v>927</v>
      </c>
    </row>
    <row r="1394" spans="1:33" ht="20.100000000000001" hidden="1" customHeight="1">
      <c r="A1394" s="16" t="s">
        <v>26</v>
      </c>
      <c r="B1394" s="16">
        <v>2020</v>
      </c>
      <c r="C1394" s="45" t="s">
        <v>893</v>
      </c>
      <c r="D1394" s="17" t="s">
        <v>264</v>
      </c>
      <c r="E1394" s="9" t="s">
        <v>928</v>
      </c>
      <c r="F1394" s="17" t="s">
        <v>915</v>
      </c>
      <c r="G1394" s="172">
        <v>33.29</v>
      </c>
      <c r="H1394" s="170">
        <f t="shared" si="85"/>
        <v>38.02370846692552</v>
      </c>
      <c r="I1394" s="168">
        <v>0.55768725079577808</v>
      </c>
      <c r="J1394" s="168"/>
      <c r="V1394" s="9">
        <v>490.4</v>
      </c>
      <c r="W1394" s="18"/>
      <c r="AB1394" s="77"/>
      <c r="AD1394" s="77"/>
      <c r="AE1394" s="15" t="s">
        <v>912</v>
      </c>
      <c r="AF1394" s="20" t="s">
        <v>156</v>
      </c>
      <c r="AG1394" s="32" t="s">
        <v>927</v>
      </c>
    </row>
    <row r="1395" spans="1:33" ht="20.100000000000001" hidden="1" customHeight="1">
      <c r="A1395" s="16" t="s">
        <v>26</v>
      </c>
      <c r="B1395" s="15">
        <v>2020</v>
      </c>
      <c r="C1395" s="45" t="s">
        <v>893</v>
      </c>
      <c r="D1395" s="9" t="s">
        <v>264</v>
      </c>
      <c r="E1395" s="17" t="s">
        <v>916</v>
      </c>
      <c r="F1395" s="17" t="s">
        <v>917</v>
      </c>
      <c r="G1395" s="172">
        <v>109.17</v>
      </c>
      <c r="H1395" s="170">
        <f t="shared" si="85"/>
        <v>124.693549214006</v>
      </c>
      <c r="I1395" s="170">
        <v>1.8290145417992965</v>
      </c>
      <c r="V1395" s="9">
        <v>1451.95</v>
      </c>
      <c r="W1395" s="18"/>
      <c r="AB1395" s="77"/>
      <c r="AE1395" s="15" t="s">
        <v>912</v>
      </c>
      <c r="AF1395" s="20" t="s">
        <v>156</v>
      </c>
      <c r="AG1395" s="32" t="s">
        <v>929</v>
      </c>
    </row>
    <row r="1396" spans="1:33" ht="20.100000000000001" hidden="1" customHeight="1">
      <c r="A1396" s="16" t="s">
        <v>26</v>
      </c>
      <c r="B1396" s="15">
        <v>2020</v>
      </c>
      <c r="C1396" s="45" t="s">
        <v>893</v>
      </c>
      <c r="D1396" s="27" t="s">
        <v>202</v>
      </c>
      <c r="E1396" s="17"/>
      <c r="F1396" s="17"/>
      <c r="G1396" s="168">
        <f>'Total Revenue (Millions)'!D66-SUM('Unified sheet'!G116:G121)-G1395</f>
        <v>3324.8199999999997</v>
      </c>
      <c r="H1396" s="170">
        <f t="shared" si="85"/>
        <v>3797.5964669571435</v>
      </c>
      <c r="I1396" s="170">
        <f>100-SUM(I1387:I1392)-I1395</f>
        <v>5.4777781807274835</v>
      </c>
      <c r="V1396" s="9"/>
      <c r="W1396" s="18"/>
      <c r="AB1396" s="77"/>
      <c r="AE1396" s="15"/>
      <c r="AF1396" s="20"/>
      <c r="AG1396" s="32" t="s">
        <v>203</v>
      </c>
    </row>
    <row r="1397" spans="1:33" ht="20.100000000000001" hidden="1" customHeight="1">
      <c r="A1397" s="16" t="s">
        <v>26</v>
      </c>
      <c r="B1397" s="15">
        <v>2021</v>
      </c>
      <c r="C1397" s="45" t="s">
        <v>893</v>
      </c>
      <c r="D1397" s="27" t="s">
        <v>401</v>
      </c>
      <c r="E1397" s="17" t="s">
        <v>894</v>
      </c>
      <c r="F1397" s="17" t="s">
        <v>434</v>
      </c>
      <c r="G1397" s="168">
        <v>1607.3</v>
      </c>
      <c r="H1397" s="170">
        <f t="shared" ref="H1397:H1401" si="86">G1397/0.84549413889045</f>
        <v>1901.0185003875663</v>
      </c>
      <c r="I1397" s="170">
        <v>25.473881070115379</v>
      </c>
      <c r="V1397" s="9"/>
      <c r="W1397" s="18"/>
      <c r="AB1397" s="77"/>
      <c r="AE1397" s="15"/>
      <c r="AF1397" s="20" t="s">
        <v>156</v>
      </c>
      <c r="AG1397" s="32" t="s">
        <v>930</v>
      </c>
    </row>
    <row r="1398" spans="1:33" ht="20.100000000000001" hidden="1" customHeight="1">
      <c r="A1398" s="16" t="s">
        <v>26</v>
      </c>
      <c r="B1398" s="15">
        <v>2021</v>
      </c>
      <c r="C1398" s="45" t="s">
        <v>893</v>
      </c>
      <c r="D1398" s="27" t="s">
        <v>154</v>
      </c>
      <c r="E1398" s="17" t="s">
        <v>155</v>
      </c>
      <c r="F1398" s="17" t="s">
        <v>155</v>
      </c>
      <c r="G1398" s="168">
        <v>1888</v>
      </c>
      <c r="H1398" s="170">
        <f t="shared" si="86"/>
        <v>2233.0137054263205</v>
      </c>
      <c r="I1398" s="170">
        <v>29.922657537720298</v>
      </c>
      <c r="V1398" s="9">
        <v>3932.5</v>
      </c>
      <c r="W1398" s="18"/>
      <c r="AB1398" s="77"/>
      <c r="AE1398" s="15" t="s">
        <v>896</v>
      </c>
      <c r="AF1398" s="20" t="s">
        <v>156</v>
      </c>
      <c r="AG1398" s="32" t="s">
        <v>931</v>
      </c>
    </row>
    <row r="1399" spans="1:33" ht="20.100000000000001" hidden="1" customHeight="1">
      <c r="A1399" s="16" t="s">
        <v>26</v>
      </c>
      <c r="B1399" s="15">
        <v>2021</v>
      </c>
      <c r="C1399" s="45" t="s">
        <v>893</v>
      </c>
      <c r="D1399" s="27" t="s">
        <v>160</v>
      </c>
      <c r="E1399" s="17" t="s">
        <v>932</v>
      </c>
      <c r="F1399" s="17" t="s">
        <v>160</v>
      </c>
      <c r="G1399" s="168">
        <v>1395.62</v>
      </c>
      <c r="H1399" s="170">
        <f t="shared" si="86"/>
        <v>1650.6560315503609</v>
      </c>
      <c r="I1399" s="170">
        <v>22.118993280081142</v>
      </c>
      <c r="V1399" s="9">
        <v>13445.25</v>
      </c>
      <c r="W1399" s="18"/>
      <c r="AB1399" s="77"/>
      <c r="AE1399" s="15" t="s">
        <v>899</v>
      </c>
      <c r="AF1399" s="20" t="s">
        <v>156</v>
      </c>
      <c r="AG1399" s="32" t="s">
        <v>933</v>
      </c>
    </row>
    <row r="1400" spans="1:33" ht="20.100000000000001" hidden="1" customHeight="1">
      <c r="A1400" s="16" t="s">
        <v>26</v>
      </c>
      <c r="B1400" s="16">
        <v>2021</v>
      </c>
      <c r="C1400" s="45" t="s">
        <v>893</v>
      </c>
      <c r="D1400" s="27" t="s">
        <v>188</v>
      </c>
      <c r="E1400" s="17" t="s">
        <v>330</v>
      </c>
      <c r="F1400" s="17" t="s">
        <v>189</v>
      </c>
      <c r="G1400" s="227">
        <v>266.77</v>
      </c>
      <c r="H1400" s="170">
        <f t="shared" si="86"/>
        <v>315.51963251937474</v>
      </c>
      <c r="I1400" s="170">
        <v>4.2280017750729044</v>
      </c>
      <c r="V1400" s="47">
        <v>2570</v>
      </c>
      <c r="W1400" s="44">
        <v>8.65</v>
      </c>
      <c r="AB1400" s="77"/>
      <c r="AE1400" s="26" t="s">
        <v>901</v>
      </c>
      <c r="AF1400" s="20" t="s">
        <v>156</v>
      </c>
      <c r="AG1400" s="32" t="s">
        <v>934</v>
      </c>
    </row>
    <row r="1401" spans="1:33" ht="20.100000000000001" hidden="1" customHeight="1">
      <c r="A1401" s="16" t="s">
        <v>26</v>
      </c>
      <c r="B1401" s="3">
        <v>2021</v>
      </c>
      <c r="C1401" s="45" t="s">
        <v>893</v>
      </c>
      <c r="D1401" s="27" t="s">
        <v>171</v>
      </c>
      <c r="E1401" s="57" t="s">
        <v>172</v>
      </c>
      <c r="F1401" s="57" t="s">
        <v>172</v>
      </c>
      <c r="G1401" s="171">
        <v>276.39</v>
      </c>
      <c r="H1401" s="170">
        <f t="shared" si="86"/>
        <v>326.89759430232033</v>
      </c>
      <c r="I1401" s="244">
        <v>4.3804678585013308</v>
      </c>
      <c r="J1401" s="244"/>
      <c r="V1401" s="56">
        <v>276.39</v>
      </c>
      <c r="W1401" s="8"/>
      <c r="AB1401" s="77"/>
      <c r="AE1401" s="3" t="s">
        <v>901</v>
      </c>
      <c r="AF1401" s="20" t="s">
        <v>156</v>
      </c>
      <c r="AG1401" s="100" t="s">
        <v>935</v>
      </c>
    </row>
    <row r="1402" spans="1:33" ht="20.100000000000001" hidden="1" customHeight="1">
      <c r="A1402" s="16" t="s">
        <v>26</v>
      </c>
      <c r="B1402" s="3">
        <v>2022</v>
      </c>
      <c r="C1402" s="45" t="s">
        <v>893</v>
      </c>
      <c r="D1402" s="118" t="s">
        <v>906</v>
      </c>
      <c r="E1402" s="118" t="s">
        <v>907</v>
      </c>
      <c r="F1402" s="118" t="s">
        <v>908</v>
      </c>
      <c r="G1402" s="171">
        <v>130.1</v>
      </c>
      <c r="H1402" s="170">
        <f>G1402/0.949623753156941</f>
        <v>137.00162782101219</v>
      </c>
      <c r="I1402" s="244">
        <f>(G1402/'Total Revenue (Millions)'!D67)*100</f>
        <v>3.1707887733117559</v>
      </c>
      <c r="J1402" s="244"/>
      <c r="V1402" s="56">
        <v>9900</v>
      </c>
      <c r="W1402" s="8"/>
      <c r="AB1402" s="77"/>
      <c r="AE1402" s="3"/>
      <c r="AF1402" s="20"/>
      <c r="AG1402" s="100" t="s">
        <v>925</v>
      </c>
    </row>
    <row r="1403" spans="1:33" ht="20.100000000000001" hidden="1" customHeight="1">
      <c r="A1403" s="16" t="s">
        <v>26</v>
      </c>
      <c r="B1403" s="3">
        <v>2021</v>
      </c>
      <c r="C1403" s="45" t="s">
        <v>893</v>
      </c>
      <c r="D1403" s="57" t="s">
        <v>264</v>
      </c>
      <c r="E1403" s="6" t="s">
        <v>910</v>
      </c>
      <c r="F1403" s="57" t="s">
        <v>911</v>
      </c>
      <c r="G1403" s="171">
        <v>71.239999999999995</v>
      </c>
      <c r="H1403" s="170">
        <f t="shared" ref="H1403:H1406" si="87">G1403/0.84549413889045</f>
        <v>84.258419689921126</v>
      </c>
      <c r="I1403" s="171">
        <v>1.1289953404336248</v>
      </c>
      <c r="J1403" s="171"/>
      <c r="V1403" s="6">
        <v>849.25</v>
      </c>
      <c r="W1403" s="8"/>
      <c r="AB1403" s="77"/>
      <c r="AE1403" s="15" t="s">
        <v>901</v>
      </c>
      <c r="AF1403" s="20" t="s">
        <v>156</v>
      </c>
      <c r="AG1403" s="100" t="s">
        <v>927</v>
      </c>
    </row>
    <row r="1404" spans="1:33" ht="20.100000000000001" hidden="1" customHeight="1">
      <c r="A1404" s="16" t="s">
        <v>26</v>
      </c>
      <c r="B1404" s="3">
        <v>2021</v>
      </c>
      <c r="C1404" s="45" t="s">
        <v>893</v>
      </c>
      <c r="D1404" s="57" t="s">
        <v>264</v>
      </c>
      <c r="E1404" s="6" t="s">
        <v>914</v>
      </c>
      <c r="F1404" s="57" t="s">
        <v>915</v>
      </c>
      <c r="G1404" s="171">
        <v>107.59</v>
      </c>
      <c r="H1404" s="170">
        <f t="shared" si="87"/>
        <v>127.25102996123827</v>
      </c>
      <c r="I1404" s="171">
        <v>1.7051221947508559</v>
      </c>
      <c r="J1404" s="171"/>
      <c r="V1404" s="6">
        <v>647.5</v>
      </c>
      <c r="W1404" s="8"/>
      <c r="AB1404" s="77"/>
      <c r="AE1404" s="15" t="s">
        <v>912</v>
      </c>
      <c r="AF1404" s="20" t="s">
        <v>156</v>
      </c>
      <c r="AG1404" s="100" t="s">
        <v>927</v>
      </c>
    </row>
    <row r="1405" spans="1:33" ht="20.100000000000001" hidden="1" customHeight="1">
      <c r="A1405" s="16" t="s">
        <v>26</v>
      </c>
      <c r="B1405" s="3">
        <v>2021</v>
      </c>
      <c r="C1405" s="45" t="s">
        <v>893</v>
      </c>
      <c r="D1405" s="6" t="s">
        <v>264</v>
      </c>
      <c r="E1405" s="57" t="s">
        <v>916</v>
      </c>
      <c r="F1405" s="57" t="s">
        <v>917</v>
      </c>
      <c r="G1405" s="171">
        <v>178.82</v>
      </c>
      <c r="H1405" s="170">
        <f t="shared" si="87"/>
        <v>211.4976222480586</v>
      </c>
      <c r="I1405" s="244">
        <v>2.8341175351844807</v>
      </c>
      <c r="J1405" s="244"/>
      <c r="V1405" s="6">
        <v>1496.75</v>
      </c>
      <c r="W1405" s="8"/>
      <c r="AB1405" s="77"/>
      <c r="AE1405" s="15" t="s">
        <v>912</v>
      </c>
      <c r="AF1405" s="20" t="s">
        <v>156</v>
      </c>
      <c r="AG1405" s="100" t="s">
        <v>918</v>
      </c>
    </row>
    <row r="1406" spans="1:33" ht="20.100000000000001" hidden="1" customHeight="1">
      <c r="A1406" s="16" t="s">
        <v>26</v>
      </c>
      <c r="B1406" s="3">
        <v>2021</v>
      </c>
      <c r="C1406" s="45" t="s">
        <v>893</v>
      </c>
      <c r="D1406" s="27" t="s">
        <v>202</v>
      </c>
      <c r="E1406" s="57"/>
      <c r="F1406" s="57"/>
      <c r="G1406" s="171">
        <f>'Total Revenue (Millions)'!D67-SUM('Unified sheet'!G126:G131)-'Unified sheet'!G134</f>
        <v>4103.08</v>
      </c>
      <c r="H1406" s="170">
        <f t="shared" si="87"/>
        <v>4852.8781114727899</v>
      </c>
      <c r="I1406" s="244">
        <f>(G1406/'Total Revenue (Millions)'!D67)*100</f>
        <v>100</v>
      </c>
      <c r="J1406" s="244"/>
      <c r="V1406" s="6"/>
      <c r="W1406" s="8"/>
      <c r="AB1406" s="77"/>
      <c r="AE1406" s="15"/>
      <c r="AF1406" s="20"/>
      <c r="AG1406" s="100" t="s">
        <v>203</v>
      </c>
    </row>
    <row r="1407" spans="1:33" ht="20.100000000000001" hidden="1" customHeight="1">
      <c r="A1407" s="16" t="s">
        <v>26</v>
      </c>
      <c r="B1407" s="15">
        <v>2022</v>
      </c>
      <c r="C1407" s="45" t="s">
        <v>893</v>
      </c>
      <c r="D1407" s="27" t="s">
        <v>401</v>
      </c>
      <c r="E1407" s="17" t="s">
        <v>894</v>
      </c>
      <c r="F1407" s="17" t="s">
        <v>434</v>
      </c>
      <c r="G1407" s="168">
        <v>1607.3</v>
      </c>
      <c r="H1407" s="170">
        <f t="shared" ref="H1407:H1416" si="88">G1407/0.949623753156941</f>
        <v>1692.5650760700455</v>
      </c>
      <c r="I1407" s="170">
        <v>25.264511782449588</v>
      </c>
      <c r="V1407" s="9">
        <v>5000</v>
      </c>
      <c r="W1407" s="43">
        <f>27.5</f>
        <v>27.5</v>
      </c>
      <c r="AB1407" s="77"/>
      <c r="AE1407" s="15"/>
      <c r="AF1407" s="20" t="s">
        <v>156</v>
      </c>
      <c r="AG1407" s="32" t="s">
        <v>936</v>
      </c>
    </row>
    <row r="1408" spans="1:33" ht="20.100000000000001" hidden="1" customHeight="1">
      <c r="A1408" s="16" t="s">
        <v>26</v>
      </c>
      <c r="B1408" s="15">
        <v>2022</v>
      </c>
      <c r="C1408" s="45" t="s">
        <v>893</v>
      </c>
      <c r="D1408" s="27" t="s">
        <v>154</v>
      </c>
      <c r="E1408" s="17" t="s">
        <v>155</v>
      </c>
      <c r="F1408" s="17" t="s">
        <v>155</v>
      </c>
      <c r="G1408" s="171">
        <v>2037</v>
      </c>
      <c r="H1408" s="170">
        <f t="shared" si="88"/>
        <v>2145.0600758754949</v>
      </c>
      <c r="I1408" s="170">
        <v>31.190188182333216</v>
      </c>
      <c r="V1408" s="9">
        <v>4061.5</v>
      </c>
      <c r="W1408" s="18"/>
      <c r="AB1408" s="77"/>
      <c r="AE1408" s="15" t="s">
        <v>896</v>
      </c>
      <c r="AF1408" s="20" t="s">
        <v>156</v>
      </c>
      <c r="AG1408" s="32" t="s">
        <v>937</v>
      </c>
    </row>
    <row r="1409" spans="1:33" ht="20.100000000000001" hidden="1" customHeight="1">
      <c r="A1409" s="16" t="s">
        <v>26</v>
      </c>
      <c r="B1409" s="16">
        <v>2022</v>
      </c>
      <c r="C1409" s="45" t="s">
        <v>893</v>
      </c>
      <c r="D1409" s="27" t="s">
        <v>160</v>
      </c>
      <c r="E1409" s="17" t="s">
        <v>932</v>
      </c>
      <c r="F1409" s="17" t="s">
        <v>160</v>
      </c>
      <c r="G1409" s="168">
        <v>1350.22</v>
      </c>
      <c r="H1409" s="170">
        <f t="shared" si="88"/>
        <v>1421.8473321789938</v>
      </c>
      <c r="I1409" s="170">
        <v>20.674332787211565</v>
      </c>
      <c r="V1409" s="9">
        <v>13315.75</v>
      </c>
      <c r="W1409" s="18"/>
      <c r="AB1409" s="77"/>
      <c r="AE1409" s="15" t="s">
        <v>899</v>
      </c>
      <c r="AF1409" s="20" t="s">
        <v>156</v>
      </c>
      <c r="AG1409" s="32" t="s">
        <v>938</v>
      </c>
    </row>
    <row r="1410" spans="1:33" ht="20.100000000000001" hidden="1" customHeight="1">
      <c r="A1410" s="16" t="s">
        <v>26</v>
      </c>
      <c r="B1410" s="16">
        <v>2022</v>
      </c>
      <c r="C1410" s="45" t="s">
        <v>893</v>
      </c>
      <c r="D1410" s="27" t="s">
        <v>188</v>
      </c>
      <c r="E1410" s="17" t="s">
        <v>330</v>
      </c>
      <c r="F1410" s="17" t="s">
        <v>189</v>
      </c>
      <c r="G1410" s="172">
        <v>243.36</v>
      </c>
      <c r="H1410" s="170">
        <f t="shared" si="88"/>
        <v>256.26991657587649</v>
      </c>
      <c r="I1410" s="170">
        <v>3.7262858105314738</v>
      </c>
      <c r="V1410" s="31">
        <v>2400</v>
      </c>
      <c r="W1410" s="31">
        <v>8.4499999999999993</v>
      </c>
      <c r="AB1410" s="77"/>
      <c r="AE1410" s="26" t="s">
        <v>901</v>
      </c>
      <c r="AF1410" s="20" t="s">
        <v>156</v>
      </c>
      <c r="AG1410" s="32" t="s">
        <v>939</v>
      </c>
    </row>
    <row r="1411" spans="1:33" ht="20.100000000000001" hidden="1" customHeight="1">
      <c r="A1411" s="16" t="s">
        <v>26</v>
      </c>
      <c r="B1411" s="16">
        <v>2022</v>
      </c>
      <c r="C1411" s="45" t="s">
        <v>893</v>
      </c>
      <c r="D1411" s="27" t="s">
        <v>906</v>
      </c>
      <c r="E1411" s="27" t="s">
        <v>907</v>
      </c>
      <c r="F1411" s="27" t="s">
        <v>908</v>
      </c>
      <c r="G1411" s="172">
        <v>117</v>
      </c>
      <c r="H1411" s="170">
        <f t="shared" si="88"/>
        <v>123.20669066147907</v>
      </c>
      <c r="I1411" s="170">
        <f>(G1411/'Total Revenue (Millions)'!D68)*100</f>
        <v>11.42578125</v>
      </c>
      <c r="V1411" s="31"/>
      <c r="W1411" s="31"/>
      <c r="AB1411" s="77"/>
      <c r="AE1411" s="26"/>
      <c r="AF1411" s="20"/>
      <c r="AG1411" s="32" t="s">
        <v>940</v>
      </c>
    </row>
    <row r="1412" spans="1:33" ht="20.100000000000001" hidden="1" customHeight="1">
      <c r="A1412" s="16" t="s">
        <v>26</v>
      </c>
      <c r="B1412" s="55">
        <v>2022</v>
      </c>
      <c r="C1412" s="45" t="s">
        <v>893</v>
      </c>
      <c r="D1412" s="27" t="s">
        <v>171</v>
      </c>
      <c r="E1412" s="57" t="s">
        <v>172</v>
      </c>
      <c r="F1412" s="57" t="s">
        <v>172</v>
      </c>
      <c r="G1412" s="171">
        <v>402.71</v>
      </c>
      <c r="H1412" s="170">
        <f t="shared" si="88"/>
        <v>424.07321706225844</v>
      </c>
      <c r="I1412" s="244">
        <v>6.1662251757031958</v>
      </c>
      <c r="J1412" s="244"/>
      <c r="V1412" s="56">
        <v>402.71</v>
      </c>
      <c r="W1412" s="8"/>
      <c r="AB1412" s="77"/>
      <c r="AE1412" s="3" t="s">
        <v>901</v>
      </c>
      <c r="AF1412" s="20" t="s">
        <v>156</v>
      </c>
      <c r="AG1412" s="100" t="s">
        <v>941</v>
      </c>
    </row>
    <row r="1413" spans="1:33" ht="20.100000000000001" hidden="1" customHeight="1">
      <c r="A1413" s="16" t="s">
        <v>26</v>
      </c>
      <c r="B1413" s="3">
        <v>2022</v>
      </c>
      <c r="C1413" s="45" t="s">
        <v>893</v>
      </c>
      <c r="D1413" s="57" t="s">
        <v>264</v>
      </c>
      <c r="E1413" s="6" t="s">
        <v>910</v>
      </c>
      <c r="F1413" s="57" t="s">
        <v>911</v>
      </c>
      <c r="G1413" s="171">
        <v>71.06</v>
      </c>
      <c r="H1413" s="170">
        <f t="shared" si="88"/>
        <v>74.829636225681227</v>
      </c>
      <c r="I1413" s="171">
        <v>1.0880072884288539</v>
      </c>
      <c r="J1413" s="171"/>
      <c r="V1413" s="6">
        <v>741.1</v>
      </c>
      <c r="W1413" s="8"/>
      <c r="AB1413" s="77"/>
      <c r="AE1413" s="15" t="s">
        <v>901</v>
      </c>
      <c r="AF1413" s="20" t="s">
        <v>156</v>
      </c>
      <c r="AG1413" s="100" t="s">
        <v>927</v>
      </c>
    </row>
    <row r="1414" spans="1:33" ht="20.100000000000001" hidden="1" customHeight="1">
      <c r="A1414" s="16" t="s">
        <v>26</v>
      </c>
      <c r="B1414" s="3">
        <v>2022</v>
      </c>
      <c r="C1414" s="45" t="s">
        <v>893</v>
      </c>
      <c r="D1414" s="57" t="s">
        <v>264</v>
      </c>
      <c r="E1414" s="6" t="s">
        <v>914</v>
      </c>
      <c r="F1414" s="57" t="s">
        <v>915</v>
      </c>
      <c r="G1414" s="171">
        <v>60.83</v>
      </c>
      <c r="H1414" s="170">
        <f t="shared" si="88"/>
        <v>64.056948657587796</v>
      </c>
      <c r="I1414" s="171">
        <v>0.9313946010503914</v>
      </c>
      <c r="J1414" s="171"/>
      <c r="V1414" s="6">
        <v>846.25</v>
      </c>
      <c r="W1414" s="8"/>
      <c r="AB1414" s="77"/>
      <c r="AE1414" s="15" t="s">
        <v>912</v>
      </c>
      <c r="AF1414" s="20" t="s">
        <v>156</v>
      </c>
      <c r="AG1414" s="100" t="s">
        <v>927</v>
      </c>
    </row>
    <row r="1415" spans="1:33" ht="20.100000000000001" hidden="1" customHeight="1">
      <c r="A1415" s="16" t="s">
        <v>26</v>
      </c>
      <c r="B1415" s="3">
        <v>2022</v>
      </c>
      <c r="C1415" s="45" t="s">
        <v>893</v>
      </c>
      <c r="D1415" s="6" t="s">
        <v>264</v>
      </c>
      <c r="E1415" s="57" t="s">
        <v>916</v>
      </c>
      <c r="F1415" s="57" t="s">
        <v>917</v>
      </c>
      <c r="G1415" s="171">
        <v>131.88999999999999</v>
      </c>
      <c r="H1415" s="170">
        <f t="shared" si="88"/>
        <v>138.88658488326899</v>
      </c>
      <c r="I1415" s="244">
        <v>2.0194018894792451</v>
      </c>
      <c r="J1415" s="244"/>
      <c r="V1415" s="6">
        <f>SUM(V1413:V1414)</f>
        <v>1587.35</v>
      </c>
      <c r="W1415" s="8"/>
      <c r="AB1415" s="77"/>
      <c r="AE1415" s="15" t="s">
        <v>912</v>
      </c>
      <c r="AF1415" s="20" t="s">
        <v>156</v>
      </c>
      <c r="AG1415" s="100" t="s">
        <v>942</v>
      </c>
    </row>
    <row r="1416" spans="1:33" ht="20.100000000000001" hidden="1" customHeight="1">
      <c r="A1416" s="16" t="s">
        <v>26</v>
      </c>
      <c r="B1416" s="3">
        <v>2022</v>
      </c>
      <c r="C1416" s="45" t="s">
        <v>893</v>
      </c>
      <c r="D1416" s="27" t="s">
        <v>202</v>
      </c>
      <c r="E1416" s="57"/>
      <c r="F1416" s="57"/>
      <c r="G1416" s="171">
        <f>SUM('Total Revenue (Millions)'!D68-SUM('Unified sheet'!G136:G141)-'Unified sheet'!G144)</f>
        <v>1024</v>
      </c>
      <c r="H1416" s="170">
        <f t="shared" si="88"/>
        <v>1078.3218054474751</v>
      </c>
      <c r="I1416" s="244">
        <f>100-SUM(I1407:I1412,I1415)</f>
        <v>-0.46672687770828247</v>
      </c>
      <c r="J1416" s="244"/>
      <c r="V1416" s="6"/>
      <c r="W1416" s="8"/>
      <c r="AB1416" s="77"/>
      <c r="AE1416" s="15"/>
      <c r="AF1416" s="20"/>
      <c r="AG1416" s="100" t="s">
        <v>203</v>
      </c>
    </row>
    <row r="1417" spans="1:33" ht="20.100000000000001" hidden="1" customHeight="1">
      <c r="A1417" s="16" t="s">
        <v>26</v>
      </c>
      <c r="B1417" s="3">
        <v>2023</v>
      </c>
      <c r="C1417" s="45" t="s">
        <v>893</v>
      </c>
      <c r="D1417" s="27" t="s">
        <v>401</v>
      </c>
      <c r="E1417" s="17" t="s">
        <v>894</v>
      </c>
      <c r="F1417" s="17" t="s">
        <v>434</v>
      </c>
      <c r="G1417" s="171">
        <v>1650</v>
      </c>
      <c r="H1417" s="170">
        <f t="shared" ref="H1417:H1426" si="89">G1417/0.924839558470698</f>
        <v>1784.0932352941491</v>
      </c>
      <c r="I1417" s="244">
        <f>(G1417/'Total Revenue (Millions)'!$D$69)*100</f>
        <v>518.86792452830196</v>
      </c>
      <c r="J1417" s="244"/>
      <c r="V1417" s="6"/>
      <c r="W1417" s="8"/>
      <c r="AB1417" s="77"/>
      <c r="AE1417" s="15"/>
      <c r="AF1417" s="20"/>
      <c r="AG1417" s="100" t="s">
        <v>936</v>
      </c>
    </row>
    <row r="1418" spans="1:33" ht="20.100000000000001" hidden="1" customHeight="1">
      <c r="A1418" s="16" t="s">
        <v>26</v>
      </c>
      <c r="B1418" s="3">
        <v>2023</v>
      </c>
      <c r="C1418" s="45" t="s">
        <v>893</v>
      </c>
      <c r="D1418" s="27" t="s">
        <v>154</v>
      </c>
      <c r="E1418" s="17" t="s">
        <v>155</v>
      </c>
      <c r="F1418" s="17" t="s">
        <v>155</v>
      </c>
      <c r="G1418" s="171">
        <v>2196</v>
      </c>
      <c r="H1418" s="170">
        <f t="shared" si="89"/>
        <v>2374.465905882395</v>
      </c>
      <c r="I1418" s="244">
        <f>(G1418/'Total Revenue (Millions)'!$D$69)*100</f>
        <v>690.56603773584902</v>
      </c>
      <c r="J1418" s="244"/>
      <c r="V1418" s="6">
        <v>4241.5</v>
      </c>
      <c r="W1418" s="8"/>
      <c r="AB1418" s="77"/>
      <c r="AE1418" s="15"/>
      <c r="AF1418" s="20"/>
      <c r="AG1418" s="100" t="s">
        <v>943</v>
      </c>
    </row>
    <row r="1419" spans="1:33" ht="20.100000000000001" hidden="1" customHeight="1">
      <c r="A1419" s="16" t="s">
        <v>26</v>
      </c>
      <c r="B1419" s="3">
        <v>2023</v>
      </c>
      <c r="C1419" s="45" t="s">
        <v>893</v>
      </c>
      <c r="D1419" s="27" t="s">
        <v>160</v>
      </c>
      <c r="E1419" s="17" t="s">
        <v>932</v>
      </c>
      <c r="F1419" s="17" t="s">
        <v>160</v>
      </c>
      <c r="G1419" s="168">
        <v>1302.7</v>
      </c>
      <c r="H1419" s="170">
        <f t="shared" si="89"/>
        <v>1408.5686409804171</v>
      </c>
      <c r="I1419" s="244">
        <f>(G1419/'Total Revenue (Millions)'!$D$69)*100</f>
        <v>409.6540880503145</v>
      </c>
      <c r="J1419" s="244"/>
      <c r="V1419" s="6">
        <v>12939</v>
      </c>
      <c r="W1419" s="8"/>
      <c r="AB1419" s="77"/>
      <c r="AE1419" s="15"/>
      <c r="AF1419" s="20"/>
      <c r="AG1419" s="263" t="s">
        <v>944</v>
      </c>
    </row>
    <row r="1420" spans="1:33" ht="20.100000000000001" hidden="1" customHeight="1">
      <c r="A1420" s="16" t="s">
        <v>26</v>
      </c>
      <c r="B1420" s="3">
        <v>2023</v>
      </c>
      <c r="C1420" s="45" t="s">
        <v>893</v>
      </c>
      <c r="D1420" s="27" t="s">
        <v>188</v>
      </c>
      <c r="E1420" s="17" t="s">
        <v>330</v>
      </c>
      <c r="F1420" s="17" t="s">
        <v>189</v>
      </c>
      <c r="G1420" s="171">
        <v>416.4</v>
      </c>
      <c r="H1420" s="170">
        <f t="shared" si="89"/>
        <v>450.24025647059614</v>
      </c>
      <c r="I1420" s="244">
        <f>(G1420/'Total Revenue (Millions)'!$D$69)*100</f>
        <v>130.94339622641508</v>
      </c>
      <c r="J1420" s="244"/>
      <c r="V1420" s="6"/>
      <c r="W1420" s="5"/>
      <c r="AB1420" s="77"/>
      <c r="AE1420" s="15"/>
      <c r="AF1420" s="20"/>
      <c r="AG1420" s="77" t="s">
        <v>945</v>
      </c>
    </row>
    <row r="1421" spans="1:33" ht="20.100000000000001" hidden="1" customHeight="1">
      <c r="A1421" s="16" t="s">
        <v>26</v>
      </c>
      <c r="B1421" s="3">
        <v>2023</v>
      </c>
      <c r="C1421" s="45" t="s">
        <v>893</v>
      </c>
      <c r="D1421" s="27" t="s">
        <v>171</v>
      </c>
      <c r="E1421" s="57" t="s">
        <v>172</v>
      </c>
      <c r="F1421" s="57" t="s">
        <v>172</v>
      </c>
      <c r="G1421" s="171">
        <v>230.6</v>
      </c>
      <c r="H1421" s="170">
        <f t="shared" si="89"/>
        <v>249.34054549020047</v>
      </c>
      <c r="I1421" s="244">
        <f>(G1421/'Total Revenue (Millions)'!$D$69)*100</f>
        <v>72.515723270440247</v>
      </c>
      <c r="J1421" s="244"/>
      <c r="V1421" s="6">
        <v>229</v>
      </c>
      <c r="W1421" s="5">
        <v>8.39</v>
      </c>
      <c r="AB1421" s="77"/>
      <c r="AE1421" s="15"/>
      <c r="AF1421" s="20"/>
      <c r="AG1421" s="100" t="s">
        <v>946</v>
      </c>
    </row>
    <row r="1422" spans="1:33" ht="20.100000000000001" hidden="1" customHeight="1">
      <c r="A1422" s="16" t="s">
        <v>26</v>
      </c>
      <c r="B1422" s="3">
        <v>2023</v>
      </c>
      <c r="C1422" s="45" t="s">
        <v>893</v>
      </c>
      <c r="D1422" s="118" t="s">
        <v>906</v>
      </c>
      <c r="E1422" s="118" t="s">
        <v>908</v>
      </c>
      <c r="F1422" s="118" t="s">
        <v>908</v>
      </c>
      <c r="G1422" s="171">
        <v>119</v>
      </c>
      <c r="H1422" s="170">
        <f t="shared" si="89"/>
        <v>128.67096666666893</v>
      </c>
      <c r="I1422" s="244">
        <f>(G1422/'Total Revenue (Millions)'!$D$69)*100</f>
        <v>37.421383647798741</v>
      </c>
      <c r="J1422" s="244"/>
      <c r="V1422" s="6"/>
      <c r="W1422" s="5"/>
      <c r="AB1422" s="77"/>
      <c r="AE1422" s="15"/>
      <c r="AF1422" s="20"/>
      <c r="AG1422" s="100" t="s">
        <v>947</v>
      </c>
    </row>
    <row r="1423" spans="1:33" ht="20.100000000000001" hidden="1" customHeight="1">
      <c r="A1423" s="16" t="s">
        <v>26</v>
      </c>
      <c r="B1423" s="3">
        <v>2023</v>
      </c>
      <c r="C1423" s="45" t="s">
        <v>893</v>
      </c>
      <c r="D1423" s="57" t="s">
        <v>264</v>
      </c>
      <c r="E1423" s="6" t="s">
        <v>910</v>
      </c>
      <c r="F1423" s="57" t="s">
        <v>911</v>
      </c>
      <c r="G1423" s="171">
        <v>53.31</v>
      </c>
      <c r="H1423" s="170">
        <f t="shared" si="89"/>
        <v>57.642430529412785</v>
      </c>
      <c r="I1423" s="244">
        <f>(G1423/'Total Revenue (Millions)'!$D$69)*100</f>
        <v>16.764150943396228</v>
      </c>
      <c r="J1423" s="244"/>
      <c r="V1423" s="6">
        <v>634.70000000000005</v>
      </c>
      <c r="W1423" s="8"/>
      <c r="AB1423" s="77"/>
      <c r="AE1423" s="15"/>
      <c r="AF1423" s="20"/>
      <c r="AG1423" s="100" t="s">
        <v>948</v>
      </c>
    </row>
    <row r="1424" spans="1:33" ht="20.100000000000001" hidden="1" customHeight="1">
      <c r="A1424" s="16" t="s">
        <v>26</v>
      </c>
      <c r="B1424" s="3">
        <v>2023</v>
      </c>
      <c r="C1424" s="45" t="s">
        <v>893</v>
      </c>
      <c r="D1424" s="57" t="s">
        <v>264</v>
      </c>
      <c r="E1424" s="6" t="s">
        <v>914</v>
      </c>
      <c r="F1424" s="57" t="s">
        <v>915</v>
      </c>
      <c r="G1424" s="171">
        <v>98.11</v>
      </c>
      <c r="H1424" s="170">
        <f t="shared" si="89"/>
        <v>106.08326503921757</v>
      </c>
      <c r="I1424" s="244">
        <f>(G1424/'Total Revenue (Millions)'!$D$69)*100</f>
        <v>30.852201257861633</v>
      </c>
      <c r="J1424" s="244"/>
      <c r="V1424" s="6">
        <v>1169.6500000000001</v>
      </c>
      <c r="W1424" s="8"/>
      <c r="AB1424" s="77"/>
      <c r="AE1424" s="15"/>
      <c r="AF1424" s="20"/>
      <c r="AG1424" s="100" t="s">
        <v>949</v>
      </c>
    </row>
    <row r="1425" spans="1:33" ht="20.100000000000001" hidden="1" customHeight="1">
      <c r="A1425" s="16" t="s">
        <v>26</v>
      </c>
      <c r="B1425" s="3">
        <v>2023</v>
      </c>
      <c r="C1425" s="45" t="s">
        <v>893</v>
      </c>
      <c r="D1425" s="6" t="s">
        <v>264</v>
      </c>
      <c r="E1425" s="57" t="s">
        <v>916</v>
      </c>
      <c r="F1425" s="57" t="s">
        <v>917</v>
      </c>
      <c r="G1425" s="168">
        <v>151.41999999999999</v>
      </c>
      <c r="H1425" s="170">
        <f t="shared" si="89"/>
        <v>163.72569556863033</v>
      </c>
      <c r="I1425" s="244">
        <f>(G1425/'Total Revenue (Millions)'!$D$69)*100</f>
        <v>47.616352201257854</v>
      </c>
      <c r="J1425" s="244"/>
      <c r="V1425" s="6">
        <v>1804.35</v>
      </c>
      <c r="W1425" s="8"/>
      <c r="AB1425" s="77"/>
      <c r="AE1425" s="15"/>
      <c r="AF1425" s="20"/>
      <c r="AG1425" s="100" t="s">
        <v>950</v>
      </c>
    </row>
    <row r="1426" spans="1:33" ht="20.100000000000001" hidden="1" customHeight="1">
      <c r="A1426" s="16" t="s">
        <v>26</v>
      </c>
      <c r="B1426" s="3">
        <v>2023</v>
      </c>
      <c r="C1426" s="45" t="s">
        <v>893</v>
      </c>
      <c r="D1426" s="27" t="s">
        <v>202</v>
      </c>
      <c r="E1426" s="57"/>
      <c r="F1426" s="57"/>
      <c r="G1426" s="171">
        <f>'Total Revenue (Millions)'!D69-SUM('Unified sheet'!G146:G151)-'Unified sheet'!G154</f>
        <v>318</v>
      </c>
      <c r="H1426" s="170">
        <f t="shared" si="89"/>
        <v>343.84342352941786</v>
      </c>
      <c r="I1426" s="244">
        <f>100-SUM(I1417:I1422,I1425)</f>
        <v>-1807.5849056603774</v>
      </c>
      <c r="J1426" s="244"/>
      <c r="V1426" s="6"/>
      <c r="W1426" s="8"/>
      <c r="AB1426" s="77"/>
      <c r="AE1426" s="15"/>
      <c r="AF1426" s="20"/>
      <c r="AG1426" s="100" t="s">
        <v>203</v>
      </c>
    </row>
    <row r="1427" spans="1:33" ht="20.100000000000001" hidden="1" customHeight="1">
      <c r="A1427" s="16" t="s">
        <v>26</v>
      </c>
      <c r="B1427" s="15">
        <v>2022</v>
      </c>
      <c r="C1427" s="14" t="s">
        <v>951</v>
      </c>
      <c r="D1427" s="9" t="s">
        <v>618</v>
      </c>
      <c r="E1427" s="57"/>
      <c r="F1427" s="57"/>
      <c r="G1427" s="236"/>
      <c r="H1427" s="236"/>
      <c r="I1427" s="238"/>
      <c r="J1427" s="238"/>
      <c r="AB1427" s="77"/>
      <c r="AG1427" s="9" t="s">
        <v>952</v>
      </c>
    </row>
    <row r="1428" spans="1:33" ht="20.100000000000001" hidden="1" customHeight="1">
      <c r="A1428" s="16" t="s">
        <v>26</v>
      </c>
      <c r="B1428" s="15">
        <v>2022</v>
      </c>
      <c r="C1428" s="14" t="s">
        <v>951</v>
      </c>
      <c r="D1428" s="9" t="s">
        <v>553</v>
      </c>
      <c r="E1428" s="129" t="s">
        <v>953</v>
      </c>
      <c r="F1428" s="129" t="s">
        <v>954</v>
      </c>
      <c r="G1428" s="236"/>
      <c r="H1428" s="236"/>
      <c r="I1428" s="238">
        <v>5.2</v>
      </c>
      <c r="J1428" s="238"/>
      <c r="AB1428" s="77"/>
      <c r="AG1428" s="9" t="s">
        <v>952</v>
      </c>
    </row>
    <row r="1429" spans="1:33" ht="20.100000000000001" hidden="1" customHeight="1">
      <c r="A1429" s="16" t="s">
        <v>26</v>
      </c>
      <c r="B1429" s="15">
        <v>2022</v>
      </c>
      <c r="C1429" s="14" t="s">
        <v>951</v>
      </c>
      <c r="D1429" s="9" t="s">
        <v>357</v>
      </c>
      <c r="E1429" s="57"/>
      <c r="F1429" s="57"/>
      <c r="G1429" s="236"/>
      <c r="H1429" s="236"/>
      <c r="I1429" s="238"/>
      <c r="J1429" s="238"/>
      <c r="AB1429" s="77"/>
      <c r="AG1429" s="9" t="s">
        <v>952</v>
      </c>
    </row>
    <row r="1430" spans="1:33" ht="20.100000000000001" hidden="1" customHeight="1">
      <c r="A1430" s="16" t="s">
        <v>26</v>
      </c>
      <c r="B1430" s="15">
        <v>2022</v>
      </c>
      <c r="C1430" s="14" t="s">
        <v>951</v>
      </c>
      <c r="D1430" s="27" t="s">
        <v>171</v>
      </c>
      <c r="E1430" s="57"/>
      <c r="F1430" s="57"/>
      <c r="G1430" s="236"/>
      <c r="H1430" s="236"/>
      <c r="I1430" s="238"/>
      <c r="J1430" s="238"/>
      <c r="AB1430" s="77"/>
      <c r="AG1430" s="9" t="s">
        <v>952</v>
      </c>
    </row>
    <row r="1431" spans="1:33" ht="20.100000000000001" hidden="1" customHeight="1">
      <c r="A1431" s="16" t="s">
        <v>26</v>
      </c>
      <c r="B1431" s="15">
        <v>2022</v>
      </c>
      <c r="C1431" s="14" t="s">
        <v>951</v>
      </c>
      <c r="D1431" s="9" t="s">
        <v>444</v>
      </c>
      <c r="E1431" s="57"/>
      <c r="F1431" s="57"/>
      <c r="G1431" s="236"/>
      <c r="H1431" s="236"/>
      <c r="I1431" s="238"/>
      <c r="J1431" s="238"/>
      <c r="AB1431" s="77"/>
      <c r="AG1431" s="9" t="s">
        <v>952</v>
      </c>
    </row>
    <row r="1432" spans="1:33" ht="20.100000000000001" hidden="1" customHeight="1">
      <c r="A1432" s="16" t="s">
        <v>26</v>
      </c>
      <c r="B1432" s="15">
        <v>2022</v>
      </c>
      <c r="C1432" s="14" t="s">
        <v>951</v>
      </c>
      <c r="D1432" s="9" t="s">
        <v>955</v>
      </c>
      <c r="E1432" s="57"/>
      <c r="F1432" s="57"/>
      <c r="G1432" s="236"/>
      <c r="H1432" s="236"/>
      <c r="I1432" s="238"/>
      <c r="J1432" s="238"/>
      <c r="AB1432" s="77"/>
      <c r="AG1432" s="9" t="s">
        <v>952</v>
      </c>
    </row>
    <row r="1433" spans="1:33" ht="20.100000000000001" hidden="1" customHeight="1">
      <c r="A1433" s="16" t="s">
        <v>26</v>
      </c>
      <c r="B1433" s="15">
        <v>2022</v>
      </c>
      <c r="C1433" s="14" t="s">
        <v>951</v>
      </c>
      <c r="D1433" s="9" t="s">
        <v>956</v>
      </c>
      <c r="E1433" s="57"/>
      <c r="F1433" s="57"/>
      <c r="G1433" s="236"/>
      <c r="H1433" s="236"/>
      <c r="I1433" s="238"/>
      <c r="J1433" s="238"/>
      <c r="AB1433" s="77"/>
      <c r="AG1433" s="9" t="s">
        <v>952</v>
      </c>
    </row>
    <row r="1434" spans="1:33" ht="20.100000000000001" customHeight="1">
      <c r="A1434" s="16" t="s">
        <v>26</v>
      </c>
      <c r="B1434" s="15">
        <v>2022</v>
      </c>
      <c r="C1434" s="14" t="s">
        <v>951</v>
      </c>
      <c r="D1434" s="27" t="s">
        <v>676</v>
      </c>
      <c r="E1434" s="57"/>
      <c r="F1434" s="57"/>
      <c r="G1434" s="236"/>
      <c r="H1434" s="236"/>
      <c r="I1434" s="238"/>
      <c r="J1434" s="238"/>
      <c r="AB1434" s="77"/>
      <c r="AG1434" s="9" t="s">
        <v>952</v>
      </c>
    </row>
    <row r="1435" spans="1:33" ht="20.100000000000001" hidden="1" customHeight="1">
      <c r="A1435" s="16" t="s">
        <v>26</v>
      </c>
      <c r="B1435" s="15">
        <v>2022</v>
      </c>
      <c r="C1435" s="14" t="s">
        <v>951</v>
      </c>
      <c r="D1435" s="9" t="s">
        <v>957</v>
      </c>
      <c r="E1435" s="57"/>
      <c r="F1435" s="57"/>
      <c r="G1435" s="236"/>
      <c r="H1435" s="236"/>
      <c r="I1435" s="238"/>
      <c r="J1435" s="238"/>
      <c r="AB1435" s="77"/>
      <c r="AG1435" s="9" t="s">
        <v>952</v>
      </c>
    </row>
    <row r="1436" spans="1:33" ht="20.100000000000001" hidden="1" customHeight="1">
      <c r="A1436" s="16" t="s">
        <v>26</v>
      </c>
      <c r="B1436" s="15">
        <v>2022</v>
      </c>
      <c r="C1436" s="14" t="s">
        <v>951</v>
      </c>
      <c r="D1436" s="9" t="s">
        <v>581</v>
      </c>
      <c r="E1436" s="57"/>
      <c r="F1436" s="57"/>
      <c r="G1436" s="236"/>
      <c r="H1436" s="236"/>
      <c r="I1436" s="238"/>
      <c r="J1436" s="238"/>
      <c r="AB1436" s="77"/>
      <c r="AG1436" s="9" t="s">
        <v>952</v>
      </c>
    </row>
    <row r="1437" spans="1:33" ht="20.100000000000001" hidden="1" customHeight="1">
      <c r="A1437" s="16" t="s">
        <v>26</v>
      </c>
      <c r="B1437" s="15">
        <v>2022</v>
      </c>
      <c r="C1437" s="14" t="s">
        <v>951</v>
      </c>
      <c r="D1437" s="9" t="s">
        <v>958</v>
      </c>
      <c r="E1437" s="57"/>
      <c r="F1437" s="57"/>
      <c r="G1437" s="236"/>
      <c r="H1437" s="236"/>
      <c r="I1437" s="238"/>
      <c r="J1437" s="238"/>
      <c r="AB1437" s="77"/>
      <c r="AG1437" s="9" t="s">
        <v>952</v>
      </c>
    </row>
    <row r="1438" spans="1:33" ht="20.100000000000001" hidden="1" customHeight="1">
      <c r="A1438" s="16" t="s">
        <v>26</v>
      </c>
      <c r="B1438" s="15">
        <v>2022</v>
      </c>
      <c r="C1438" s="14" t="s">
        <v>951</v>
      </c>
      <c r="D1438" s="9" t="s">
        <v>353</v>
      </c>
      <c r="E1438" s="57"/>
      <c r="F1438" s="57"/>
      <c r="G1438" s="236"/>
      <c r="H1438" s="236"/>
      <c r="I1438" s="238"/>
      <c r="J1438" s="238"/>
      <c r="AB1438" s="77"/>
      <c r="AG1438" s="9" t="s">
        <v>952</v>
      </c>
    </row>
    <row r="1439" spans="1:33" ht="20.100000000000001" hidden="1" customHeight="1">
      <c r="A1439" s="16" t="s">
        <v>26</v>
      </c>
      <c r="B1439" s="15">
        <v>2022</v>
      </c>
      <c r="C1439" s="14" t="s">
        <v>951</v>
      </c>
      <c r="D1439" s="9" t="s">
        <v>959</v>
      </c>
      <c r="E1439" s="57"/>
      <c r="F1439" s="57"/>
      <c r="G1439" s="236"/>
      <c r="H1439" s="236"/>
      <c r="I1439" s="238"/>
      <c r="J1439" s="238"/>
      <c r="AB1439" s="77"/>
      <c r="AG1439" s="9" t="s">
        <v>952</v>
      </c>
    </row>
    <row r="1440" spans="1:33" ht="20.100000000000001" hidden="1" customHeight="1">
      <c r="A1440" s="16" t="s">
        <v>26</v>
      </c>
      <c r="B1440" s="15">
        <v>2022</v>
      </c>
      <c r="C1440" s="14" t="s">
        <v>951</v>
      </c>
      <c r="D1440" s="77" t="s">
        <v>532</v>
      </c>
      <c r="E1440" s="57"/>
      <c r="F1440" s="57"/>
      <c r="G1440" s="236"/>
      <c r="H1440" s="236"/>
      <c r="I1440" s="238"/>
      <c r="J1440" s="238"/>
      <c r="AB1440" s="77"/>
      <c r="AG1440" s="9" t="s">
        <v>952</v>
      </c>
    </row>
    <row r="1441" spans="1:33" ht="20.100000000000001" hidden="1" customHeight="1">
      <c r="A1441" s="16" t="s">
        <v>26</v>
      </c>
      <c r="B1441" s="15">
        <v>2023</v>
      </c>
      <c r="C1441" s="14" t="s">
        <v>951</v>
      </c>
      <c r="D1441" s="27" t="s">
        <v>171</v>
      </c>
      <c r="E1441" s="57" t="s">
        <v>960</v>
      </c>
      <c r="F1441" s="57" t="s">
        <v>961</v>
      </c>
      <c r="G1441" s="236"/>
      <c r="H1441" s="236"/>
      <c r="I1441" s="238">
        <v>6.31</v>
      </c>
      <c r="J1441" s="238"/>
      <c r="AB1441" s="77"/>
      <c r="AF1441" s="142"/>
      <c r="AG1441" s="150"/>
    </row>
    <row r="1442" spans="1:33" ht="20.100000000000001" customHeight="1">
      <c r="A1442" s="16" t="s">
        <v>26</v>
      </c>
      <c r="B1442" s="15">
        <v>2023</v>
      </c>
      <c r="C1442" s="14" t="s">
        <v>951</v>
      </c>
      <c r="D1442" s="27" t="s">
        <v>676</v>
      </c>
      <c r="E1442" s="129"/>
      <c r="F1442" s="57" t="s">
        <v>962</v>
      </c>
      <c r="G1442" s="236"/>
      <c r="H1442" s="236"/>
      <c r="I1442" s="238">
        <v>4.34</v>
      </c>
      <c r="J1442" s="238"/>
      <c r="AB1442" s="77"/>
      <c r="AF1442" s="142"/>
      <c r="AG1442" s="150"/>
    </row>
    <row r="1443" spans="1:33" ht="20.100000000000001" hidden="1" customHeight="1">
      <c r="A1443" s="16" t="s">
        <v>26</v>
      </c>
      <c r="B1443" s="15">
        <v>2023</v>
      </c>
      <c r="C1443" s="14" t="s">
        <v>951</v>
      </c>
      <c r="D1443" s="9" t="s">
        <v>956</v>
      </c>
      <c r="E1443" s="57" t="s">
        <v>963</v>
      </c>
      <c r="F1443" s="57" t="s">
        <v>964</v>
      </c>
      <c r="G1443" s="236"/>
      <c r="H1443" s="236"/>
      <c r="I1443" s="238">
        <v>2.89</v>
      </c>
      <c r="J1443" s="238"/>
      <c r="AB1443" s="77"/>
      <c r="AF1443" s="142"/>
      <c r="AG1443" s="150"/>
    </row>
    <row r="1444" spans="1:33" ht="20.100000000000001" hidden="1" customHeight="1">
      <c r="A1444" s="16" t="s">
        <v>26</v>
      </c>
      <c r="B1444" s="15">
        <v>2023</v>
      </c>
      <c r="C1444" s="14" t="s">
        <v>951</v>
      </c>
      <c r="D1444" s="9" t="s">
        <v>965</v>
      </c>
      <c r="E1444" s="57" t="s">
        <v>966</v>
      </c>
      <c r="F1444" s="57" t="s">
        <v>967</v>
      </c>
      <c r="G1444" s="236"/>
      <c r="H1444" s="236"/>
      <c r="I1444" s="238">
        <v>2.15</v>
      </c>
      <c r="J1444" s="238"/>
      <c r="AB1444" s="77"/>
      <c r="AG1444" s="9" t="s">
        <v>968</v>
      </c>
    </row>
    <row r="1445" spans="1:33" ht="20.100000000000001" hidden="1" customHeight="1">
      <c r="A1445" s="16" t="s">
        <v>26</v>
      </c>
      <c r="B1445" s="15">
        <v>2023</v>
      </c>
      <c r="C1445" s="14" t="s">
        <v>951</v>
      </c>
      <c r="D1445" s="9" t="s">
        <v>969</v>
      </c>
      <c r="E1445" s="57" t="s">
        <v>970</v>
      </c>
      <c r="F1445" s="57" t="s">
        <v>971</v>
      </c>
      <c r="G1445" s="236"/>
      <c r="H1445" s="236"/>
      <c r="I1445" s="238">
        <v>1.98</v>
      </c>
      <c r="J1445" s="238"/>
      <c r="AB1445" s="77"/>
      <c r="AF1445" s="142"/>
      <c r="AG1445" s="150"/>
    </row>
    <row r="1446" spans="1:33" ht="20.100000000000001" hidden="1" customHeight="1">
      <c r="A1446" s="16" t="s">
        <v>26</v>
      </c>
      <c r="B1446" s="15">
        <v>2023</v>
      </c>
      <c r="C1446" s="14" t="s">
        <v>951</v>
      </c>
      <c r="D1446" s="9" t="s">
        <v>444</v>
      </c>
      <c r="E1446" s="57" t="s">
        <v>972</v>
      </c>
      <c r="F1446" s="57" t="s">
        <v>973</v>
      </c>
      <c r="G1446" s="236"/>
      <c r="H1446" s="236"/>
      <c r="I1446" s="238">
        <v>2.84</v>
      </c>
      <c r="J1446" s="238"/>
      <c r="AB1446" s="77"/>
      <c r="AF1446" s="142"/>
      <c r="AG1446" s="150"/>
    </row>
    <row r="1447" spans="1:33" ht="20.100000000000001" hidden="1" customHeight="1">
      <c r="A1447" s="16" t="s">
        <v>26</v>
      </c>
      <c r="B1447" s="15">
        <v>2023</v>
      </c>
      <c r="C1447" s="14" t="s">
        <v>951</v>
      </c>
      <c r="D1447" s="9" t="s">
        <v>353</v>
      </c>
      <c r="E1447" s="57" t="s">
        <v>353</v>
      </c>
      <c r="F1447" s="57" t="s">
        <v>974</v>
      </c>
      <c r="G1447" s="236"/>
      <c r="H1447" s="236"/>
      <c r="I1447" s="238">
        <v>1.54</v>
      </c>
      <c r="J1447" s="238"/>
      <c r="AB1447" s="77"/>
      <c r="AF1447" s="142"/>
      <c r="AG1447" s="150"/>
    </row>
    <row r="1448" spans="1:33" ht="20.100000000000001" hidden="1" customHeight="1">
      <c r="A1448" s="16" t="s">
        <v>26</v>
      </c>
      <c r="B1448" s="15">
        <v>2023</v>
      </c>
      <c r="C1448" s="14" t="s">
        <v>951</v>
      </c>
      <c r="D1448" s="122" t="s">
        <v>975</v>
      </c>
      <c r="E1448" s="129" t="s">
        <v>976</v>
      </c>
      <c r="F1448" s="129" t="s">
        <v>977</v>
      </c>
      <c r="G1448" s="236"/>
      <c r="H1448" s="236"/>
      <c r="I1448" s="238">
        <v>1.33</v>
      </c>
      <c r="J1448" s="238"/>
      <c r="AB1448" s="77"/>
      <c r="AG1448" s="9" t="s">
        <v>978</v>
      </c>
    </row>
    <row r="1449" spans="1:33" ht="20.100000000000001" hidden="1" customHeight="1">
      <c r="A1449" s="16" t="s">
        <v>26</v>
      </c>
      <c r="B1449" s="15">
        <v>2023</v>
      </c>
      <c r="C1449" s="14" t="s">
        <v>951</v>
      </c>
      <c r="D1449" s="122" t="s">
        <v>482</v>
      </c>
      <c r="E1449" s="129" t="s">
        <v>979</v>
      </c>
      <c r="F1449" s="129" t="s">
        <v>980</v>
      </c>
      <c r="G1449" s="236"/>
      <c r="H1449" s="236"/>
      <c r="I1449" s="238">
        <v>1.1100000000000001</v>
      </c>
      <c r="J1449" s="238"/>
      <c r="AB1449" s="77"/>
      <c r="AG1449" s="9" t="s">
        <v>981</v>
      </c>
    </row>
    <row r="1450" spans="1:33" ht="20.100000000000001" hidden="1" customHeight="1">
      <c r="A1450" s="16" t="s">
        <v>26</v>
      </c>
      <c r="B1450" s="15">
        <v>2023</v>
      </c>
      <c r="C1450" s="14" t="s">
        <v>951</v>
      </c>
      <c r="D1450" s="122" t="s">
        <v>618</v>
      </c>
      <c r="E1450" s="129" t="s">
        <v>982</v>
      </c>
      <c r="F1450" s="129" t="s">
        <v>983</v>
      </c>
      <c r="G1450" s="236"/>
      <c r="H1450" s="236"/>
      <c r="I1450" s="238">
        <v>1.37</v>
      </c>
      <c r="J1450" s="238"/>
      <c r="AB1450" s="77"/>
      <c r="AG1450" s="9" t="s">
        <v>984</v>
      </c>
    </row>
    <row r="1451" spans="1:33" ht="20.100000000000001" hidden="1" customHeight="1">
      <c r="A1451" s="16" t="s">
        <v>26</v>
      </c>
      <c r="B1451" s="15">
        <v>2023</v>
      </c>
      <c r="C1451" s="14" t="s">
        <v>951</v>
      </c>
      <c r="D1451" s="9" t="s">
        <v>581</v>
      </c>
      <c r="E1451" s="130" t="s">
        <v>985</v>
      </c>
      <c r="F1451" s="130" t="s">
        <v>986</v>
      </c>
      <c r="G1451" s="236"/>
      <c r="H1451" s="236"/>
      <c r="I1451" s="238">
        <v>1.23</v>
      </c>
      <c r="J1451" s="238"/>
      <c r="AB1451" s="77"/>
      <c r="AF1451" s="142"/>
      <c r="AG1451" s="142"/>
    </row>
    <row r="1452" spans="1:33" ht="20.100000000000001" hidden="1" customHeight="1">
      <c r="A1452" s="16" t="s">
        <v>26</v>
      </c>
      <c r="B1452" s="16">
        <v>2008</v>
      </c>
      <c r="C1452" s="14" t="s">
        <v>987</v>
      </c>
      <c r="D1452" s="9" t="s">
        <v>666</v>
      </c>
      <c r="E1452" s="17" t="s">
        <v>988</v>
      </c>
      <c r="F1452" s="91" t="s">
        <v>287</v>
      </c>
      <c r="G1452" s="229" t="s">
        <v>287</v>
      </c>
      <c r="H1452" s="258"/>
      <c r="I1452" s="229">
        <v>52.1</v>
      </c>
      <c r="J1452" s="229"/>
      <c r="W1452" s="15"/>
      <c r="Z1452" s="15"/>
      <c r="AB1452" s="35"/>
      <c r="AD1452" s="34"/>
      <c r="AE1452" s="15"/>
      <c r="AF1452" s="18"/>
      <c r="AG1452" s="32" t="s">
        <v>989</v>
      </c>
    </row>
    <row r="1453" spans="1:33" ht="20.100000000000001" hidden="1" customHeight="1">
      <c r="A1453" s="16" t="s">
        <v>26</v>
      </c>
      <c r="B1453" s="16">
        <v>2008</v>
      </c>
      <c r="C1453" s="14" t="s">
        <v>987</v>
      </c>
      <c r="D1453" s="9" t="s">
        <v>990</v>
      </c>
      <c r="E1453" s="17" t="s">
        <v>990</v>
      </c>
      <c r="F1453" s="62"/>
      <c r="G1453" s="234"/>
      <c r="H1453" s="234"/>
      <c r="I1453" s="229">
        <v>1</v>
      </c>
      <c r="J1453" s="229"/>
      <c r="W1453" s="35"/>
      <c r="Z1453" s="35"/>
      <c r="AB1453" s="35"/>
      <c r="AD1453" s="34"/>
      <c r="AE1453" s="35"/>
      <c r="AF1453" s="18"/>
      <c r="AG1453" s="32" t="s">
        <v>991</v>
      </c>
    </row>
    <row r="1454" spans="1:33" ht="20.100000000000001" hidden="1" customHeight="1">
      <c r="A1454" s="16" t="s">
        <v>26</v>
      </c>
      <c r="B1454" s="16">
        <v>2008</v>
      </c>
      <c r="C1454" s="14" t="s">
        <v>987</v>
      </c>
      <c r="D1454" s="9" t="s">
        <v>992</v>
      </c>
      <c r="E1454" s="17" t="s">
        <v>992</v>
      </c>
      <c r="F1454" s="62"/>
      <c r="G1454" s="234"/>
      <c r="H1454" s="234"/>
      <c r="I1454" s="229">
        <v>1.5</v>
      </c>
      <c r="J1454" s="229"/>
      <c r="W1454" s="35"/>
      <c r="Z1454" s="35"/>
      <c r="AB1454" s="35"/>
      <c r="AD1454" s="34"/>
      <c r="AE1454" s="35"/>
      <c r="AF1454" s="148"/>
      <c r="AG1454" s="141"/>
    </row>
    <row r="1455" spans="1:33" ht="20.100000000000001" hidden="1" customHeight="1">
      <c r="A1455" s="16" t="s">
        <v>26</v>
      </c>
      <c r="B1455" s="16">
        <v>2008</v>
      </c>
      <c r="C1455" s="14" t="s">
        <v>987</v>
      </c>
      <c r="D1455" s="9" t="s">
        <v>993</v>
      </c>
      <c r="E1455" s="17" t="s">
        <v>993</v>
      </c>
      <c r="F1455" s="62"/>
      <c r="G1455" s="234"/>
      <c r="H1455" s="234"/>
      <c r="I1455" s="229">
        <v>1.1000000000000001</v>
      </c>
      <c r="J1455" s="229"/>
      <c r="W1455" s="35"/>
      <c r="Z1455" s="35"/>
      <c r="AB1455" s="35"/>
      <c r="AD1455" s="34"/>
      <c r="AE1455" s="35"/>
      <c r="AF1455" s="148"/>
      <c r="AG1455" s="141"/>
    </row>
    <row r="1456" spans="1:33" ht="20.100000000000001" hidden="1" customHeight="1">
      <c r="A1456" s="16" t="s">
        <v>26</v>
      </c>
      <c r="B1456" s="16">
        <v>2008</v>
      </c>
      <c r="C1456" s="14" t="s">
        <v>987</v>
      </c>
      <c r="D1456" s="27" t="s">
        <v>676</v>
      </c>
      <c r="E1456" s="17" t="s">
        <v>994</v>
      </c>
      <c r="F1456" s="62"/>
      <c r="G1456" s="234"/>
      <c r="H1456" s="234"/>
      <c r="I1456" s="229">
        <v>0.4</v>
      </c>
      <c r="J1456" s="229"/>
      <c r="W1456" s="35"/>
      <c r="Z1456" s="35"/>
      <c r="AB1456" s="35"/>
      <c r="AD1456" s="34"/>
      <c r="AE1456" s="35"/>
      <c r="AF1456" s="148"/>
      <c r="AG1456" s="141"/>
    </row>
    <row r="1457" spans="1:33" ht="20.100000000000001" hidden="1" customHeight="1">
      <c r="A1457" s="16" t="s">
        <v>26</v>
      </c>
      <c r="B1457" s="16">
        <v>2008</v>
      </c>
      <c r="C1457" s="14" t="s">
        <v>987</v>
      </c>
      <c r="D1457" s="9" t="s">
        <v>995</v>
      </c>
      <c r="E1457" s="17" t="s">
        <v>996</v>
      </c>
      <c r="F1457" s="62"/>
      <c r="G1457" s="234"/>
      <c r="H1457" s="234"/>
      <c r="I1457" s="229">
        <v>0.2</v>
      </c>
      <c r="J1457" s="229"/>
      <c r="W1457" s="35"/>
      <c r="Z1457" s="35"/>
      <c r="AB1457" s="35"/>
      <c r="AD1457" s="34"/>
      <c r="AE1457" s="35"/>
      <c r="AF1457" s="148"/>
      <c r="AG1457" s="141"/>
    </row>
    <row r="1458" spans="1:33" ht="20.100000000000001" hidden="1" customHeight="1">
      <c r="A1458" s="16" t="s">
        <v>26</v>
      </c>
      <c r="B1458" s="16">
        <v>2008</v>
      </c>
      <c r="C1458" s="14" t="s">
        <v>987</v>
      </c>
      <c r="D1458" s="9" t="s">
        <v>679</v>
      </c>
      <c r="E1458" s="17" t="s">
        <v>997</v>
      </c>
      <c r="F1458" s="62"/>
      <c r="G1458" s="234"/>
      <c r="H1458" s="234"/>
      <c r="I1458" s="229">
        <v>0.3</v>
      </c>
      <c r="J1458" s="229"/>
      <c r="W1458" s="35"/>
      <c r="Z1458" s="35"/>
      <c r="AB1458" s="35"/>
      <c r="AD1458" s="34"/>
      <c r="AE1458" s="35"/>
      <c r="AF1458" s="148"/>
      <c r="AG1458" s="141"/>
    </row>
    <row r="1459" spans="1:33" ht="20.100000000000001" hidden="1" customHeight="1">
      <c r="A1459" s="16" t="s">
        <v>26</v>
      </c>
      <c r="B1459" s="16">
        <v>2008</v>
      </c>
      <c r="C1459" s="14" t="s">
        <v>987</v>
      </c>
      <c r="D1459" s="27" t="s">
        <v>202</v>
      </c>
      <c r="E1459" s="17" t="s">
        <v>998</v>
      </c>
      <c r="F1459" s="62"/>
      <c r="G1459" s="234"/>
      <c r="H1459" s="234"/>
      <c r="I1459" s="229">
        <v>43.4</v>
      </c>
      <c r="J1459" s="229"/>
      <c r="W1459" s="35"/>
      <c r="Z1459" s="35"/>
      <c r="AB1459" s="35"/>
      <c r="AD1459" s="34"/>
      <c r="AE1459" s="35"/>
      <c r="AF1459" s="148"/>
      <c r="AG1459" s="141"/>
    </row>
    <row r="1460" spans="1:33" ht="20.100000000000001" hidden="1" customHeight="1">
      <c r="A1460" s="16" t="s">
        <v>26</v>
      </c>
      <c r="B1460" s="16">
        <v>2010</v>
      </c>
      <c r="C1460" s="14" t="s">
        <v>987</v>
      </c>
      <c r="D1460" s="9" t="s">
        <v>666</v>
      </c>
      <c r="E1460" s="17" t="s">
        <v>988</v>
      </c>
      <c r="F1460" s="62"/>
      <c r="G1460" s="234"/>
      <c r="H1460" s="234"/>
      <c r="I1460" s="229">
        <v>48.3</v>
      </c>
      <c r="J1460" s="229"/>
      <c r="W1460" s="35"/>
      <c r="Z1460" s="35"/>
      <c r="AB1460" s="35"/>
      <c r="AD1460" s="34"/>
      <c r="AE1460" s="35"/>
      <c r="AF1460" s="148"/>
      <c r="AG1460" s="141"/>
    </row>
    <row r="1461" spans="1:33" ht="20.100000000000001" hidden="1" customHeight="1">
      <c r="A1461" s="16" t="s">
        <v>26</v>
      </c>
      <c r="B1461" s="16">
        <v>2010</v>
      </c>
      <c r="C1461" s="14" t="s">
        <v>987</v>
      </c>
      <c r="D1461" s="9" t="s">
        <v>990</v>
      </c>
      <c r="E1461" s="17" t="s">
        <v>990</v>
      </c>
      <c r="F1461" s="62"/>
      <c r="G1461" s="234"/>
      <c r="H1461" s="234"/>
      <c r="I1461" s="229">
        <v>2.6</v>
      </c>
      <c r="J1461" s="229"/>
      <c r="W1461" s="35"/>
      <c r="Z1461" s="35"/>
      <c r="AB1461" s="35"/>
      <c r="AD1461" s="34"/>
      <c r="AE1461" s="35"/>
      <c r="AF1461" s="148"/>
      <c r="AG1461" s="141"/>
    </row>
    <row r="1462" spans="1:33" ht="20.100000000000001" hidden="1" customHeight="1">
      <c r="A1462" s="16" t="s">
        <v>26</v>
      </c>
      <c r="B1462" s="16">
        <v>2010</v>
      </c>
      <c r="C1462" s="14" t="s">
        <v>987</v>
      </c>
      <c r="D1462" s="9" t="s">
        <v>992</v>
      </c>
      <c r="E1462" s="17" t="s">
        <v>992</v>
      </c>
      <c r="F1462" s="62"/>
      <c r="G1462" s="234"/>
      <c r="H1462" s="234"/>
      <c r="I1462" s="229">
        <v>1.2</v>
      </c>
      <c r="J1462" s="229"/>
      <c r="W1462" s="35"/>
      <c r="Z1462" s="35"/>
      <c r="AB1462" s="35"/>
      <c r="AD1462" s="34"/>
      <c r="AE1462" s="35"/>
      <c r="AF1462" s="148"/>
      <c r="AG1462" s="141"/>
    </row>
    <row r="1463" spans="1:33" ht="20.100000000000001" hidden="1" customHeight="1">
      <c r="A1463" s="16" t="s">
        <v>26</v>
      </c>
      <c r="B1463" s="16">
        <v>2010</v>
      </c>
      <c r="C1463" s="14" t="s">
        <v>987</v>
      </c>
      <c r="D1463" s="9" t="s">
        <v>993</v>
      </c>
      <c r="E1463" s="17" t="s">
        <v>993</v>
      </c>
      <c r="F1463" s="62"/>
      <c r="G1463" s="234"/>
      <c r="H1463" s="234"/>
      <c r="I1463" s="229">
        <v>0.6</v>
      </c>
      <c r="J1463" s="229"/>
      <c r="W1463" s="35"/>
      <c r="Z1463" s="35"/>
      <c r="AB1463" s="35"/>
      <c r="AD1463" s="34"/>
      <c r="AE1463" s="35"/>
      <c r="AF1463" s="148"/>
      <c r="AG1463" s="141"/>
    </row>
    <row r="1464" spans="1:33" ht="20.100000000000001" hidden="1" customHeight="1">
      <c r="A1464" s="16" t="s">
        <v>26</v>
      </c>
      <c r="B1464" s="16">
        <v>2010</v>
      </c>
      <c r="C1464" s="14" t="s">
        <v>987</v>
      </c>
      <c r="D1464" s="27" t="s">
        <v>676</v>
      </c>
      <c r="E1464" s="17" t="s">
        <v>994</v>
      </c>
      <c r="F1464" s="62"/>
      <c r="G1464" s="234"/>
      <c r="H1464" s="234"/>
      <c r="I1464" s="229">
        <v>0.4</v>
      </c>
      <c r="J1464" s="229"/>
      <c r="W1464" s="35"/>
      <c r="Z1464" s="35"/>
      <c r="AB1464" s="35"/>
      <c r="AD1464" s="34"/>
      <c r="AE1464" s="35"/>
      <c r="AF1464" s="148"/>
      <c r="AG1464" s="141"/>
    </row>
    <row r="1465" spans="1:33" ht="20.100000000000001" hidden="1" customHeight="1">
      <c r="A1465" s="16" t="s">
        <v>26</v>
      </c>
      <c r="B1465" s="16">
        <v>2010</v>
      </c>
      <c r="C1465" s="14" t="s">
        <v>987</v>
      </c>
      <c r="D1465" s="9" t="s">
        <v>995</v>
      </c>
      <c r="E1465" s="17" t="s">
        <v>996</v>
      </c>
      <c r="F1465" s="62"/>
      <c r="G1465" s="234"/>
      <c r="H1465" s="234"/>
      <c r="I1465" s="229">
        <v>0.3</v>
      </c>
      <c r="J1465" s="229"/>
      <c r="W1465" s="35"/>
      <c r="Z1465" s="35"/>
      <c r="AB1465" s="35"/>
      <c r="AD1465" s="34"/>
      <c r="AE1465" s="35"/>
      <c r="AF1465" s="148"/>
      <c r="AG1465" s="141"/>
    </row>
    <row r="1466" spans="1:33" ht="20.100000000000001" hidden="1" customHeight="1">
      <c r="A1466" s="16" t="s">
        <v>26</v>
      </c>
      <c r="B1466" s="16">
        <v>2010</v>
      </c>
      <c r="C1466" s="14" t="s">
        <v>987</v>
      </c>
      <c r="D1466" s="9" t="s">
        <v>679</v>
      </c>
      <c r="E1466" s="17" t="s">
        <v>997</v>
      </c>
      <c r="F1466" s="62"/>
      <c r="G1466" s="234"/>
      <c r="H1466" s="234"/>
      <c r="I1466" s="229">
        <v>0.1</v>
      </c>
      <c r="J1466" s="229"/>
      <c r="W1466" s="35"/>
      <c r="Z1466" s="35"/>
      <c r="AB1466" s="35"/>
      <c r="AD1466" s="34"/>
      <c r="AE1466" s="35"/>
      <c r="AF1466" s="148"/>
      <c r="AG1466" s="141"/>
    </row>
    <row r="1467" spans="1:33" s="142" customFormat="1" ht="20.100000000000001" hidden="1" customHeight="1">
      <c r="A1467" s="16" t="s">
        <v>26</v>
      </c>
      <c r="B1467" s="16">
        <v>2010</v>
      </c>
      <c r="C1467" s="14" t="s">
        <v>987</v>
      </c>
      <c r="D1467" s="27" t="s">
        <v>202</v>
      </c>
      <c r="E1467" s="17" t="s">
        <v>998</v>
      </c>
      <c r="F1467" s="62"/>
      <c r="G1467" s="234"/>
      <c r="H1467" s="234"/>
      <c r="I1467" s="229">
        <v>46.6</v>
      </c>
      <c r="J1467" s="229"/>
      <c r="K1467" s="77"/>
      <c r="L1467" s="77"/>
      <c r="M1467" s="77"/>
      <c r="N1467" s="77"/>
      <c r="O1467" s="77"/>
      <c r="P1467" s="77"/>
      <c r="Q1467" s="77"/>
      <c r="R1467" s="77"/>
      <c r="S1467" s="77"/>
      <c r="T1467" s="77"/>
      <c r="U1467" s="77"/>
      <c r="V1467" s="77"/>
      <c r="W1467" s="35"/>
      <c r="X1467" s="77"/>
      <c r="Y1467" s="77"/>
      <c r="Z1467" s="35"/>
      <c r="AA1467" s="77"/>
      <c r="AB1467" s="35"/>
      <c r="AC1467" s="77"/>
      <c r="AD1467" s="34"/>
      <c r="AE1467" s="35"/>
      <c r="AF1467" s="148"/>
      <c r="AG1467" s="141"/>
    </row>
    <row r="1468" spans="1:33" ht="20.100000000000001" hidden="1" customHeight="1">
      <c r="A1468" s="16" t="s">
        <v>26</v>
      </c>
      <c r="B1468" s="16">
        <v>2009</v>
      </c>
      <c r="C1468" s="14" t="s">
        <v>49</v>
      </c>
      <c r="D1468" s="9" t="s">
        <v>999</v>
      </c>
      <c r="E1468" s="17" t="s">
        <v>999</v>
      </c>
      <c r="F1468" s="93"/>
      <c r="G1468" s="172" t="s">
        <v>287</v>
      </c>
      <c r="H1468" s="170">
        <v>2.1</v>
      </c>
      <c r="I1468" s="170">
        <v>47</v>
      </c>
      <c r="AB1468" s="77"/>
      <c r="AG1468" s="86" t="s">
        <v>1000</v>
      </c>
    </row>
    <row r="1469" spans="1:33" ht="20.100000000000001" hidden="1" customHeight="1">
      <c r="A1469" s="16" t="s">
        <v>26</v>
      </c>
      <c r="B1469" s="16">
        <v>2009</v>
      </c>
      <c r="C1469" s="14" t="s">
        <v>49</v>
      </c>
      <c r="D1469" s="9" t="s">
        <v>1001</v>
      </c>
      <c r="E1469" s="17" t="s">
        <v>1001</v>
      </c>
      <c r="F1469" s="17"/>
      <c r="G1469" s="230"/>
      <c r="H1469" s="170">
        <v>1.3</v>
      </c>
      <c r="I1469" s="170">
        <v>28</v>
      </c>
      <c r="AB1469" s="77"/>
      <c r="AG1469" s="86" t="s">
        <v>1002</v>
      </c>
    </row>
    <row r="1470" spans="1:33" s="142" customFormat="1" ht="20.100000000000001" hidden="1" customHeight="1">
      <c r="A1470" s="16" t="s">
        <v>26</v>
      </c>
      <c r="B1470" s="16">
        <v>2009</v>
      </c>
      <c r="C1470" s="14" t="s">
        <v>49</v>
      </c>
      <c r="D1470" s="9" t="s">
        <v>1003</v>
      </c>
      <c r="E1470" s="17" t="s">
        <v>1003</v>
      </c>
      <c r="F1470" s="17"/>
      <c r="G1470" s="230"/>
      <c r="H1470" s="170">
        <v>0.7</v>
      </c>
      <c r="I1470" s="170">
        <v>16</v>
      </c>
      <c r="J1470" s="170"/>
      <c r="K1470" s="77"/>
      <c r="L1470" s="77"/>
      <c r="M1470" s="77"/>
      <c r="N1470" s="77"/>
      <c r="O1470" s="77"/>
      <c r="P1470" s="77"/>
      <c r="Q1470" s="77"/>
      <c r="R1470" s="77"/>
      <c r="S1470" s="77"/>
      <c r="T1470" s="77"/>
      <c r="U1470" s="77"/>
      <c r="V1470" s="77"/>
      <c r="W1470" s="77"/>
      <c r="X1470" s="77"/>
      <c r="Y1470" s="77"/>
      <c r="Z1470" s="77"/>
      <c r="AA1470" s="77"/>
      <c r="AB1470" s="77"/>
      <c r="AC1470" s="77"/>
      <c r="AD1470" s="111"/>
      <c r="AE1470" s="77"/>
      <c r="AF1470" s="77"/>
      <c r="AG1470" s="86" t="s">
        <v>1004</v>
      </c>
    </row>
    <row r="1471" spans="1:33" ht="20.100000000000001" hidden="1" customHeight="1">
      <c r="A1471" s="16" t="s">
        <v>26</v>
      </c>
      <c r="B1471" s="16">
        <v>2009</v>
      </c>
      <c r="C1471" s="14" t="s">
        <v>49</v>
      </c>
      <c r="D1471" s="27" t="s">
        <v>188</v>
      </c>
      <c r="E1471" s="17" t="s">
        <v>1005</v>
      </c>
      <c r="F1471" s="17"/>
      <c r="G1471" s="230"/>
      <c r="H1471" s="170">
        <v>0.3</v>
      </c>
      <c r="I1471" s="170">
        <v>6</v>
      </c>
      <c r="AB1471" s="77"/>
      <c r="AF1471" s="142"/>
      <c r="AG1471" s="143"/>
    </row>
    <row r="1472" spans="1:33" ht="20.100000000000001" hidden="1" customHeight="1">
      <c r="A1472" s="16" t="s">
        <v>26</v>
      </c>
      <c r="B1472" s="16">
        <v>2009</v>
      </c>
      <c r="C1472" s="14" t="s">
        <v>49</v>
      </c>
      <c r="D1472" s="9" t="s">
        <v>1006</v>
      </c>
      <c r="E1472" s="17" t="s">
        <v>1006</v>
      </c>
      <c r="F1472" s="17"/>
      <c r="G1472" s="234"/>
      <c r="H1472" s="229"/>
      <c r="I1472" s="229">
        <v>3</v>
      </c>
      <c r="J1472" s="229"/>
      <c r="AB1472" s="77"/>
      <c r="AF1472" s="142"/>
      <c r="AG1472" s="143"/>
    </row>
    <row r="1473" spans="1:33" s="142" customFormat="1" ht="20.100000000000001" hidden="1" customHeight="1">
      <c r="A1473" s="16" t="s">
        <v>26</v>
      </c>
      <c r="B1473" s="16">
        <v>2011</v>
      </c>
      <c r="C1473" s="14" t="s">
        <v>49</v>
      </c>
      <c r="D1473" s="9" t="s">
        <v>999</v>
      </c>
      <c r="E1473" s="17" t="s">
        <v>999</v>
      </c>
      <c r="F1473" s="17"/>
      <c r="G1473" s="230"/>
      <c r="H1473" s="170">
        <v>2</v>
      </c>
      <c r="I1473" s="170">
        <v>45</v>
      </c>
      <c r="J1473" s="170"/>
      <c r="K1473" s="77"/>
      <c r="L1473" s="77"/>
      <c r="M1473" s="77"/>
      <c r="N1473" s="77"/>
      <c r="O1473" s="77"/>
      <c r="P1473" s="77"/>
      <c r="Q1473" s="77"/>
      <c r="R1473" s="77"/>
      <c r="S1473" s="77"/>
      <c r="T1473" s="77"/>
      <c r="U1473" s="77"/>
      <c r="V1473" s="77"/>
      <c r="W1473" s="77"/>
      <c r="X1473" s="77"/>
      <c r="Y1473" s="77"/>
      <c r="Z1473" s="77"/>
      <c r="AA1473" s="77"/>
      <c r="AB1473" s="77"/>
      <c r="AC1473" s="77"/>
      <c r="AD1473" s="111"/>
      <c r="AE1473" s="77"/>
      <c r="AG1473" s="143"/>
    </row>
    <row r="1474" spans="1:33" ht="20.100000000000001" hidden="1" customHeight="1">
      <c r="A1474" s="16" t="s">
        <v>26</v>
      </c>
      <c r="B1474" s="16">
        <v>2011</v>
      </c>
      <c r="C1474" s="14" t="s">
        <v>49</v>
      </c>
      <c r="D1474" s="9" t="s">
        <v>1001</v>
      </c>
      <c r="E1474" s="17" t="s">
        <v>1001</v>
      </c>
      <c r="F1474" s="17"/>
      <c r="G1474" s="230"/>
      <c r="H1474" s="170">
        <v>1.3</v>
      </c>
      <c r="I1474" s="170">
        <v>30</v>
      </c>
      <c r="AB1474" s="77"/>
      <c r="AF1474" s="142"/>
      <c r="AG1474" s="143"/>
    </row>
    <row r="1475" spans="1:33" ht="20.100000000000001" hidden="1" customHeight="1">
      <c r="A1475" s="16" t="s">
        <v>26</v>
      </c>
      <c r="B1475" s="16">
        <v>2011</v>
      </c>
      <c r="C1475" s="14" t="s">
        <v>49</v>
      </c>
      <c r="D1475" s="9" t="s">
        <v>1003</v>
      </c>
      <c r="E1475" s="17" t="s">
        <v>1003</v>
      </c>
      <c r="F1475" s="17"/>
      <c r="G1475" s="230"/>
      <c r="H1475" s="170">
        <v>0.8</v>
      </c>
      <c r="I1475" s="170">
        <v>17</v>
      </c>
      <c r="AB1475" s="77"/>
      <c r="AF1475" s="142"/>
      <c r="AG1475" s="143"/>
    </row>
    <row r="1476" spans="1:33" s="142" customFormat="1" ht="20.100000000000001" hidden="1" customHeight="1">
      <c r="A1476" s="16" t="s">
        <v>26</v>
      </c>
      <c r="B1476" s="16">
        <v>2011</v>
      </c>
      <c r="C1476" s="14" t="s">
        <v>49</v>
      </c>
      <c r="D1476" s="27" t="s">
        <v>188</v>
      </c>
      <c r="E1476" s="17" t="s">
        <v>1005</v>
      </c>
      <c r="F1476" s="17"/>
      <c r="G1476" s="230"/>
      <c r="H1476" s="170">
        <v>0.3</v>
      </c>
      <c r="I1476" s="170">
        <v>6</v>
      </c>
      <c r="J1476" s="170"/>
      <c r="K1476" s="77"/>
      <c r="L1476" s="77"/>
      <c r="M1476" s="77"/>
      <c r="N1476" s="77"/>
      <c r="O1476" s="77"/>
      <c r="P1476" s="77"/>
      <c r="Q1476" s="77"/>
      <c r="R1476" s="77"/>
      <c r="S1476" s="77"/>
      <c r="T1476" s="77"/>
      <c r="U1476" s="77"/>
      <c r="V1476" s="77"/>
      <c r="W1476" s="77"/>
      <c r="X1476" s="77"/>
      <c r="Y1476" s="77"/>
      <c r="Z1476" s="77"/>
      <c r="AA1476" s="77"/>
      <c r="AB1476" s="77"/>
      <c r="AC1476" s="77"/>
      <c r="AD1476" s="111"/>
      <c r="AE1476" s="77"/>
      <c r="AG1476" s="143"/>
    </row>
    <row r="1477" spans="1:33" ht="20.100000000000001" hidden="1" customHeight="1">
      <c r="A1477" s="16" t="s">
        <v>26</v>
      </c>
      <c r="B1477" s="16">
        <v>2011</v>
      </c>
      <c r="C1477" s="14" t="s">
        <v>49</v>
      </c>
      <c r="D1477" s="9" t="s">
        <v>1006</v>
      </c>
      <c r="E1477" s="17" t="s">
        <v>1006</v>
      </c>
      <c r="F1477" s="17"/>
      <c r="G1477" s="230"/>
      <c r="H1477" s="170">
        <v>0.1</v>
      </c>
      <c r="I1477" s="170">
        <v>2</v>
      </c>
      <c r="AB1477" s="77"/>
      <c r="AF1477" s="142"/>
      <c r="AG1477" s="143"/>
    </row>
    <row r="1478" spans="1:33" ht="20.100000000000001" hidden="1" customHeight="1">
      <c r="A1478" s="16" t="s">
        <v>26</v>
      </c>
      <c r="B1478" s="16">
        <v>1985</v>
      </c>
      <c r="C1478" s="14" t="s">
        <v>49</v>
      </c>
      <c r="D1478" s="9" t="s">
        <v>1007</v>
      </c>
      <c r="E1478" s="17" t="s">
        <v>1007</v>
      </c>
      <c r="F1478" s="17"/>
      <c r="G1478" s="234"/>
      <c r="H1478" s="226"/>
      <c r="I1478" s="229">
        <v>96.2</v>
      </c>
      <c r="J1478" s="229"/>
      <c r="AB1478" s="77"/>
      <c r="AF1478" s="142"/>
      <c r="AG1478" s="143"/>
    </row>
    <row r="1479" spans="1:33" s="142" customFormat="1" ht="20.100000000000001" hidden="1" customHeight="1">
      <c r="A1479" s="16" t="s">
        <v>26</v>
      </c>
      <c r="B1479" s="16">
        <v>1985</v>
      </c>
      <c r="C1479" s="14" t="s">
        <v>49</v>
      </c>
      <c r="D1479" s="9" t="s">
        <v>357</v>
      </c>
      <c r="E1479" s="17" t="s">
        <v>357</v>
      </c>
      <c r="F1479" s="17"/>
      <c r="G1479" s="234"/>
      <c r="H1479" s="226"/>
      <c r="I1479" s="229">
        <v>43.4</v>
      </c>
      <c r="J1479" s="229"/>
      <c r="K1479" s="77"/>
      <c r="L1479" s="77"/>
      <c r="M1479" s="77"/>
      <c r="N1479" s="77"/>
      <c r="O1479" s="77"/>
      <c r="P1479" s="77"/>
      <c r="Q1479" s="77"/>
      <c r="R1479" s="77"/>
      <c r="S1479" s="77"/>
      <c r="T1479" s="77"/>
      <c r="U1479" s="77"/>
      <c r="V1479" s="77"/>
      <c r="W1479" s="77"/>
      <c r="X1479" s="77"/>
      <c r="Y1479" s="77"/>
      <c r="Z1479" s="77"/>
      <c r="AA1479" s="77"/>
      <c r="AB1479" s="77"/>
      <c r="AC1479" s="77"/>
      <c r="AD1479" s="111"/>
      <c r="AE1479" s="77"/>
      <c r="AG1479" s="143"/>
    </row>
    <row r="1480" spans="1:33" ht="20.100000000000001" hidden="1" customHeight="1">
      <c r="A1480" s="16" t="s">
        <v>26</v>
      </c>
      <c r="B1480" s="16">
        <v>1985</v>
      </c>
      <c r="C1480" s="14" t="s">
        <v>49</v>
      </c>
      <c r="D1480" s="9" t="s">
        <v>353</v>
      </c>
      <c r="E1480" s="17" t="s">
        <v>353</v>
      </c>
      <c r="F1480" s="17"/>
      <c r="G1480" s="234"/>
      <c r="H1480" s="226"/>
      <c r="I1480" s="229">
        <v>42.6</v>
      </c>
      <c r="J1480" s="229"/>
      <c r="AB1480" s="77"/>
      <c r="AF1480" s="142"/>
      <c r="AG1480" s="143"/>
    </row>
    <row r="1481" spans="1:33" ht="20.100000000000001" hidden="1" customHeight="1">
      <c r="A1481" s="16" t="s">
        <v>26</v>
      </c>
      <c r="B1481" s="16">
        <v>1985</v>
      </c>
      <c r="C1481" s="14" t="s">
        <v>49</v>
      </c>
      <c r="D1481" s="27" t="s">
        <v>202</v>
      </c>
      <c r="E1481" s="17" t="s">
        <v>1008</v>
      </c>
      <c r="F1481" s="17"/>
      <c r="G1481" s="234"/>
      <c r="H1481" s="226"/>
      <c r="I1481" s="229">
        <v>10.199999999999999</v>
      </c>
      <c r="J1481" s="229"/>
      <c r="AB1481" s="77"/>
      <c r="AF1481" s="142"/>
      <c r="AG1481" s="143"/>
    </row>
    <row r="1482" spans="1:33" s="142" customFormat="1" ht="20.100000000000001" hidden="1" customHeight="1">
      <c r="A1482" s="16" t="s">
        <v>26</v>
      </c>
      <c r="B1482" s="16">
        <v>1985</v>
      </c>
      <c r="C1482" s="14" t="s">
        <v>49</v>
      </c>
      <c r="D1482" s="9" t="s">
        <v>1009</v>
      </c>
      <c r="E1482" s="17" t="s">
        <v>1009</v>
      </c>
      <c r="F1482" s="17"/>
      <c r="G1482" s="234"/>
      <c r="H1482" s="226"/>
      <c r="I1482" s="229"/>
      <c r="J1482" s="229"/>
      <c r="K1482" s="77"/>
      <c r="L1482" s="77"/>
      <c r="M1482" s="77"/>
      <c r="N1482" s="77"/>
      <c r="O1482" s="77"/>
      <c r="P1482" s="77"/>
      <c r="Q1482" s="77"/>
      <c r="R1482" s="77"/>
      <c r="S1482" s="77"/>
      <c r="T1482" s="77"/>
      <c r="U1482" s="77"/>
      <c r="V1482" s="77"/>
      <c r="W1482" s="77"/>
      <c r="X1482" s="77"/>
      <c r="Y1482" s="77"/>
      <c r="Z1482" s="77"/>
      <c r="AA1482" s="77"/>
      <c r="AB1482" s="77"/>
      <c r="AC1482" s="77"/>
      <c r="AD1482" s="111"/>
      <c r="AE1482" s="77"/>
      <c r="AG1482" s="143"/>
    </row>
    <row r="1483" spans="1:33" ht="20.100000000000001" hidden="1" customHeight="1">
      <c r="A1483" s="16" t="s">
        <v>26</v>
      </c>
      <c r="B1483" s="16">
        <v>1985</v>
      </c>
      <c r="C1483" s="14" t="s">
        <v>49</v>
      </c>
      <c r="D1483" s="9" t="s">
        <v>1010</v>
      </c>
      <c r="E1483" s="17" t="s">
        <v>1010</v>
      </c>
      <c r="F1483" s="17"/>
      <c r="G1483" s="234"/>
      <c r="H1483" s="226"/>
      <c r="I1483" s="229"/>
      <c r="J1483" s="229"/>
      <c r="AB1483" s="77"/>
      <c r="AF1483" s="142"/>
      <c r="AG1483" s="143"/>
    </row>
    <row r="1484" spans="1:33" ht="20.100000000000001" hidden="1" customHeight="1">
      <c r="A1484" s="16" t="s">
        <v>26</v>
      </c>
      <c r="B1484" s="16">
        <v>1985</v>
      </c>
      <c r="C1484" s="14" t="s">
        <v>49</v>
      </c>
      <c r="D1484" s="9" t="s">
        <v>1011</v>
      </c>
      <c r="E1484" s="17" t="s">
        <v>1011</v>
      </c>
      <c r="F1484" s="17"/>
      <c r="G1484" s="234"/>
      <c r="H1484" s="226"/>
      <c r="I1484" s="229"/>
      <c r="J1484" s="229"/>
      <c r="AB1484" s="77"/>
      <c r="AF1484" s="142"/>
      <c r="AG1484" s="143"/>
    </row>
    <row r="1485" spans="1:33" ht="20.100000000000001" hidden="1" customHeight="1">
      <c r="A1485" s="16" t="s">
        <v>26</v>
      </c>
      <c r="B1485" s="16">
        <v>1985</v>
      </c>
      <c r="C1485" s="14" t="s">
        <v>49</v>
      </c>
      <c r="D1485" s="9" t="s">
        <v>1012</v>
      </c>
      <c r="E1485" s="17" t="s">
        <v>1012</v>
      </c>
      <c r="F1485" s="17"/>
      <c r="G1485" s="234"/>
      <c r="H1485" s="226"/>
      <c r="I1485" s="229"/>
      <c r="J1485" s="229"/>
      <c r="AB1485" s="77"/>
      <c r="AF1485" s="142"/>
      <c r="AG1485" s="143"/>
    </row>
    <row r="1486" spans="1:33" ht="20.100000000000001" hidden="1" customHeight="1">
      <c r="A1486" s="16" t="s">
        <v>26</v>
      </c>
      <c r="B1486" s="16">
        <v>1985</v>
      </c>
      <c r="C1486" s="14" t="s">
        <v>49</v>
      </c>
      <c r="D1486" s="9" t="s">
        <v>1013</v>
      </c>
      <c r="E1486" s="17" t="s">
        <v>1013</v>
      </c>
      <c r="F1486" s="17"/>
      <c r="G1486" s="234"/>
      <c r="H1486" s="226"/>
      <c r="I1486" s="229"/>
      <c r="J1486" s="229"/>
      <c r="AB1486" s="77"/>
      <c r="AF1486" s="142"/>
      <c r="AG1486" s="143"/>
    </row>
    <row r="1487" spans="1:33" ht="20.100000000000001" hidden="1" customHeight="1">
      <c r="A1487" s="16" t="s">
        <v>26</v>
      </c>
      <c r="B1487" s="16">
        <v>1985</v>
      </c>
      <c r="C1487" s="14" t="s">
        <v>49</v>
      </c>
      <c r="D1487" s="9" t="s">
        <v>1014</v>
      </c>
      <c r="E1487" s="17" t="s">
        <v>1014</v>
      </c>
      <c r="F1487" s="17"/>
      <c r="G1487" s="234"/>
      <c r="H1487" s="226"/>
      <c r="I1487" s="229"/>
      <c r="J1487" s="229"/>
      <c r="AB1487" s="77"/>
      <c r="AF1487" s="142"/>
      <c r="AG1487" s="143"/>
    </row>
    <row r="1488" spans="1:33" ht="20.100000000000001" hidden="1" customHeight="1">
      <c r="A1488" s="16" t="s">
        <v>26</v>
      </c>
      <c r="B1488" s="16">
        <v>1985</v>
      </c>
      <c r="C1488" s="14" t="s">
        <v>49</v>
      </c>
      <c r="D1488" s="9" t="s">
        <v>1015</v>
      </c>
      <c r="E1488" s="17" t="s">
        <v>1016</v>
      </c>
      <c r="F1488" s="17"/>
      <c r="G1488" s="234"/>
      <c r="H1488" s="226"/>
      <c r="I1488" s="229"/>
      <c r="J1488" s="229"/>
      <c r="AB1488" s="77"/>
      <c r="AF1488" s="142"/>
      <c r="AG1488" s="143"/>
    </row>
    <row r="1489" spans="1:33" ht="20.100000000000001" hidden="1" customHeight="1">
      <c r="A1489" s="16" t="s">
        <v>26</v>
      </c>
      <c r="B1489" s="16">
        <v>1985</v>
      </c>
      <c r="C1489" s="14" t="s">
        <v>49</v>
      </c>
      <c r="D1489" s="9" t="s">
        <v>1017</v>
      </c>
      <c r="E1489" s="17" t="s">
        <v>1018</v>
      </c>
      <c r="F1489" s="17"/>
      <c r="G1489" s="234"/>
      <c r="H1489" s="226"/>
      <c r="I1489" s="229"/>
      <c r="J1489" s="229"/>
      <c r="AB1489" s="77"/>
      <c r="AF1489" s="142"/>
      <c r="AG1489" s="143"/>
    </row>
    <row r="1490" spans="1:33" ht="20.100000000000001" hidden="1" customHeight="1">
      <c r="A1490" s="16" t="s">
        <v>26</v>
      </c>
      <c r="B1490" s="16">
        <v>1985</v>
      </c>
      <c r="C1490" s="14" t="s">
        <v>49</v>
      </c>
      <c r="D1490" s="9" t="s">
        <v>1019</v>
      </c>
      <c r="E1490" s="17" t="s">
        <v>1019</v>
      </c>
      <c r="F1490" s="17"/>
      <c r="G1490" s="234"/>
      <c r="H1490" s="226"/>
      <c r="I1490" s="229">
        <v>0.4</v>
      </c>
      <c r="J1490" s="229"/>
      <c r="AB1490" s="77"/>
      <c r="AF1490" s="142"/>
      <c r="AG1490" s="143"/>
    </row>
    <row r="1491" spans="1:33" ht="20.100000000000001" hidden="1" customHeight="1">
      <c r="A1491" s="16" t="s">
        <v>26</v>
      </c>
      <c r="B1491" s="16">
        <v>1985</v>
      </c>
      <c r="C1491" s="14" t="s">
        <v>49</v>
      </c>
      <c r="D1491" s="9" t="s">
        <v>1020</v>
      </c>
      <c r="E1491" s="17" t="s">
        <v>1020</v>
      </c>
      <c r="F1491" s="17"/>
      <c r="G1491" s="234"/>
      <c r="H1491" s="226"/>
      <c r="I1491" s="229">
        <v>0.4</v>
      </c>
      <c r="J1491" s="229"/>
      <c r="AB1491" s="77"/>
      <c r="AF1491" s="142"/>
      <c r="AG1491" s="143"/>
    </row>
    <row r="1492" spans="1:33" ht="20.100000000000001" hidden="1" customHeight="1">
      <c r="A1492" s="16" t="s">
        <v>26</v>
      </c>
      <c r="B1492" s="16">
        <v>1985</v>
      </c>
      <c r="C1492" s="14" t="s">
        <v>49</v>
      </c>
      <c r="D1492" s="9" t="s">
        <v>1021</v>
      </c>
      <c r="E1492" s="17" t="s">
        <v>1021</v>
      </c>
      <c r="F1492" s="17"/>
      <c r="G1492" s="234"/>
      <c r="H1492" s="226"/>
      <c r="I1492" s="229"/>
      <c r="J1492" s="229"/>
      <c r="AB1492" s="77"/>
      <c r="AF1492" s="142"/>
      <c r="AG1492" s="143"/>
    </row>
    <row r="1493" spans="1:33" ht="20.100000000000001" hidden="1" customHeight="1">
      <c r="A1493" s="16" t="s">
        <v>26</v>
      </c>
      <c r="B1493" s="16">
        <v>1985</v>
      </c>
      <c r="C1493" s="14" t="s">
        <v>49</v>
      </c>
      <c r="D1493" s="9" t="s">
        <v>1022</v>
      </c>
      <c r="E1493" s="17" t="s">
        <v>1022</v>
      </c>
      <c r="F1493" s="17"/>
      <c r="G1493" s="234"/>
      <c r="H1493" s="226"/>
      <c r="I1493" s="229"/>
      <c r="J1493" s="229"/>
      <c r="AB1493" s="77"/>
      <c r="AF1493" s="142"/>
      <c r="AG1493" s="143"/>
    </row>
    <row r="1494" spans="1:33" ht="20.100000000000001" hidden="1" customHeight="1">
      <c r="A1494" s="16" t="s">
        <v>26</v>
      </c>
      <c r="B1494" s="16">
        <v>1985</v>
      </c>
      <c r="C1494" s="14" t="s">
        <v>49</v>
      </c>
      <c r="D1494" s="9" t="s">
        <v>1023</v>
      </c>
      <c r="E1494" s="17" t="s">
        <v>1024</v>
      </c>
      <c r="F1494" s="17"/>
      <c r="G1494" s="234"/>
      <c r="H1494" s="226"/>
      <c r="I1494" s="229"/>
      <c r="J1494" s="229"/>
      <c r="AB1494" s="77"/>
      <c r="AF1494" s="142"/>
      <c r="AG1494" s="143"/>
    </row>
    <row r="1495" spans="1:33" ht="20.100000000000001" hidden="1" customHeight="1">
      <c r="A1495" s="16" t="s">
        <v>26</v>
      </c>
      <c r="B1495" s="16">
        <v>1985</v>
      </c>
      <c r="C1495" s="14" t="s">
        <v>49</v>
      </c>
      <c r="D1495" s="9" t="s">
        <v>1025</v>
      </c>
      <c r="E1495" s="17" t="s">
        <v>1025</v>
      </c>
      <c r="F1495" s="17"/>
      <c r="G1495" s="234"/>
      <c r="H1495" s="226"/>
      <c r="I1495" s="229"/>
      <c r="J1495" s="229"/>
      <c r="AB1495" s="77"/>
      <c r="AF1495" s="142"/>
      <c r="AG1495" s="143"/>
    </row>
    <row r="1496" spans="1:33" ht="20.100000000000001" hidden="1" customHeight="1">
      <c r="A1496" s="16" t="s">
        <v>26</v>
      </c>
      <c r="B1496" s="16">
        <v>1985</v>
      </c>
      <c r="C1496" s="14" t="s">
        <v>49</v>
      </c>
      <c r="D1496" s="9" t="s">
        <v>1026</v>
      </c>
      <c r="E1496" s="17" t="s">
        <v>1027</v>
      </c>
      <c r="F1496" s="17"/>
      <c r="G1496" s="234"/>
      <c r="H1496" s="226"/>
      <c r="I1496" s="229"/>
      <c r="J1496" s="229"/>
      <c r="AB1496" s="77"/>
      <c r="AF1496" s="142"/>
      <c r="AG1496" s="143"/>
    </row>
    <row r="1497" spans="1:33" ht="20.100000000000001" hidden="1" customHeight="1">
      <c r="A1497" s="16" t="s">
        <v>26</v>
      </c>
      <c r="B1497" s="16">
        <v>1985</v>
      </c>
      <c r="C1497" s="14" t="s">
        <v>49</v>
      </c>
      <c r="D1497" s="9" t="s">
        <v>1028</v>
      </c>
      <c r="E1497" s="17" t="s">
        <v>1029</v>
      </c>
      <c r="F1497" s="17"/>
      <c r="G1497" s="234"/>
      <c r="H1497" s="226"/>
      <c r="I1497" s="229"/>
      <c r="J1497" s="229"/>
      <c r="AB1497" s="77"/>
      <c r="AF1497" s="142"/>
      <c r="AG1497" s="143"/>
    </row>
    <row r="1498" spans="1:33" ht="20.100000000000001" hidden="1" customHeight="1">
      <c r="A1498" s="16" t="s">
        <v>26</v>
      </c>
      <c r="B1498" s="16">
        <v>1985</v>
      </c>
      <c r="C1498" s="14" t="s">
        <v>49</v>
      </c>
      <c r="D1498" s="9" t="s">
        <v>1030</v>
      </c>
      <c r="E1498" s="17" t="s">
        <v>1030</v>
      </c>
      <c r="F1498" s="17"/>
      <c r="G1498" s="234"/>
      <c r="H1498" s="226"/>
      <c r="I1498" s="229"/>
      <c r="J1498" s="229"/>
      <c r="AB1498" s="77"/>
      <c r="AF1498" s="142"/>
      <c r="AG1498" s="143"/>
    </row>
    <row r="1499" spans="1:33" ht="20.100000000000001" hidden="1" customHeight="1">
      <c r="A1499" s="16" t="s">
        <v>26</v>
      </c>
      <c r="B1499" s="16">
        <v>1985</v>
      </c>
      <c r="C1499" s="14" t="s">
        <v>49</v>
      </c>
      <c r="D1499" s="9" t="s">
        <v>1031</v>
      </c>
      <c r="E1499" s="17" t="s">
        <v>1032</v>
      </c>
      <c r="F1499" s="17"/>
      <c r="G1499" s="234"/>
      <c r="H1499" s="226"/>
      <c r="I1499" s="229"/>
      <c r="J1499" s="229"/>
      <c r="AB1499" s="77"/>
      <c r="AF1499" s="142"/>
      <c r="AG1499" s="143"/>
    </row>
    <row r="1500" spans="1:33" ht="20.100000000000001" hidden="1" customHeight="1">
      <c r="A1500" s="16" t="s">
        <v>26</v>
      </c>
      <c r="B1500" s="16">
        <v>1985</v>
      </c>
      <c r="C1500" s="14" t="s">
        <v>49</v>
      </c>
      <c r="D1500" s="9" t="s">
        <v>1033</v>
      </c>
      <c r="E1500" s="17" t="s">
        <v>1034</v>
      </c>
      <c r="F1500" s="17"/>
      <c r="G1500" s="234"/>
      <c r="H1500" s="226"/>
      <c r="I1500" s="229"/>
      <c r="J1500" s="229"/>
      <c r="AB1500" s="77"/>
      <c r="AF1500" s="142"/>
      <c r="AG1500" s="143"/>
    </row>
    <row r="1501" spans="1:33" ht="20.100000000000001" hidden="1" customHeight="1">
      <c r="A1501" s="16" t="s">
        <v>26</v>
      </c>
      <c r="B1501" s="16">
        <v>1985</v>
      </c>
      <c r="C1501" s="14" t="s">
        <v>49</v>
      </c>
      <c r="D1501" s="9" t="s">
        <v>1035</v>
      </c>
      <c r="E1501" s="17" t="s">
        <v>1036</v>
      </c>
      <c r="F1501" s="17"/>
      <c r="G1501" s="234"/>
      <c r="H1501" s="226"/>
      <c r="I1501" s="229"/>
      <c r="J1501" s="229"/>
      <c r="AB1501" s="77"/>
      <c r="AF1501" s="142"/>
      <c r="AG1501" s="143"/>
    </row>
    <row r="1502" spans="1:33" ht="20.100000000000001" hidden="1" customHeight="1">
      <c r="A1502" s="16" t="s">
        <v>26</v>
      </c>
      <c r="B1502" s="16">
        <v>1985</v>
      </c>
      <c r="C1502" s="14" t="s">
        <v>49</v>
      </c>
      <c r="D1502" s="9" t="s">
        <v>1037</v>
      </c>
      <c r="E1502" s="17" t="s">
        <v>1037</v>
      </c>
      <c r="F1502" s="17"/>
      <c r="G1502" s="234"/>
      <c r="H1502" s="226"/>
      <c r="I1502" s="229"/>
      <c r="J1502" s="229"/>
      <c r="AB1502" s="77"/>
      <c r="AF1502" s="142"/>
      <c r="AG1502" s="143"/>
    </row>
    <row r="1503" spans="1:33" ht="20.100000000000001" hidden="1" customHeight="1">
      <c r="A1503" s="16" t="s">
        <v>26</v>
      </c>
      <c r="B1503" s="16">
        <v>1985</v>
      </c>
      <c r="C1503" s="14" t="s">
        <v>49</v>
      </c>
      <c r="D1503" s="9" t="s">
        <v>1038</v>
      </c>
      <c r="E1503" s="17" t="s">
        <v>1039</v>
      </c>
      <c r="F1503" s="17"/>
      <c r="G1503" s="234"/>
      <c r="H1503" s="226"/>
      <c r="I1503" s="229"/>
      <c r="J1503" s="229"/>
      <c r="AB1503" s="77"/>
      <c r="AF1503" s="142"/>
      <c r="AG1503" s="143"/>
    </row>
    <row r="1504" spans="1:33" ht="20.100000000000001" hidden="1" customHeight="1">
      <c r="A1504" s="16" t="s">
        <v>26</v>
      </c>
      <c r="B1504" s="16">
        <v>1985</v>
      </c>
      <c r="C1504" s="14" t="s">
        <v>49</v>
      </c>
      <c r="D1504" s="9" t="s">
        <v>1040</v>
      </c>
      <c r="E1504" s="17" t="s">
        <v>1040</v>
      </c>
      <c r="F1504" s="17"/>
      <c r="G1504" s="234"/>
      <c r="H1504" s="226"/>
      <c r="I1504" s="229"/>
      <c r="J1504" s="229"/>
      <c r="AB1504" s="77"/>
      <c r="AF1504" s="142"/>
      <c r="AG1504" s="143"/>
    </row>
    <row r="1505" spans="1:33" ht="20.100000000000001" hidden="1" customHeight="1">
      <c r="A1505" s="16" t="s">
        <v>26</v>
      </c>
      <c r="B1505" s="16">
        <v>1985</v>
      </c>
      <c r="C1505" s="14" t="s">
        <v>49</v>
      </c>
      <c r="D1505" s="9" t="s">
        <v>1041</v>
      </c>
      <c r="E1505" s="17" t="s">
        <v>1042</v>
      </c>
      <c r="F1505" s="17"/>
      <c r="G1505" s="234"/>
      <c r="H1505" s="226"/>
      <c r="I1505" s="229"/>
      <c r="J1505" s="229"/>
      <c r="AB1505" s="77"/>
      <c r="AF1505" s="142"/>
      <c r="AG1505" s="143"/>
    </row>
    <row r="1506" spans="1:33" ht="20.100000000000001" hidden="1" customHeight="1">
      <c r="A1506" s="16" t="s">
        <v>26</v>
      </c>
      <c r="B1506" s="16">
        <v>1985</v>
      </c>
      <c r="C1506" s="14" t="s">
        <v>49</v>
      </c>
      <c r="D1506" s="9" t="s">
        <v>1043</v>
      </c>
      <c r="E1506" s="9" t="s">
        <v>1043</v>
      </c>
      <c r="F1506" s="17"/>
      <c r="G1506" s="234"/>
      <c r="H1506" s="226"/>
      <c r="I1506" s="229"/>
      <c r="J1506" s="229"/>
      <c r="AB1506" s="77"/>
      <c r="AF1506" s="142"/>
      <c r="AG1506" s="143"/>
    </row>
    <row r="1507" spans="1:33" ht="20.100000000000001" hidden="1" customHeight="1">
      <c r="A1507" s="16" t="s">
        <v>26</v>
      </c>
      <c r="B1507" s="16">
        <v>1985</v>
      </c>
      <c r="C1507" s="14" t="s">
        <v>49</v>
      </c>
      <c r="D1507" s="9" t="s">
        <v>1044</v>
      </c>
      <c r="E1507" s="17" t="s">
        <v>1044</v>
      </c>
      <c r="F1507" s="17"/>
      <c r="G1507" s="234"/>
      <c r="H1507" s="226"/>
      <c r="I1507" s="229"/>
      <c r="J1507" s="229"/>
      <c r="AB1507" s="77"/>
      <c r="AF1507" s="142"/>
      <c r="AG1507" s="143"/>
    </row>
    <row r="1508" spans="1:33" ht="20.100000000000001" hidden="1" customHeight="1">
      <c r="A1508" s="16" t="s">
        <v>26</v>
      </c>
      <c r="B1508" s="16">
        <v>1985</v>
      </c>
      <c r="C1508" s="14" t="s">
        <v>49</v>
      </c>
      <c r="D1508" s="9" t="s">
        <v>1045</v>
      </c>
      <c r="E1508" s="17" t="s">
        <v>1045</v>
      </c>
      <c r="F1508" s="17"/>
      <c r="G1508" s="234"/>
      <c r="H1508" s="226"/>
      <c r="I1508" s="229"/>
      <c r="J1508" s="229"/>
      <c r="AB1508" s="77"/>
      <c r="AF1508" s="142"/>
      <c r="AG1508" s="143"/>
    </row>
    <row r="1509" spans="1:33" ht="20.100000000000001" hidden="1" customHeight="1">
      <c r="A1509" s="16" t="s">
        <v>26</v>
      </c>
      <c r="B1509" s="16">
        <v>1985</v>
      </c>
      <c r="C1509" s="14" t="s">
        <v>49</v>
      </c>
      <c r="D1509" s="9" t="s">
        <v>1046</v>
      </c>
      <c r="E1509" s="17" t="s">
        <v>1046</v>
      </c>
      <c r="F1509" s="17"/>
      <c r="G1509" s="234"/>
      <c r="H1509" s="226"/>
      <c r="I1509" s="229"/>
      <c r="J1509" s="229"/>
      <c r="AB1509" s="77"/>
      <c r="AF1509" s="142"/>
      <c r="AG1509" s="143"/>
    </row>
    <row r="1510" spans="1:33" ht="20.100000000000001" hidden="1" customHeight="1">
      <c r="A1510" s="16" t="s">
        <v>26</v>
      </c>
      <c r="B1510" s="16">
        <v>1985</v>
      </c>
      <c r="C1510" s="14" t="s">
        <v>49</v>
      </c>
      <c r="D1510" s="9" t="s">
        <v>1047</v>
      </c>
      <c r="E1510" s="17" t="s">
        <v>1047</v>
      </c>
      <c r="F1510" s="17"/>
      <c r="G1510" s="234"/>
      <c r="H1510" s="226"/>
      <c r="I1510" s="229"/>
      <c r="J1510" s="229"/>
      <c r="AB1510" s="77"/>
      <c r="AF1510" s="142"/>
      <c r="AG1510" s="143"/>
    </row>
    <row r="1511" spans="1:33" ht="20.100000000000001" hidden="1" customHeight="1">
      <c r="A1511" s="16" t="s">
        <v>26</v>
      </c>
      <c r="B1511" s="16">
        <v>1985</v>
      </c>
      <c r="C1511" s="14" t="s">
        <v>49</v>
      </c>
      <c r="D1511" s="9" t="s">
        <v>1048</v>
      </c>
      <c r="E1511" s="17" t="s">
        <v>1048</v>
      </c>
      <c r="F1511" s="17"/>
      <c r="G1511" s="234"/>
      <c r="H1511" s="226"/>
      <c r="I1511" s="229"/>
      <c r="J1511" s="229"/>
      <c r="AB1511" s="77"/>
      <c r="AF1511" s="142"/>
      <c r="AG1511" s="143"/>
    </row>
    <row r="1512" spans="1:33" ht="20.100000000000001" hidden="1" customHeight="1">
      <c r="A1512" s="16" t="s">
        <v>26</v>
      </c>
      <c r="B1512" s="16">
        <v>1985</v>
      </c>
      <c r="C1512" s="14" t="s">
        <v>49</v>
      </c>
      <c r="D1512" s="9" t="s">
        <v>1049</v>
      </c>
      <c r="E1512" s="17" t="s">
        <v>1050</v>
      </c>
      <c r="F1512" s="17"/>
      <c r="G1512" s="234"/>
      <c r="H1512" s="226"/>
      <c r="I1512" s="229"/>
      <c r="J1512" s="229"/>
      <c r="AB1512" s="77"/>
      <c r="AF1512" s="142"/>
      <c r="AG1512" s="143"/>
    </row>
    <row r="1513" spans="1:33" ht="20.100000000000001" hidden="1" customHeight="1">
      <c r="A1513" s="16" t="s">
        <v>26</v>
      </c>
      <c r="B1513" s="16">
        <v>1985</v>
      </c>
      <c r="C1513" s="14" t="s">
        <v>49</v>
      </c>
      <c r="D1513" s="9" t="s">
        <v>1051</v>
      </c>
      <c r="E1513" s="17" t="s">
        <v>1051</v>
      </c>
      <c r="F1513" s="17"/>
      <c r="G1513" s="234"/>
      <c r="H1513" s="226"/>
      <c r="I1513" s="229"/>
      <c r="J1513" s="229"/>
      <c r="AB1513" s="77"/>
      <c r="AF1513" s="142"/>
      <c r="AG1513" s="143"/>
    </row>
    <row r="1514" spans="1:33" ht="20.100000000000001" hidden="1" customHeight="1">
      <c r="A1514" s="16" t="s">
        <v>26</v>
      </c>
      <c r="B1514" s="16">
        <v>1985</v>
      </c>
      <c r="C1514" s="14" t="s">
        <v>49</v>
      </c>
      <c r="D1514" s="27" t="s">
        <v>202</v>
      </c>
      <c r="E1514" s="17" t="s">
        <v>192</v>
      </c>
      <c r="F1514" s="17"/>
      <c r="G1514" s="234"/>
      <c r="H1514" s="226"/>
      <c r="I1514" s="229">
        <v>3.4</v>
      </c>
      <c r="J1514" s="229"/>
      <c r="AB1514" s="77"/>
      <c r="AF1514" s="142"/>
      <c r="AG1514" s="143"/>
    </row>
    <row r="1515" spans="1:33" ht="20.100000000000001" hidden="1" customHeight="1">
      <c r="A1515" s="16" t="s">
        <v>26</v>
      </c>
      <c r="B1515" s="16">
        <v>1988</v>
      </c>
      <c r="C1515" s="14" t="s">
        <v>49</v>
      </c>
      <c r="D1515" s="9" t="s">
        <v>1007</v>
      </c>
      <c r="E1515" s="17" t="s">
        <v>1007</v>
      </c>
      <c r="F1515" s="17"/>
      <c r="G1515" s="234"/>
      <c r="H1515" s="226"/>
      <c r="I1515" s="229">
        <v>84.7</v>
      </c>
      <c r="J1515" s="229"/>
      <c r="AB1515" s="77"/>
      <c r="AF1515" s="142"/>
      <c r="AG1515" s="143"/>
    </row>
    <row r="1516" spans="1:33" ht="20.100000000000001" hidden="1" customHeight="1">
      <c r="A1516" s="16" t="s">
        <v>26</v>
      </c>
      <c r="B1516" s="16">
        <v>1988</v>
      </c>
      <c r="C1516" s="14" t="s">
        <v>49</v>
      </c>
      <c r="D1516" s="9" t="s">
        <v>357</v>
      </c>
      <c r="E1516" s="17" t="s">
        <v>357</v>
      </c>
      <c r="F1516" s="17"/>
      <c r="G1516" s="234"/>
      <c r="H1516" s="226"/>
      <c r="I1516" s="229">
        <v>37.799999999999997</v>
      </c>
      <c r="J1516" s="229"/>
      <c r="AB1516" s="77"/>
      <c r="AF1516" s="142"/>
      <c r="AG1516" s="143"/>
    </row>
    <row r="1517" spans="1:33" ht="20.100000000000001" hidden="1" customHeight="1">
      <c r="A1517" s="16" t="s">
        <v>26</v>
      </c>
      <c r="B1517" s="16">
        <v>1988</v>
      </c>
      <c r="C1517" s="14" t="s">
        <v>49</v>
      </c>
      <c r="D1517" s="9" t="s">
        <v>353</v>
      </c>
      <c r="E1517" s="17" t="s">
        <v>353</v>
      </c>
      <c r="F1517" s="17"/>
      <c r="G1517" s="234"/>
      <c r="H1517" s="226"/>
      <c r="I1517" s="229">
        <v>36.200000000000003</v>
      </c>
      <c r="J1517" s="229"/>
      <c r="AB1517" s="77"/>
      <c r="AF1517" s="142"/>
      <c r="AG1517" s="143"/>
    </row>
    <row r="1518" spans="1:33" ht="20.100000000000001" hidden="1" customHeight="1">
      <c r="A1518" s="16" t="s">
        <v>26</v>
      </c>
      <c r="B1518" s="16">
        <v>1988</v>
      </c>
      <c r="C1518" s="14" t="s">
        <v>49</v>
      </c>
      <c r="D1518" s="27" t="s">
        <v>202</v>
      </c>
      <c r="E1518" s="17" t="s">
        <v>1008</v>
      </c>
      <c r="F1518" s="17"/>
      <c r="G1518" s="234"/>
      <c r="H1518" s="226"/>
      <c r="I1518" s="229">
        <v>10.7</v>
      </c>
      <c r="J1518" s="229"/>
      <c r="AB1518" s="77"/>
      <c r="AF1518" s="142"/>
      <c r="AG1518" s="143"/>
    </row>
    <row r="1519" spans="1:33" ht="20.100000000000001" hidden="1" customHeight="1">
      <c r="A1519" s="16" t="s">
        <v>26</v>
      </c>
      <c r="B1519" s="16">
        <v>1988</v>
      </c>
      <c r="C1519" s="14" t="s">
        <v>49</v>
      </c>
      <c r="D1519" s="9" t="s">
        <v>1009</v>
      </c>
      <c r="E1519" s="17" t="s">
        <v>1009</v>
      </c>
      <c r="F1519" s="17"/>
      <c r="G1519" s="234"/>
      <c r="H1519" s="226"/>
      <c r="I1519" s="229">
        <v>5.8</v>
      </c>
      <c r="J1519" s="229"/>
      <c r="AB1519" s="77"/>
      <c r="AF1519" s="142"/>
      <c r="AG1519" s="143"/>
    </row>
    <row r="1520" spans="1:33" ht="20.100000000000001" hidden="1" customHeight="1">
      <c r="A1520" s="16" t="s">
        <v>26</v>
      </c>
      <c r="B1520" s="16">
        <v>1988</v>
      </c>
      <c r="C1520" s="14" t="s">
        <v>49</v>
      </c>
      <c r="D1520" s="9" t="s">
        <v>1010</v>
      </c>
      <c r="E1520" s="17" t="s">
        <v>1010</v>
      </c>
      <c r="F1520" s="17"/>
      <c r="G1520" s="234"/>
      <c r="H1520" s="226"/>
      <c r="I1520" s="229">
        <v>5.8</v>
      </c>
      <c r="J1520" s="229"/>
      <c r="AB1520" s="77"/>
      <c r="AF1520" s="142"/>
      <c r="AG1520" s="143"/>
    </row>
    <row r="1521" spans="1:33" ht="20.100000000000001" hidden="1" customHeight="1">
      <c r="A1521" s="16" t="s">
        <v>26</v>
      </c>
      <c r="B1521" s="16">
        <v>1988</v>
      </c>
      <c r="C1521" s="14" t="s">
        <v>49</v>
      </c>
      <c r="D1521" s="9" t="s">
        <v>1011</v>
      </c>
      <c r="E1521" s="17" t="s">
        <v>1011</v>
      </c>
      <c r="F1521" s="17"/>
      <c r="G1521" s="234"/>
      <c r="H1521" s="226"/>
      <c r="I1521" s="229"/>
      <c r="J1521" s="229"/>
      <c r="AB1521" s="77"/>
      <c r="AF1521" s="142"/>
      <c r="AG1521" s="143"/>
    </row>
    <row r="1522" spans="1:33" ht="20.100000000000001" hidden="1" customHeight="1">
      <c r="A1522" s="16" t="s">
        <v>26</v>
      </c>
      <c r="B1522" s="16">
        <v>1988</v>
      </c>
      <c r="C1522" s="14" t="s">
        <v>49</v>
      </c>
      <c r="D1522" s="9" t="s">
        <v>1012</v>
      </c>
      <c r="E1522" s="17" t="s">
        <v>1012</v>
      </c>
      <c r="F1522" s="17"/>
      <c r="G1522" s="234"/>
      <c r="H1522" s="226"/>
      <c r="I1522" s="229"/>
      <c r="J1522" s="229"/>
      <c r="AB1522" s="77"/>
      <c r="AF1522" s="142"/>
      <c r="AG1522" s="143"/>
    </row>
    <row r="1523" spans="1:33" ht="20.100000000000001" hidden="1" customHeight="1">
      <c r="A1523" s="16" t="s">
        <v>26</v>
      </c>
      <c r="B1523" s="16">
        <v>1988</v>
      </c>
      <c r="C1523" s="14" t="s">
        <v>49</v>
      </c>
      <c r="D1523" s="9" t="s">
        <v>1013</v>
      </c>
      <c r="E1523" s="17" t="s">
        <v>1013</v>
      </c>
      <c r="F1523" s="17"/>
      <c r="G1523" s="234"/>
      <c r="H1523" s="226"/>
      <c r="I1523" s="229"/>
      <c r="J1523" s="229"/>
      <c r="AB1523" s="77"/>
      <c r="AF1523" s="142"/>
      <c r="AG1523" s="143"/>
    </row>
    <row r="1524" spans="1:33" ht="20.100000000000001" hidden="1" customHeight="1">
      <c r="A1524" s="16" t="s">
        <v>26</v>
      </c>
      <c r="B1524" s="16">
        <v>1988</v>
      </c>
      <c r="C1524" s="14" t="s">
        <v>49</v>
      </c>
      <c r="D1524" s="9" t="s">
        <v>1014</v>
      </c>
      <c r="E1524" s="17" t="s">
        <v>1014</v>
      </c>
      <c r="F1524" s="17"/>
      <c r="G1524" s="234"/>
      <c r="H1524" s="226"/>
      <c r="I1524" s="229"/>
      <c r="J1524" s="229"/>
      <c r="AB1524" s="77"/>
      <c r="AF1524" s="142"/>
      <c r="AG1524" s="143"/>
    </row>
    <row r="1525" spans="1:33" ht="20.100000000000001" hidden="1" customHeight="1">
      <c r="A1525" s="16" t="s">
        <v>26</v>
      </c>
      <c r="B1525" s="16">
        <v>1988</v>
      </c>
      <c r="C1525" s="14" t="s">
        <v>49</v>
      </c>
      <c r="D1525" s="9" t="s">
        <v>1016</v>
      </c>
      <c r="E1525" s="17" t="s">
        <v>1016</v>
      </c>
      <c r="F1525" s="17"/>
      <c r="G1525" s="234"/>
      <c r="H1525" s="226"/>
      <c r="I1525" s="229"/>
      <c r="J1525" s="229"/>
      <c r="AB1525" s="77"/>
      <c r="AF1525" s="142"/>
      <c r="AG1525" s="143"/>
    </row>
    <row r="1526" spans="1:33" ht="20.100000000000001" hidden="1" customHeight="1">
      <c r="A1526" s="16" t="s">
        <v>26</v>
      </c>
      <c r="B1526" s="16">
        <v>1988</v>
      </c>
      <c r="C1526" s="14" t="s">
        <v>49</v>
      </c>
      <c r="D1526" s="9" t="s">
        <v>1018</v>
      </c>
      <c r="E1526" s="17" t="s">
        <v>1018</v>
      </c>
      <c r="F1526" s="17"/>
      <c r="G1526" s="234"/>
      <c r="H1526" s="226"/>
      <c r="I1526" s="229"/>
      <c r="J1526" s="229"/>
      <c r="AB1526" s="77"/>
      <c r="AF1526" s="142"/>
      <c r="AG1526" s="143"/>
    </row>
    <row r="1527" spans="1:33" ht="20.100000000000001" hidden="1" customHeight="1">
      <c r="A1527" s="16" t="s">
        <v>26</v>
      </c>
      <c r="B1527" s="16">
        <v>1988</v>
      </c>
      <c r="C1527" s="14" t="s">
        <v>49</v>
      </c>
      <c r="D1527" s="9" t="s">
        <v>1019</v>
      </c>
      <c r="E1527" s="17" t="s">
        <v>1019</v>
      </c>
      <c r="F1527" s="17"/>
      <c r="G1527" s="234"/>
      <c r="H1527" s="226"/>
      <c r="I1527" s="229">
        <v>4.0999999999999996</v>
      </c>
      <c r="J1527" s="229"/>
      <c r="AB1527" s="77"/>
      <c r="AF1527" s="142"/>
      <c r="AG1527" s="143"/>
    </row>
    <row r="1528" spans="1:33" ht="20.100000000000001" hidden="1" customHeight="1">
      <c r="A1528" s="16" t="s">
        <v>26</v>
      </c>
      <c r="B1528" s="16">
        <v>1988</v>
      </c>
      <c r="C1528" s="14" t="s">
        <v>49</v>
      </c>
      <c r="D1528" s="9" t="s">
        <v>1020</v>
      </c>
      <c r="E1528" s="17" t="s">
        <v>1020</v>
      </c>
      <c r="F1528" s="17"/>
      <c r="G1528" s="234"/>
      <c r="H1528" s="226"/>
      <c r="I1528" s="229">
        <v>4.0999999999999996</v>
      </c>
      <c r="J1528" s="229"/>
      <c r="AB1528" s="77"/>
      <c r="AF1528" s="142"/>
      <c r="AG1528" s="143"/>
    </row>
    <row r="1529" spans="1:33" ht="20.100000000000001" hidden="1" customHeight="1">
      <c r="A1529" s="16" t="s">
        <v>26</v>
      </c>
      <c r="B1529" s="16">
        <v>1988</v>
      </c>
      <c r="C1529" s="14" t="s">
        <v>49</v>
      </c>
      <c r="D1529" s="9" t="s">
        <v>1021</v>
      </c>
      <c r="E1529" s="17" t="s">
        <v>1021</v>
      </c>
      <c r="F1529" s="17"/>
      <c r="G1529" s="234"/>
      <c r="H1529" s="226"/>
      <c r="I1529" s="229"/>
      <c r="J1529" s="229"/>
      <c r="AB1529" s="77"/>
      <c r="AF1529" s="142"/>
      <c r="AG1529" s="143"/>
    </row>
    <row r="1530" spans="1:33" ht="20.100000000000001" hidden="1" customHeight="1">
      <c r="A1530" s="16" t="s">
        <v>26</v>
      </c>
      <c r="B1530" s="16">
        <v>1988</v>
      </c>
      <c r="C1530" s="14" t="s">
        <v>49</v>
      </c>
      <c r="D1530" s="9" t="s">
        <v>1022</v>
      </c>
      <c r="E1530" s="17" t="s">
        <v>1022</v>
      </c>
      <c r="F1530" s="17"/>
      <c r="G1530" s="234"/>
      <c r="H1530" s="226"/>
      <c r="I1530" s="229"/>
      <c r="J1530" s="229"/>
      <c r="AB1530" s="77"/>
      <c r="AF1530" s="142"/>
      <c r="AG1530" s="143"/>
    </row>
    <row r="1531" spans="1:33" ht="20.100000000000001" hidden="1" customHeight="1">
      <c r="A1531" s="16" t="s">
        <v>26</v>
      </c>
      <c r="B1531" s="16">
        <v>1988</v>
      </c>
      <c r="C1531" s="14" t="s">
        <v>49</v>
      </c>
      <c r="D1531" s="9" t="s">
        <v>1024</v>
      </c>
      <c r="E1531" s="17" t="s">
        <v>1024</v>
      </c>
      <c r="F1531" s="17"/>
      <c r="G1531" s="234"/>
      <c r="H1531" s="226"/>
      <c r="I1531" s="229"/>
      <c r="J1531" s="229"/>
      <c r="AB1531" s="77"/>
      <c r="AF1531" s="142"/>
      <c r="AG1531" s="143"/>
    </row>
    <row r="1532" spans="1:33" ht="20.100000000000001" hidden="1" customHeight="1">
      <c r="A1532" s="16" t="s">
        <v>26</v>
      </c>
      <c r="B1532" s="16">
        <v>1988</v>
      </c>
      <c r="C1532" s="14" t="s">
        <v>49</v>
      </c>
      <c r="D1532" s="9" t="s">
        <v>1025</v>
      </c>
      <c r="E1532" s="17" t="s">
        <v>1025</v>
      </c>
      <c r="F1532" s="17"/>
      <c r="G1532" s="234"/>
      <c r="H1532" s="226"/>
      <c r="I1532" s="229"/>
      <c r="J1532" s="229"/>
      <c r="AB1532" s="77"/>
      <c r="AF1532" s="142"/>
      <c r="AG1532" s="143"/>
    </row>
    <row r="1533" spans="1:33" ht="20.100000000000001" hidden="1" customHeight="1">
      <c r="A1533" s="16" t="s">
        <v>26</v>
      </c>
      <c r="B1533" s="16">
        <v>1988</v>
      </c>
      <c r="C1533" s="14" t="s">
        <v>49</v>
      </c>
      <c r="D1533" s="9" t="s">
        <v>1026</v>
      </c>
      <c r="E1533" s="17" t="s">
        <v>1027</v>
      </c>
      <c r="F1533" s="17"/>
      <c r="G1533" s="234"/>
      <c r="H1533" s="226"/>
      <c r="I1533" s="229"/>
      <c r="J1533" s="229"/>
      <c r="AB1533" s="77"/>
      <c r="AF1533" s="142"/>
      <c r="AG1533" s="143"/>
    </row>
    <row r="1534" spans="1:33" ht="20.100000000000001" hidden="1" customHeight="1">
      <c r="A1534" s="16" t="s">
        <v>26</v>
      </c>
      <c r="B1534" s="16">
        <v>1988</v>
      </c>
      <c r="C1534" s="14" t="s">
        <v>49</v>
      </c>
      <c r="D1534" s="9" t="s">
        <v>1029</v>
      </c>
      <c r="E1534" s="17" t="s">
        <v>1029</v>
      </c>
      <c r="F1534" s="17"/>
      <c r="G1534" s="234"/>
      <c r="H1534" s="226"/>
      <c r="I1534" s="229"/>
      <c r="J1534" s="229"/>
      <c r="AB1534" s="77"/>
      <c r="AF1534" s="142"/>
      <c r="AG1534" s="143"/>
    </row>
    <row r="1535" spans="1:33" ht="20.100000000000001" hidden="1" customHeight="1">
      <c r="A1535" s="16" t="s">
        <v>26</v>
      </c>
      <c r="B1535" s="16">
        <v>1988</v>
      </c>
      <c r="C1535" s="14" t="s">
        <v>49</v>
      </c>
      <c r="D1535" s="9" t="s">
        <v>1030</v>
      </c>
      <c r="E1535" s="17" t="s">
        <v>1030</v>
      </c>
      <c r="F1535" s="17"/>
      <c r="G1535" s="234"/>
      <c r="H1535" s="226"/>
      <c r="I1535" s="229"/>
      <c r="J1535" s="229"/>
      <c r="AB1535" s="77"/>
      <c r="AF1535" s="142"/>
      <c r="AG1535" s="143"/>
    </row>
    <row r="1536" spans="1:33" ht="20.100000000000001" hidden="1" customHeight="1">
      <c r="A1536" s="16" t="s">
        <v>26</v>
      </c>
      <c r="B1536" s="16">
        <v>1988</v>
      </c>
      <c r="C1536" s="14" t="s">
        <v>49</v>
      </c>
      <c r="D1536" s="9" t="s">
        <v>1032</v>
      </c>
      <c r="E1536" s="17" t="s">
        <v>1032</v>
      </c>
      <c r="F1536" s="17"/>
      <c r="G1536" s="234"/>
      <c r="H1536" s="226"/>
      <c r="I1536" s="229"/>
      <c r="J1536" s="229"/>
      <c r="AB1536" s="77"/>
      <c r="AF1536" s="142"/>
      <c r="AG1536" s="143"/>
    </row>
    <row r="1537" spans="1:33" ht="20.100000000000001" hidden="1" customHeight="1">
      <c r="A1537" s="16" t="s">
        <v>26</v>
      </c>
      <c r="B1537" s="16">
        <v>1988</v>
      </c>
      <c r="C1537" s="14" t="s">
        <v>49</v>
      </c>
      <c r="D1537" s="9" t="s">
        <v>1033</v>
      </c>
      <c r="E1537" s="17" t="s">
        <v>1034</v>
      </c>
      <c r="F1537" s="17"/>
      <c r="G1537" s="234"/>
      <c r="H1537" s="226"/>
      <c r="I1537" s="229"/>
      <c r="J1537" s="229"/>
      <c r="AB1537" s="77"/>
      <c r="AF1537" s="142"/>
      <c r="AG1537" s="143"/>
    </row>
    <row r="1538" spans="1:33" ht="20.100000000000001" hidden="1" customHeight="1">
      <c r="A1538" s="16" t="s">
        <v>26</v>
      </c>
      <c r="B1538" s="16">
        <v>1988</v>
      </c>
      <c r="C1538" s="14" t="s">
        <v>49</v>
      </c>
      <c r="D1538" s="9" t="s">
        <v>1036</v>
      </c>
      <c r="E1538" s="17" t="s">
        <v>1036</v>
      </c>
      <c r="F1538" s="17"/>
      <c r="G1538" s="234"/>
      <c r="H1538" s="226"/>
      <c r="I1538" s="229"/>
      <c r="J1538" s="229"/>
      <c r="AB1538" s="77"/>
      <c r="AF1538" s="142"/>
      <c r="AG1538" s="143"/>
    </row>
    <row r="1539" spans="1:33" ht="20.100000000000001" hidden="1" customHeight="1">
      <c r="A1539" s="16" t="s">
        <v>26</v>
      </c>
      <c r="B1539" s="16">
        <v>1988</v>
      </c>
      <c r="C1539" s="14" t="s">
        <v>49</v>
      </c>
      <c r="D1539" s="9" t="s">
        <v>1037</v>
      </c>
      <c r="E1539" s="17" t="s">
        <v>1037</v>
      </c>
      <c r="F1539" s="17"/>
      <c r="G1539" s="234"/>
      <c r="H1539" s="226"/>
      <c r="I1539" s="229"/>
      <c r="J1539" s="229"/>
      <c r="AB1539" s="77"/>
      <c r="AF1539" s="142"/>
      <c r="AG1539" s="143"/>
    </row>
    <row r="1540" spans="1:33" ht="20.100000000000001" hidden="1" customHeight="1">
      <c r="A1540" s="16" t="s">
        <v>26</v>
      </c>
      <c r="B1540" s="16">
        <v>1988</v>
      </c>
      <c r="C1540" s="14" t="s">
        <v>49</v>
      </c>
      <c r="D1540" s="9" t="s">
        <v>1039</v>
      </c>
      <c r="E1540" s="17" t="s">
        <v>1039</v>
      </c>
      <c r="F1540" s="17"/>
      <c r="G1540" s="234"/>
      <c r="H1540" s="226"/>
      <c r="I1540" s="229"/>
      <c r="J1540" s="229"/>
      <c r="AB1540" s="77"/>
      <c r="AF1540" s="142"/>
      <c r="AG1540" s="143"/>
    </row>
    <row r="1541" spans="1:33" ht="20.100000000000001" hidden="1" customHeight="1">
      <c r="A1541" s="16" t="s">
        <v>26</v>
      </c>
      <c r="B1541" s="16">
        <v>1988</v>
      </c>
      <c r="C1541" s="14" t="s">
        <v>49</v>
      </c>
      <c r="D1541" s="9" t="s">
        <v>1040</v>
      </c>
      <c r="E1541" s="17" t="s">
        <v>1040</v>
      </c>
      <c r="F1541" s="17"/>
      <c r="G1541" s="234"/>
      <c r="H1541" s="226"/>
      <c r="I1541" s="229"/>
      <c r="J1541" s="229"/>
      <c r="AB1541" s="77"/>
      <c r="AF1541" s="142"/>
      <c r="AG1541" s="143"/>
    </row>
    <row r="1542" spans="1:33" ht="20.100000000000001" hidden="1" customHeight="1">
      <c r="A1542" s="16" t="s">
        <v>26</v>
      </c>
      <c r="B1542" s="16">
        <v>1988</v>
      </c>
      <c r="C1542" s="14" t="s">
        <v>49</v>
      </c>
      <c r="D1542" s="9" t="s">
        <v>1042</v>
      </c>
      <c r="E1542" s="17" t="s">
        <v>1042</v>
      </c>
      <c r="F1542" s="17"/>
      <c r="G1542" s="234"/>
      <c r="H1542" s="226"/>
      <c r="I1542" s="229"/>
      <c r="J1542" s="229"/>
      <c r="AB1542" s="77"/>
      <c r="AF1542" s="142"/>
      <c r="AG1542" s="143"/>
    </row>
    <row r="1543" spans="1:33" ht="20.100000000000001" hidden="1" customHeight="1">
      <c r="A1543" s="16" t="s">
        <v>26</v>
      </c>
      <c r="B1543" s="16">
        <v>1988</v>
      </c>
      <c r="C1543" s="14" t="s">
        <v>49</v>
      </c>
      <c r="D1543" s="9" t="s">
        <v>1043</v>
      </c>
      <c r="E1543" s="9" t="s">
        <v>1043</v>
      </c>
      <c r="F1543" s="17"/>
      <c r="G1543" s="234"/>
      <c r="H1543" s="226"/>
      <c r="I1543" s="229"/>
      <c r="J1543" s="229"/>
      <c r="AB1543" s="77"/>
      <c r="AF1543" s="142"/>
      <c r="AG1543" s="143"/>
    </row>
    <row r="1544" spans="1:33" ht="20.100000000000001" hidden="1" customHeight="1">
      <c r="A1544" s="16" t="s">
        <v>26</v>
      </c>
      <c r="B1544" s="16">
        <v>1988</v>
      </c>
      <c r="C1544" s="14" t="s">
        <v>49</v>
      </c>
      <c r="D1544" s="9" t="s">
        <v>1044</v>
      </c>
      <c r="E1544" s="17" t="s">
        <v>1044</v>
      </c>
      <c r="F1544" s="17"/>
      <c r="G1544" s="234"/>
      <c r="H1544" s="226"/>
      <c r="I1544" s="229"/>
      <c r="J1544" s="229"/>
      <c r="AB1544" s="77"/>
      <c r="AF1544" s="142"/>
      <c r="AG1544" s="143"/>
    </row>
    <row r="1545" spans="1:33" ht="20.100000000000001" hidden="1" customHeight="1">
      <c r="A1545" s="16" t="s">
        <v>26</v>
      </c>
      <c r="B1545" s="16">
        <v>1988</v>
      </c>
      <c r="C1545" s="14" t="s">
        <v>49</v>
      </c>
      <c r="D1545" s="9" t="s">
        <v>1045</v>
      </c>
      <c r="E1545" s="17" t="s">
        <v>1045</v>
      </c>
      <c r="F1545" s="17"/>
      <c r="G1545" s="234"/>
      <c r="H1545" s="226"/>
      <c r="I1545" s="229"/>
      <c r="J1545" s="229"/>
      <c r="AB1545" s="77"/>
      <c r="AF1545" s="142"/>
      <c r="AG1545" s="143"/>
    </row>
    <row r="1546" spans="1:33" ht="20.100000000000001" hidden="1" customHeight="1">
      <c r="A1546" s="16" t="s">
        <v>26</v>
      </c>
      <c r="B1546" s="16">
        <v>1988</v>
      </c>
      <c r="C1546" s="14" t="s">
        <v>49</v>
      </c>
      <c r="D1546" s="9" t="s">
        <v>1046</v>
      </c>
      <c r="E1546" s="17" t="s">
        <v>1046</v>
      </c>
      <c r="F1546" s="17"/>
      <c r="G1546" s="234"/>
      <c r="H1546" s="226"/>
      <c r="I1546" s="229"/>
      <c r="J1546" s="229"/>
      <c r="AB1546" s="77"/>
      <c r="AF1546" s="142"/>
      <c r="AG1546" s="143"/>
    </row>
    <row r="1547" spans="1:33" ht="20.100000000000001" hidden="1" customHeight="1">
      <c r="A1547" s="16" t="s">
        <v>26</v>
      </c>
      <c r="B1547" s="16">
        <v>1988</v>
      </c>
      <c r="C1547" s="14" t="s">
        <v>49</v>
      </c>
      <c r="D1547" s="9" t="s">
        <v>1047</v>
      </c>
      <c r="E1547" s="17" t="s">
        <v>1047</v>
      </c>
      <c r="F1547" s="17"/>
      <c r="G1547" s="234"/>
      <c r="H1547" s="226"/>
      <c r="I1547" s="229"/>
      <c r="J1547" s="229"/>
      <c r="AB1547" s="77"/>
      <c r="AF1547" s="142"/>
      <c r="AG1547" s="143"/>
    </row>
    <row r="1548" spans="1:33" ht="20.100000000000001" hidden="1" customHeight="1">
      <c r="A1548" s="16" t="s">
        <v>26</v>
      </c>
      <c r="B1548" s="16">
        <v>1988</v>
      </c>
      <c r="C1548" s="14" t="s">
        <v>49</v>
      </c>
      <c r="D1548" s="9" t="s">
        <v>1048</v>
      </c>
      <c r="E1548" s="17" t="s">
        <v>1048</v>
      </c>
      <c r="F1548" s="17"/>
      <c r="G1548" s="234"/>
      <c r="H1548" s="226"/>
      <c r="I1548" s="229"/>
      <c r="J1548" s="229"/>
      <c r="AB1548" s="77"/>
      <c r="AF1548" s="142"/>
      <c r="AG1548" s="143"/>
    </row>
    <row r="1549" spans="1:33" ht="20.100000000000001" hidden="1" customHeight="1">
      <c r="A1549" s="16" t="s">
        <v>26</v>
      </c>
      <c r="B1549" s="16">
        <v>1988</v>
      </c>
      <c r="C1549" s="14" t="s">
        <v>49</v>
      </c>
      <c r="D1549" s="9" t="s">
        <v>1050</v>
      </c>
      <c r="E1549" s="17" t="s">
        <v>1050</v>
      </c>
      <c r="F1549" s="17"/>
      <c r="G1549" s="234"/>
      <c r="H1549" s="226"/>
      <c r="I1549" s="229"/>
      <c r="J1549" s="229"/>
      <c r="AB1549" s="77"/>
      <c r="AF1549" s="142"/>
      <c r="AG1549" s="143"/>
    </row>
    <row r="1550" spans="1:33" ht="20.100000000000001" hidden="1" customHeight="1">
      <c r="A1550" s="16" t="s">
        <v>26</v>
      </c>
      <c r="B1550" s="16">
        <v>1988</v>
      </c>
      <c r="C1550" s="14" t="s">
        <v>49</v>
      </c>
      <c r="D1550" s="9" t="s">
        <v>1051</v>
      </c>
      <c r="E1550" s="17" t="s">
        <v>1051</v>
      </c>
      <c r="F1550" s="17"/>
      <c r="G1550" s="234"/>
      <c r="H1550" s="226"/>
      <c r="I1550" s="229"/>
      <c r="J1550" s="229"/>
      <c r="AB1550" s="77"/>
      <c r="AF1550" s="142"/>
      <c r="AG1550" s="143"/>
    </row>
    <row r="1551" spans="1:33" ht="20.100000000000001" hidden="1" customHeight="1">
      <c r="A1551" s="16" t="s">
        <v>26</v>
      </c>
      <c r="B1551" s="16">
        <v>1988</v>
      </c>
      <c r="C1551" s="14" t="s">
        <v>49</v>
      </c>
      <c r="D1551" s="27" t="s">
        <v>202</v>
      </c>
      <c r="E1551" s="17" t="s">
        <v>192</v>
      </c>
      <c r="F1551" s="17"/>
      <c r="G1551" s="234"/>
      <c r="H1551" s="226"/>
      <c r="I1551" s="229">
        <v>5.4</v>
      </c>
      <c r="J1551" s="229"/>
      <c r="AB1551" s="77"/>
      <c r="AF1551" s="142"/>
      <c r="AG1551" s="143"/>
    </row>
    <row r="1552" spans="1:33" ht="20.100000000000001" hidden="1" customHeight="1">
      <c r="A1552" s="16" t="s">
        <v>26</v>
      </c>
      <c r="B1552" s="16">
        <v>1992</v>
      </c>
      <c r="C1552" s="14" t="s">
        <v>49</v>
      </c>
      <c r="D1552" s="9" t="s">
        <v>1007</v>
      </c>
      <c r="E1552" s="17" t="s">
        <v>1007</v>
      </c>
      <c r="F1552" s="17"/>
      <c r="G1552" s="234"/>
      <c r="H1552" s="226"/>
      <c r="I1552" s="229">
        <v>52</v>
      </c>
      <c r="J1552" s="229"/>
      <c r="AB1552" s="77"/>
      <c r="AF1552" s="142"/>
      <c r="AG1552" s="143"/>
    </row>
    <row r="1553" spans="1:33" ht="20.100000000000001" hidden="1" customHeight="1">
      <c r="A1553" s="16" t="s">
        <v>26</v>
      </c>
      <c r="B1553" s="16">
        <v>1992</v>
      </c>
      <c r="C1553" s="14" t="s">
        <v>49</v>
      </c>
      <c r="D1553" s="9" t="s">
        <v>357</v>
      </c>
      <c r="E1553" s="17" t="s">
        <v>357</v>
      </c>
      <c r="F1553" s="17"/>
      <c r="G1553" s="234"/>
      <c r="H1553" s="226"/>
      <c r="I1553" s="229">
        <v>22</v>
      </c>
      <c r="J1553" s="229"/>
      <c r="AB1553" s="77"/>
      <c r="AF1553" s="142"/>
      <c r="AG1553" s="143"/>
    </row>
    <row r="1554" spans="1:33" ht="20.100000000000001" hidden="1" customHeight="1">
      <c r="A1554" s="16" t="s">
        <v>26</v>
      </c>
      <c r="B1554" s="16">
        <v>1992</v>
      </c>
      <c r="C1554" s="14" t="s">
        <v>49</v>
      </c>
      <c r="D1554" s="9" t="s">
        <v>353</v>
      </c>
      <c r="E1554" s="17" t="s">
        <v>353</v>
      </c>
      <c r="F1554" s="17"/>
      <c r="G1554" s="234"/>
      <c r="H1554" s="226"/>
      <c r="I1554" s="229">
        <v>22</v>
      </c>
      <c r="J1554" s="229"/>
      <c r="AB1554" s="77"/>
      <c r="AF1554" s="142"/>
      <c r="AG1554" s="143"/>
    </row>
    <row r="1555" spans="1:33" ht="20.100000000000001" hidden="1" customHeight="1">
      <c r="A1555" s="16" t="s">
        <v>26</v>
      </c>
      <c r="B1555" s="16">
        <v>1992</v>
      </c>
      <c r="C1555" s="14" t="s">
        <v>49</v>
      </c>
      <c r="D1555" s="27" t="s">
        <v>202</v>
      </c>
      <c r="E1555" s="17" t="s">
        <v>1008</v>
      </c>
      <c r="F1555" s="17"/>
      <c r="G1555" s="234"/>
      <c r="H1555" s="226"/>
      <c r="I1555" s="229">
        <v>8.3000000000000007</v>
      </c>
      <c r="J1555" s="229"/>
      <c r="AB1555" s="77"/>
      <c r="AF1555" s="142"/>
      <c r="AG1555" s="143"/>
    </row>
    <row r="1556" spans="1:33" ht="20.100000000000001" hidden="1" customHeight="1">
      <c r="A1556" s="16" t="s">
        <v>26</v>
      </c>
      <c r="B1556" s="16">
        <v>1992</v>
      </c>
      <c r="C1556" s="14" t="s">
        <v>49</v>
      </c>
      <c r="D1556" s="9" t="s">
        <v>1009</v>
      </c>
      <c r="E1556" s="17" t="s">
        <v>1009</v>
      </c>
      <c r="F1556" s="17"/>
      <c r="G1556" s="234"/>
      <c r="H1556" s="226"/>
      <c r="I1556" s="229">
        <v>22.6</v>
      </c>
      <c r="J1556" s="229"/>
      <c r="AB1556" s="77"/>
      <c r="AF1556" s="142"/>
      <c r="AG1556" s="143"/>
    </row>
    <row r="1557" spans="1:33" ht="20.100000000000001" hidden="1" customHeight="1">
      <c r="A1557" s="16" t="s">
        <v>26</v>
      </c>
      <c r="B1557" s="16">
        <v>1992</v>
      </c>
      <c r="C1557" s="14" t="s">
        <v>49</v>
      </c>
      <c r="D1557" s="9" t="s">
        <v>1010</v>
      </c>
      <c r="E1557" s="17" t="s">
        <v>1010</v>
      </c>
      <c r="F1557" s="17"/>
      <c r="G1557" s="234"/>
      <c r="H1557" s="226"/>
      <c r="I1557" s="229">
        <v>13.1</v>
      </c>
      <c r="J1557" s="229"/>
      <c r="AB1557" s="77"/>
      <c r="AF1557" s="142"/>
      <c r="AG1557" s="143"/>
    </row>
    <row r="1558" spans="1:33" ht="20.100000000000001" hidden="1" customHeight="1">
      <c r="A1558" s="16" t="s">
        <v>26</v>
      </c>
      <c r="B1558" s="16">
        <v>1992</v>
      </c>
      <c r="C1558" s="14" t="s">
        <v>49</v>
      </c>
      <c r="D1558" s="9" t="s">
        <v>1011</v>
      </c>
      <c r="E1558" s="17" t="s">
        <v>1011</v>
      </c>
      <c r="F1558" s="17"/>
      <c r="G1558" s="234"/>
      <c r="H1558" s="226"/>
      <c r="I1558" s="229">
        <v>6.5</v>
      </c>
      <c r="J1558" s="229"/>
      <c r="AB1558" s="77"/>
      <c r="AF1558" s="142"/>
      <c r="AG1558" s="143"/>
    </row>
    <row r="1559" spans="1:33" ht="20.100000000000001" hidden="1" customHeight="1">
      <c r="A1559" s="16" t="s">
        <v>26</v>
      </c>
      <c r="B1559" s="16">
        <v>1992</v>
      </c>
      <c r="C1559" s="14" t="s">
        <v>49</v>
      </c>
      <c r="D1559" s="9" t="s">
        <v>1012</v>
      </c>
      <c r="E1559" s="17" t="s">
        <v>1012</v>
      </c>
      <c r="F1559" s="17"/>
      <c r="G1559" s="234"/>
      <c r="H1559" s="226"/>
      <c r="I1559" s="229"/>
      <c r="J1559" s="229"/>
      <c r="AB1559" s="77"/>
      <c r="AF1559" s="142"/>
      <c r="AG1559" s="143"/>
    </row>
    <row r="1560" spans="1:33" ht="20.100000000000001" hidden="1" customHeight="1">
      <c r="A1560" s="16" t="s">
        <v>26</v>
      </c>
      <c r="B1560" s="16">
        <v>1992</v>
      </c>
      <c r="C1560" s="14" t="s">
        <v>49</v>
      </c>
      <c r="D1560" s="9" t="s">
        <v>1013</v>
      </c>
      <c r="E1560" s="17" t="s">
        <v>1013</v>
      </c>
      <c r="F1560" s="17"/>
      <c r="G1560" s="234"/>
      <c r="H1560" s="226"/>
      <c r="I1560" s="229">
        <v>3</v>
      </c>
      <c r="J1560" s="229"/>
      <c r="AB1560" s="77"/>
      <c r="AF1560" s="142"/>
      <c r="AG1560" s="143"/>
    </row>
    <row r="1561" spans="1:33" ht="20.100000000000001" hidden="1" customHeight="1">
      <c r="A1561" s="16" t="s">
        <v>26</v>
      </c>
      <c r="B1561" s="16">
        <v>1992</v>
      </c>
      <c r="C1561" s="14" t="s">
        <v>49</v>
      </c>
      <c r="D1561" s="9" t="s">
        <v>1014</v>
      </c>
      <c r="E1561" s="17" t="s">
        <v>1014</v>
      </c>
      <c r="F1561" s="17"/>
      <c r="G1561" s="234"/>
      <c r="H1561" s="226"/>
      <c r="I1561" s="229"/>
      <c r="J1561" s="229"/>
      <c r="AB1561" s="77"/>
      <c r="AF1561" s="142"/>
      <c r="AG1561" s="143"/>
    </row>
    <row r="1562" spans="1:33" ht="20.100000000000001" hidden="1" customHeight="1">
      <c r="A1562" s="16" t="s">
        <v>26</v>
      </c>
      <c r="B1562" s="16">
        <v>1992</v>
      </c>
      <c r="C1562" s="14" t="s">
        <v>49</v>
      </c>
      <c r="D1562" s="9" t="s">
        <v>1016</v>
      </c>
      <c r="E1562" s="17" t="s">
        <v>1016</v>
      </c>
      <c r="F1562" s="17"/>
      <c r="G1562" s="234"/>
      <c r="H1562" s="226"/>
      <c r="I1562" s="229"/>
      <c r="J1562" s="229"/>
      <c r="AB1562" s="77"/>
      <c r="AF1562" s="142"/>
      <c r="AG1562" s="143"/>
    </row>
    <row r="1563" spans="1:33" ht="20.100000000000001" hidden="1" customHeight="1">
      <c r="A1563" s="16" t="s">
        <v>26</v>
      </c>
      <c r="B1563" s="16">
        <v>1992</v>
      </c>
      <c r="C1563" s="14" t="s">
        <v>49</v>
      </c>
      <c r="D1563" s="9" t="s">
        <v>1018</v>
      </c>
      <c r="E1563" s="17" t="s">
        <v>1018</v>
      </c>
      <c r="F1563" s="17"/>
      <c r="G1563" s="234"/>
      <c r="H1563" s="226"/>
      <c r="I1563" s="229"/>
      <c r="J1563" s="229"/>
      <c r="AB1563" s="77"/>
      <c r="AF1563" s="142"/>
      <c r="AG1563" s="143"/>
    </row>
    <row r="1564" spans="1:33" ht="20.100000000000001" hidden="1" customHeight="1">
      <c r="A1564" s="16" t="s">
        <v>26</v>
      </c>
      <c r="B1564" s="16">
        <v>1992</v>
      </c>
      <c r="C1564" s="14" t="s">
        <v>49</v>
      </c>
      <c r="D1564" s="9" t="s">
        <v>1019</v>
      </c>
      <c r="E1564" s="17" t="s">
        <v>1019</v>
      </c>
      <c r="F1564" s="17"/>
      <c r="G1564" s="234"/>
      <c r="H1564" s="226"/>
      <c r="I1564" s="229">
        <v>16.7</v>
      </c>
      <c r="J1564" s="229"/>
      <c r="AB1564" s="77"/>
      <c r="AF1564" s="142"/>
      <c r="AG1564" s="143"/>
    </row>
    <row r="1565" spans="1:33" ht="20.100000000000001" hidden="1" customHeight="1">
      <c r="A1565" s="16" t="s">
        <v>26</v>
      </c>
      <c r="B1565" s="16">
        <v>1992</v>
      </c>
      <c r="C1565" s="14" t="s">
        <v>49</v>
      </c>
      <c r="D1565" s="9" t="s">
        <v>1020</v>
      </c>
      <c r="E1565" s="17" t="s">
        <v>1020</v>
      </c>
      <c r="F1565" s="17"/>
      <c r="G1565" s="234"/>
      <c r="H1565" s="226"/>
      <c r="I1565" s="229">
        <v>16.7</v>
      </c>
      <c r="J1565" s="229"/>
      <c r="AB1565" s="77"/>
      <c r="AF1565" s="142"/>
      <c r="AG1565" s="143"/>
    </row>
    <row r="1566" spans="1:33" ht="20.100000000000001" hidden="1" customHeight="1">
      <c r="A1566" s="16" t="s">
        <v>26</v>
      </c>
      <c r="B1566" s="16">
        <v>1992</v>
      </c>
      <c r="C1566" s="14" t="s">
        <v>49</v>
      </c>
      <c r="D1566" s="9" t="s">
        <v>1021</v>
      </c>
      <c r="E1566" s="17" t="s">
        <v>1021</v>
      </c>
      <c r="F1566" s="17"/>
      <c r="G1566" s="234"/>
      <c r="H1566" s="226"/>
      <c r="I1566" s="229"/>
      <c r="J1566" s="229"/>
      <c r="AB1566" s="77"/>
      <c r="AF1566" s="142"/>
      <c r="AG1566" s="143"/>
    </row>
    <row r="1567" spans="1:33" ht="20.100000000000001" hidden="1" customHeight="1">
      <c r="A1567" s="16" t="s">
        <v>26</v>
      </c>
      <c r="B1567" s="16">
        <v>1992</v>
      </c>
      <c r="C1567" s="14" t="s">
        <v>49</v>
      </c>
      <c r="D1567" s="9" t="s">
        <v>1022</v>
      </c>
      <c r="E1567" s="17" t="s">
        <v>1022</v>
      </c>
      <c r="F1567" s="17"/>
      <c r="G1567" s="234"/>
      <c r="H1567" s="226"/>
      <c r="I1567" s="229"/>
      <c r="J1567" s="229"/>
      <c r="AB1567" s="77"/>
      <c r="AF1567" s="142"/>
      <c r="AG1567" s="143"/>
    </row>
    <row r="1568" spans="1:33" ht="20.100000000000001" hidden="1" customHeight="1">
      <c r="A1568" s="16" t="s">
        <v>26</v>
      </c>
      <c r="B1568" s="16">
        <v>1992</v>
      </c>
      <c r="C1568" s="14" t="s">
        <v>49</v>
      </c>
      <c r="D1568" s="9" t="s">
        <v>1024</v>
      </c>
      <c r="E1568" s="17" t="s">
        <v>1024</v>
      </c>
      <c r="F1568" s="17"/>
      <c r="G1568" s="234"/>
      <c r="H1568" s="226"/>
      <c r="I1568" s="229"/>
      <c r="J1568" s="229"/>
      <c r="AB1568" s="77"/>
      <c r="AF1568" s="142"/>
      <c r="AG1568" s="143"/>
    </row>
    <row r="1569" spans="1:33" ht="20.100000000000001" hidden="1" customHeight="1">
      <c r="A1569" s="16" t="s">
        <v>26</v>
      </c>
      <c r="B1569" s="16">
        <v>1992</v>
      </c>
      <c r="C1569" s="14" t="s">
        <v>49</v>
      </c>
      <c r="D1569" s="9" t="s">
        <v>1025</v>
      </c>
      <c r="E1569" s="17" t="s">
        <v>1025</v>
      </c>
      <c r="F1569" s="17"/>
      <c r="G1569" s="234"/>
      <c r="H1569" s="226"/>
      <c r="I1569" s="229"/>
      <c r="J1569" s="229"/>
      <c r="AB1569" s="77"/>
      <c r="AF1569" s="142"/>
      <c r="AG1569" s="143"/>
    </row>
    <row r="1570" spans="1:33" ht="20.100000000000001" hidden="1" customHeight="1">
      <c r="A1570" s="16" t="s">
        <v>26</v>
      </c>
      <c r="B1570" s="16">
        <v>1992</v>
      </c>
      <c r="C1570" s="14" t="s">
        <v>49</v>
      </c>
      <c r="D1570" s="9" t="s">
        <v>1026</v>
      </c>
      <c r="E1570" s="17" t="s">
        <v>1027</v>
      </c>
      <c r="F1570" s="17"/>
      <c r="G1570" s="234"/>
      <c r="H1570" s="226"/>
      <c r="I1570" s="229"/>
      <c r="J1570" s="229"/>
      <c r="AB1570" s="77"/>
      <c r="AF1570" s="142"/>
      <c r="AG1570" s="143"/>
    </row>
    <row r="1571" spans="1:33" ht="20.100000000000001" hidden="1" customHeight="1">
      <c r="A1571" s="16" t="s">
        <v>26</v>
      </c>
      <c r="B1571" s="16">
        <v>1992</v>
      </c>
      <c r="C1571" s="14" t="s">
        <v>49</v>
      </c>
      <c r="D1571" s="9" t="s">
        <v>1029</v>
      </c>
      <c r="E1571" s="17" t="s">
        <v>1029</v>
      </c>
      <c r="F1571" s="17"/>
      <c r="G1571" s="234"/>
      <c r="H1571" s="226"/>
      <c r="I1571" s="229"/>
      <c r="J1571" s="229"/>
      <c r="AB1571" s="77"/>
      <c r="AF1571" s="142"/>
      <c r="AG1571" s="143"/>
    </row>
    <row r="1572" spans="1:33" ht="20.100000000000001" hidden="1" customHeight="1">
      <c r="A1572" s="16" t="s">
        <v>26</v>
      </c>
      <c r="B1572" s="16">
        <v>1992</v>
      </c>
      <c r="C1572" s="14" t="s">
        <v>49</v>
      </c>
      <c r="D1572" s="9" t="s">
        <v>1030</v>
      </c>
      <c r="E1572" s="17" t="s">
        <v>1030</v>
      </c>
      <c r="F1572" s="17"/>
      <c r="G1572" s="234"/>
      <c r="H1572" s="226"/>
      <c r="I1572" s="229"/>
      <c r="J1572" s="229"/>
      <c r="AB1572" s="77"/>
      <c r="AF1572" s="142"/>
      <c r="AG1572" s="143"/>
    </row>
    <row r="1573" spans="1:33" ht="20.100000000000001" hidden="1" customHeight="1">
      <c r="A1573" s="16" t="s">
        <v>26</v>
      </c>
      <c r="B1573" s="16">
        <v>1992</v>
      </c>
      <c r="C1573" s="14" t="s">
        <v>49</v>
      </c>
      <c r="D1573" s="9" t="s">
        <v>1032</v>
      </c>
      <c r="E1573" s="17" t="s">
        <v>1032</v>
      </c>
      <c r="F1573" s="17"/>
      <c r="G1573" s="234"/>
      <c r="H1573" s="226"/>
      <c r="I1573" s="229"/>
      <c r="J1573" s="229"/>
      <c r="AB1573" s="77"/>
      <c r="AF1573" s="142"/>
      <c r="AG1573" s="143"/>
    </row>
    <row r="1574" spans="1:33" ht="20.100000000000001" hidden="1" customHeight="1">
      <c r="A1574" s="16" t="s">
        <v>26</v>
      </c>
      <c r="B1574" s="16">
        <v>1992</v>
      </c>
      <c r="C1574" s="14" t="s">
        <v>49</v>
      </c>
      <c r="D1574" s="9" t="s">
        <v>1033</v>
      </c>
      <c r="E1574" s="17" t="s">
        <v>1034</v>
      </c>
      <c r="F1574" s="17"/>
      <c r="G1574" s="234"/>
      <c r="H1574" s="226"/>
      <c r="I1574" s="229"/>
      <c r="J1574" s="229"/>
      <c r="AB1574" s="77"/>
      <c r="AF1574" s="142"/>
      <c r="AG1574" s="143"/>
    </row>
    <row r="1575" spans="1:33" ht="20.100000000000001" hidden="1" customHeight="1">
      <c r="A1575" s="16" t="s">
        <v>26</v>
      </c>
      <c r="B1575" s="16">
        <v>1992</v>
      </c>
      <c r="C1575" s="14" t="s">
        <v>49</v>
      </c>
      <c r="D1575" s="9" t="s">
        <v>1036</v>
      </c>
      <c r="E1575" s="17" t="s">
        <v>1036</v>
      </c>
      <c r="F1575" s="17"/>
      <c r="G1575" s="234"/>
      <c r="H1575" s="226"/>
      <c r="I1575" s="229"/>
      <c r="J1575" s="229"/>
      <c r="AB1575" s="77"/>
      <c r="AF1575" s="142"/>
      <c r="AG1575" s="143"/>
    </row>
    <row r="1576" spans="1:33" ht="20.100000000000001" hidden="1" customHeight="1">
      <c r="A1576" s="16" t="s">
        <v>26</v>
      </c>
      <c r="B1576" s="16">
        <v>1992</v>
      </c>
      <c r="C1576" s="14" t="s">
        <v>49</v>
      </c>
      <c r="D1576" s="9" t="s">
        <v>1037</v>
      </c>
      <c r="E1576" s="17" t="s">
        <v>1037</v>
      </c>
      <c r="F1576" s="17"/>
      <c r="G1576" s="234"/>
      <c r="H1576" s="226"/>
      <c r="I1576" s="229"/>
      <c r="J1576" s="229"/>
      <c r="AB1576" s="77"/>
      <c r="AF1576" s="142"/>
      <c r="AG1576" s="143"/>
    </row>
    <row r="1577" spans="1:33" ht="20.100000000000001" hidden="1" customHeight="1">
      <c r="A1577" s="16" t="s">
        <v>26</v>
      </c>
      <c r="B1577" s="16">
        <v>1992</v>
      </c>
      <c r="C1577" s="14" t="s">
        <v>49</v>
      </c>
      <c r="D1577" s="9" t="s">
        <v>1039</v>
      </c>
      <c r="E1577" s="17" t="s">
        <v>1039</v>
      </c>
      <c r="F1577" s="17"/>
      <c r="G1577" s="234"/>
      <c r="H1577" s="226"/>
      <c r="I1577" s="229"/>
      <c r="J1577" s="229"/>
      <c r="AB1577" s="77"/>
      <c r="AF1577" s="142"/>
      <c r="AG1577" s="143"/>
    </row>
    <row r="1578" spans="1:33" ht="20.100000000000001" hidden="1" customHeight="1">
      <c r="A1578" s="16" t="s">
        <v>26</v>
      </c>
      <c r="B1578" s="16">
        <v>1992</v>
      </c>
      <c r="C1578" s="14" t="s">
        <v>49</v>
      </c>
      <c r="D1578" s="9" t="s">
        <v>1040</v>
      </c>
      <c r="E1578" s="17" t="s">
        <v>1040</v>
      </c>
      <c r="F1578" s="17"/>
      <c r="G1578" s="234"/>
      <c r="H1578" s="226"/>
      <c r="I1578" s="229"/>
      <c r="J1578" s="229"/>
      <c r="AB1578" s="77"/>
      <c r="AF1578" s="142"/>
      <c r="AG1578" s="143"/>
    </row>
    <row r="1579" spans="1:33" ht="20.100000000000001" hidden="1" customHeight="1">
      <c r="A1579" s="16" t="s">
        <v>26</v>
      </c>
      <c r="B1579" s="16">
        <v>1992</v>
      </c>
      <c r="C1579" s="14" t="s">
        <v>49</v>
      </c>
      <c r="D1579" s="9" t="s">
        <v>1042</v>
      </c>
      <c r="E1579" s="17" t="s">
        <v>1042</v>
      </c>
      <c r="F1579" s="17"/>
      <c r="G1579" s="234"/>
      <c r="H1579" s="226"/>
      <c r="I1579" s="229"/>
      <c r="J1579" s="229"/>
      <c r="AB1579" s="77"/>
      <c r="AF1579" s="142"/>
      <c r="AG1579" s="143"/>
    </row>
    <row r="1580" spans="1:33" ht="20.100000000000001" hidden="1" customHeight="1">
      <c r="A1580" s="16" t="s">
        <v>26</v>
      </c>
      <c r="B1580" s="16">
        <v>1992</v>
      </c>
      <c r="C1580" s="14" t="s">
        <v>49</v>
      </c>
      <c r="D1580" s="9" t="s">
        <v>1043</v>
      </c>
      <c r="E1580" s="9" t="s">
        <v>1043</v>
      </c>
      <c r="F1580" s="17"/>
      <c r="G1580" s="234"/>
      <c r="H1580" s="226"/>
      <c r="I1580" s="229"/>
      <c r="J1580" s="229"/>
      <c r="AB1580" s="77"/>
      <c r="AF1580" s="142"/>
      <c r="AG1580" s="143"/>
    </row>
    <row r="1581" spans="1:33" ht="20.100000000000001" hidden="1" customHeight="1">
      <c r="A1581" s="16" t="s">
        <v>26</v>
      </c>
      <c r="B1581" s="16">
        <v>1992</v>
      </c>
      <c r="C1581" s="14" t="s">
        <v>49</v>
      </c>
      <c r="D1581" s="9" t="s">
        <v>1044</v>
      </c>
      <c r="E1581" s="17" t="s">
        <v>1044</v>
      </c>
      <c r="F1581" s="17"/>
      <c r="G1581" s="234"/>
      <c r="H1581" s="226"/>
      <c r="I1581" s="229"/>
      <c r="J1581" s="229"/>
      <c r="AB1581" s="77"/>
      <c r="AF1581" s="142"/>
      <c r="AG1581" s="143"/>
    </row>
    <row r="1582" spans="1:33" ht="20.100000000000001" hidden="1" customHeight="1">
      <c r="A1582" s="16" t="s">
        <v>26</v>
      </c>
      <c r="B1582" s="16">
        <v>1992</v>
      </c>
      <c r="C1582" s="14" t="s">
        <v>49</v>
      </c>
      <c r="D1582" s="9" t="s">
        <v>1045</v>
      </c>
      <c r="E1582" s="17" t="s">
        <v>1045</v>
      </c>
      <c r="F1582" s="17"/>
      <c r="G1582" s="234"/>
      <c r="H1582" s="226"/>
      <c r="I1582" s="229"/>
      <c r="J1582" s="229"/>
      <c r="AB1582" s="77"/>
      <c r="AF1582" s="142"/>
      <c r="AG1582" s="143"/>
    </row>
    <row r="1583" spans="1:33" ht="20.100000000000001" hidden="1" customHeight="1">
      <c r="A1583" s="16" t="s">
        <v>26</v>
      </c>
      <c r="B1583" s="16">
        <v>1992</v>
      </c>
      <c r="C1583" s="14" t="s">
        <v>49</v>
      </c>
      <c r="D1583" s="9" t="s">
        <v>1046</v>
      </c>
      <c r="E1583" s="17" t="s">
        <v>1046</v>
      </c>
      <c r="F1583" s="17"/>
      <c r="G1583" s="234"/>
      <c r="H1583" s="226"/>
      <c r="I1583" s="229"/>
      <c r="J1583" s="229"/>
      <c r="AB1583" s="77"/>
      <c r="AF1583" s="142"/>
      <c r="AG1583" s="143"/>
    </row>
    <row r="1584" spans="1:33" ht="20.100000000000001" hidden="1" customHeight="1">
      <c r="A1584" s="16" t="s">
        <v>26</v>
      </c>
      <c r="B1584" s="16">
        <v>1992</v>
      </c>
      <c r="C1584" s="14" t="s">
        <v>49</v>
      </c>
      <c r="D1584" s="9" t="s">
        <v>1047</v>
      </c>
      <c r="E1584" s="17" t="s">
        <v>1047</v>
      </c>
      <c r="F1584" s="17"/>
      <c r="G1584" s="234"/>
      <c r="H1584" s="226"/>
      <c r="I1584" s="229"/>
      <c r="J1584" s="229"/>
      <c r="AB1584" s="77"/>
      <c r="AF1584" s="142"/>
      <c r="AG1584" s="143"/>
    </row>
    <row r="1585" spans="1:33" ht="20.100000000000001" hidden="1" customHeight="1">
      <c r="A1585" s="16" t="s">
        <v>26</v>
      </c>
      <c r="B1585" s="16">
        <v>1992</v>
      </c>
      <c r="C1585" s="14" t="s">
        <v>49</v>
      </c>
      <c r="D1585" s="9" t="s">
        <v>1048</v>
      </c>
      <c r="E1585" s="17" t="s">
        <v>1048</v>
      </c>
      <c r="F1585" s="17"/>
      <c r="G1585" s="234"/>
      <c r="H1585" s="226"/>
      <c r="I1585" s="229"/>
      <c r="J1585" s="229"/>
      <c r="AB1585" s="77"/>
      <c r="AF1585" s="142"/>
      <c r="AG1585" s="143"/>
    </row>
    <row r="1586" spans="1:33" ht="20.100000000000001" hidden="1" customHeight="1">
      <c r="A1586" s="16" t="s">
        <v>26</v>
      </c>
      <c r="B1586" s="16">
        <v>1992</v>
      </c>
      <c r="C1586" s="14" t="s">
        <v>49</v>
      </c>
      <c r="D1586" s="9" t="s">
        <v>1050</v>
      </c>
      <c r="E1586" s="17" t="s">
        <v>1050</v>
      </c>
      <c r="F1586" s="17"/>
      <c r="G1586" s="234"/>
      <c r="H1586" s="226"/>
      <c r="I1586" s="229"/>
      <c r="J1586" s="229"/>
      <c r="AB1586" s="77"/>
      <c r="AF1586" s="142"/>
      <c r="AG1586" s="143"/>
    </row>
    <row r="1587" spans="1:33" ht="20.100000000000001" hidden="1" customHeight="1">
      <c r="A1587" s="16" t="s">
        <v>26</v>
      </c>
      <c r="B1587" s="16">
        <v>1992</v>
      </c>
      <c r="C1587" s="14" t="s">
        <v>49</v>
      </c>
      <c r="D1587" s="9" t="s">
        <v>1051</v>
      </c>
      <c r="E1587" s="17" t="s">
        <v>1051</v>
      </c>
      <c r="F1587" s="17"/>
      <c r="G1587" s="234"/>
      <c r="H1587" s="226"/>
      <c r="I1587" s="229"/>
      <c r="J1587" s="229"/>
      <c r="AB1587" s="77"/>
      <c r="AF1587" s="142"/>
      <c r="AG1587" s="143"/>
    </row>
    <row r="1588" spans="1:33" ht="20.100000000000001" hidden="1" customHeight="1">
      <c r="A1588" s="16" t="s">
        <v>26</v>
      </c>
      <c r="B1588" s="16">
        <v>1992</v>
      </c>
      <c r="C1588" s="14" t="s">
        <v>49</v>
      </c>
      <c r="D1588" s="27" t="s">
        <v>202</v>
      </c>
      <c r="E1588" s="17" t="s">
        <v>192</v>
      </c>
      <c r="F1588" s="17"/>
      <c r="G1588" s="234"/>
      <c r="H1588" s="226"/>
      <c r="I1588" s="229">
        <v>11.4</v>
      </c>
      <c r="J1588" s="229"/>
      <c r="AB1588" s="77"/>
      <c r="AF1588" s="142"/>
      <c r="AG1588" s="143"/>
    </row>
    <row r="1589" spans="1:33" ht="20.100000000000001" hidden="1" customHeight="1">
      <c r="A1589" s="16" t="s">
        <v>26</v>
      </c>
      <c r="B1589" s="16">
        <v>1996</v>
      </c>
      <c r="C1589" s="14" t="s">
        <v>49</v>
      </c>
      <c r="D1589" s="9" t="s">
        <v>1007</v>
      </c>
      <c r="E1589" s="17" t="s">
        <v>1007</v>
      </c>
      <c r="F1589" s="17"/>
      <c r="G1589" s="234"/>
      <c r="H1589" s="226"/>
      <c r="I1589" s="229">
        <v>40.5</v>
      </c>
      <c r="J1589" s="229"/>
      <c r="AB1589" s="77"/>
      <c r="AF1589" s="142"/>
      <c r="AG1589" s="143"/>
    </row>
    <row r="1590" spans="1:33" ht="20.100000000000001" hidden="1" customHeight="1">
      <c r="A1590" s="16" t="s">
        <v>26</v>
      </c>
      <c r="B1590" s="16">
        <v>1996</v>
      </c>
      <c r="C1590" s="14" t="s">
        <v>49</v>
      </c>
      <c r="D1590" s="9" t="s">
        <v>357</v>
      </c>
      <c r="E1590" s="17" t="s">
        <v>357</v>
      </c>
      <c r="F1590" s="17"/>
      <c r="G1590" s="234"/>
      <c r="H1590" s="226"/>
      <c r="I1590" s="229">
        <v>14.8</v>
      </c>
      <c r="J1590" s="229"/>
      <c r="AB1590" s="77"/>
      <c r="AF1590" s="142"/>
      <c r="AG1590" s="143"/>
    </row>
    <row r="1591" spans="1:33" ht="20.100000000000001" hidden="1" customHeight="1">
      <c r="A1591" s="16" t="s">
        <v>26</v>
      </c>
      <c r="B1591" s="16">
        <v>1996</v>
      </c>
      <c r="C1591" s="14" t="s">
        <v>49</v>
      </c>
      <c r="D1591" s="9" t="s">
        <v>353</v>
      </c>
      <c r="E1591" s="17" t="s">
        <v>353</v>
      </c>
      <c r="F1591" s="17"/>
      <c r="G1591" s="234"/>
      <c r="H1591" s="226"/>
      <c r="I1591" s="229">
        <v>14.4</v>
      </c>
      <c r="J1591" s="229"/>
      <c r="AB1591" s="77"/>
      <c r="AF1591" s="142"/>
      <c r="AG1591" s="143"/>
    </row>
    <row r="1592" spans="1:33" ht="20.100000000000001" hidden="1" customHeight="1">
      <c r="A1592" s="16" t="s">
        <v>26</v>
      </c>
      <c r="B1592" s="16">
        <v>1996</v>
      </c>
      <c r="C1592" s="14" t="s">
        <v>49</v>
      </c>
      <c r="D1592" s="27" t="s">
        <v>202</v>
      </c>
      <c r="E1592" s="17" t="s">
        <v>1008</v>
      </c>
      <c r="F1592" s="17"/>
      <c r="G1592" s="234"/>
      <c r="H1592" s="226"/>
      <c r="I1592" s="229">
        <v>11.3</v>
      </c>
      <c r="J1592" s="229"/>
      <c r="AB1592" s="77"/>
      <c r="AF1592" s="142"/>
      <c r="AG1592" s="143"/>
    </row>
    <row r="1593" spans="1:33" ht="20.100000000000001" hidden="1" customHeight="1">
      <c r="A1593" s="16" t="s">
        <v>26</v>
      </c>
      <c r="B1593" s="16">
        <v>1996</v>
      </c>
      <c r="C1593" s="14" t="s">
        <v>49</v>
      </c>
      <c r="D1593" s="9" t="s">
        <v>1009</v>
      </c>
      <c r="E1593" s="17" t="s">
        <v>1009</v>
      </c>
      <c r="F1593" s="17"/>
      <c r="G1593" s="234"/>
      <c r="H1593" s="226"/>
      <c r="I1593" s="229">
        <v>27.4</v>
      </c>
      <c r="J1593" s="229"/>
      <c r="AB1593" s="77"/>
      <c r="AF1593" s="142"/>
      <c r="AG1593" s="143"/>
    </row>
    <row r="1594" spans="1:33" ht="20.100000000000001" hidden="1" customHeight="1">
      <c r="A1594" s="16" t="s">
        <v>26</v>
      </c>
      <c r="B1594" s="16">
        <v>1996</v>
      </c>
      <c r="C1594" s="14" t="s">
        <v>49</v>
      </c>
      <c r="D1594" s="9" t="s">
        <v>1010</v>
      </c>
      <c r="E1594" s="17" t="s">
        <v>1010</v>
      </c>
      <c r="F1594" s="17"/>
      <c r="G1594" s="234"/>
      <c r="H1594" s="226"/>
      <c r="I1594" s="229">
        <v>13.2</v>
      </c>
      <c r="J1594" s="229"/>
      <c r="AB1594" s="77"/>
      <c r="AF1594" s="142"/>
      <c r="AG1594" s="143"/>
    </row>
    <row r="1595" spans="1:33" ht="20.100000000000001" hidden="1" customHeight="1">
      <c r="A1595" s="16" t="s">
        <v>26</v>
      </c>
      <c r="B1595" s="16">
        <v>1996</v>
      </c>
      <c r="C1595" s="14" t="s">
        <v>49</v>
      </c>
      <c r="D1595" s="9" t="s">
        <v>1011</v>
      </c>
      <c r="E1595" s="17" t="s">
        <v>1011</v>
      </c>
      <c r="F1595" s="17"/>
      <c r="G1595" s="234"/>
      <c r="H1595" s="226"/>
      <c r="I1595" s="229">
        <v>9.5</v>
      </c>
      <c r="J1595" s="229"/>
      <c r="AB1595" s="77"/>
      <c r="AF1595" s="142"/>
      <c r="AG1595" s="143"/>
    </row>
    <row r="1596" spans="1:33" ht="20.100000000000001" hidden="1" customHeight="1">
      <c r="A1596" s="16" t="s">
        <v>26</v>
      </c>
      <c r="B1596" s="16">
        <v>1996</v>
      </c>
      <c r="C1596" s="14" t="s">
        <v>49</v>
      </c>
      <c r="D1596" s="9" t="s">
        <v>1012</v>
      </c>
      <c r="E1596" s="17" t="s">
        <v>1012</v>
      </c>
      <c r="F1596" s="17"/>
      <c r="G1596" s="234"/>
      <c r="H1596" s="226"/>
      <c r="I1596" s="229">
        <v>3.6</v>
      </c>
      <c r="J1596" s="229"/>
      <c r="AB1596" s="77"/>
      <c r="AF1596" s="142"/>
      <c r="AG1596" s="143"/>
    </row>
    <row r="1597" spans="1:33" ht="20.100000000000001" hidden="1" customHeight="1">
      <c r="A1597" s="16" t="s">
        <v>26</v>
      </c>
      <c r="B1597" s="16">
        <v>1996</v>
      </c>
      <c r="C1597" s="14" t="s">
        <v>49</v>
      </c>
      <c r="D1597" s="9" t="s">
        <v>1013</v>
      </c>
      <c r="E1597" s="17" t="s">
        <v>1013</v>
      </c>
      <c r="F1597" s="17"/>
      <c r="G1597" s="234"/>
      <c r="H1597" s="226"/>
      <c r="I1597" s="229">
        <v>1.1000000000000001</v>
      </c>
      <c r="J1597" s="229"/>
      <c r="AB1597" s="77"/>
      <c r="AF1597" s="142"/>
      <c r="AG1597" s="143"/>
    </row>
    <row r="1598" spans="1:33" ht="20.100000000000001" hidden="1" customHeight="1">
      <c r="A1598" s="16" t="s">
        <v>26</v>
      </c>
      <c r="B1598" s="16">
        <v>1996</v>
      </c>
      <c r="C1598" s="14" t="s">
        <v>49</v>
      </c>
      <c r="D1598" s="9" t="s">
        <v>1014</v>
      </c>
      <c r="E1598" s="17" t="s">
        <v>1014</v>
      </c>
      <c r="F1598" s="17"/>
      <c r="G1598" s="234"/>
      <c r="H1598" s="226"/>
      <c r="I1598" s="229"/>
      <c r="J1598" s="229"/>
      <c r="AB1598" s="77"/>
      <c r="AF1598" s="142"/>
      <c r="AG1598" s="143"/>
    </row>
    <row r="1599" spans="1:33" ht="20.100000000000001" hidden="1" customHeight="1">
      <c r="A1599" s="16" t="s">
        <v>26</v>
      </c>
      <c r="B1599" s="16">
        <v>1996</v>
      </c>
      <c r="C1599" s="14" t="s">
        <v>49</v>
      </c>
      <c r="D1599" s="9" t="s">
        <v>1016</v>
      </c>
      <c r="E1599" s="17" t="s">
        <v>1016</v>
      </c>
      <c r="F1599" s="17"/>
      <c r="G1599" s="234"/>
      <c r="H1599" s="226"/>
      <c r="I1599" s="229"/>
      <c r="J1599" s="229"/>
      <c r="AB1599" s="77"/>
      <c r="AF1599" s="142"/>
      <c r="AG1599" s="143"/>
    </row>
    <row r="1600" spans="1:33" ht="20.100000000000001" hidden="1" customHeight="1">
      <c r="A1600" s="16" t="s">
        <v>26</v>
      </c>
      <c r="B1600" s="16">
        <v>1996</v>
      </c>
      <c r="C1600" s="14" t="s">
        <v>49</v>
      </c>
      <c r="D1600" s="9" t="s">
        <v>1018</v>
      </c>
      <c r="E1600" s="17" t="s">
        <v>1018</v>
      </c>
      <c r="F1600" s="17"/>
      <c r="G1600" s="234"/>
      <c r="H1600" s="226"/>
      <c r="I1600" s="229"/>
      <c r="J1600" s="229"/>
      <c r="AB1600" s="77"/>
      <c r="AF1600" s="142"/>
      <c r="AG1600" s="143"/>
    </row>
    <row r="1601" spans="1:33" ht="20.100000000000001" hidden="1" customHeight="1">
      <c r="A1601" s="16" t="s">
        <v>26</v>
      </c>
      <c r="B1601" s="16">
        <v>1996</v>
      </c>
      <c r="C1601" s="14" t="s">
        <v>49</v>
      </c>
      <c r="D1601" s="9" t="s">
        <v>1019</v>
      </c>
      <c r="E1601" s="17" t="s">
        <v>1019</v>
      </c>
      <c r="F1601" s="17"/>
      <c r="G1601" s="234"/>
      <c r="H1601" s="226"/>
      <c r="I1601" s="229">
        <v>26.6</v>
      </c>
      <c r="J1601" s="229"/>
      <c r="AB1601" s="77"/>
      <c r="AF1601" s="142"/>
      <c r="AG1601" s="143"/>
    </row>
    <row r="1602" spans="1:33" ht="20.100000000000001" hidden="1" customHeight="1">
      <c r="A1602" s="16" t="s">
        <v>26</v>
      </c>
      <c r="B1602" s="16">
        <v>1996</v>
      </c>
      <c r="C1602" s="14" t="s">
        <v>49</v>
      </c>
      <c r="D1602" s="9" t="s">
        <v>1020</v>
      </c>
      <c r="E1602" s="17" t="s">
        <v>1020</v>
      </c>
      <c r="F1602" s="17"/>
      <c r="G1602" s="234"/>
      <c r="H1602" s="226"/>
      <c r="I1602" s="229">
        <v>17</v>
      </c>
      <c r="J1602" s="229"/>
      <c r="AB1602" s="77"/>
      <c r="AF1602" s="142"/>
      <c r="AG1602" s="143"/>
    </row>
    <row r="1603" spans="1:33" ht="20.100000000000001" hidden="1" customHeight="1">
      <c r="A1603" s="16" t="s">
        <v>26</v>
      </c>
      <c r="B1603" s="16">
        <v>1996</v>
      </c>
      <c r="C1603" s="14" t="s">
        <v>49</v>
      </c>
      <c r="D1603" s="9" t="s">
        <v>1021</v>
      </c>
      <c r="E1603" s="17" t="s">
        <v>1021</v>
      </c>
      <c r="F1603" s="17"/>
      <c r="G1603" s="234"/>
      <c r="H1603" s="226"/>
      <c r="I1603" s="229">
        <v>9.6</v>
      </c>
      <c r="J1603" s="229"/>
      <c r="AB1603" s="77"/>
      <c r="AF1603" s="142"/>
      <c r="AG1603" s="143"/>
    </row>
    <row r="1604" spans="1:33" ht="20.100000000000001" hidden="1" customHeight="1">
      <c r="A1604" s="16" t="s">
        <v>26</v>
      </c>
      <c r="B1604" s="16">
        <v>1996</v>
      </c>
      <c r="C1604" s="14" t="s">
        <v>49</v>
      </c>
      <c r="D1604" s="9" t="s">
        <v>1022</v>
      </c>
      <c r="E1604" s="17" t="s">
        <v>1022</v>
      </c>
      <c r="F1604" s="17"/>
      <c r="G1604" s="234"/>
      <c r="H1604" s="226"/>
      <c r="I1604" s="229"/>
      <c r="J1604" s="229"/>
      <c r="AB1604" s="77"/>
      <c r="AF1604" s="142"/>
      <c r="AG1604" s="143"/>
    </row>
    <row r="1605" spans="1:33" ht="20.100000000000001" hidden="1" customHeight="1">
      <c r="A1605" s="16" t="s">
        <v>26</v>
      </c>
      <c r="B1605" s="16">
        <v>1996</v>
      </c>
      <c r="C1605" s="14" t="s">
        <v>49</v>
      </c>
      <c r="D1605" s="9" t="s">
        <v>1024</v>
      </c>
      <c r="E1605" s="17" t="s">
        <v>1024</v>
      </c>
      <c r="F1605" s="17"/>
      <c r="G1605" s="234"/>
      <c r="H1605" s="226"/>
      <c r="I1605" s="229">
        <v>1.2</v>
      </c>
      <c r="J1605" s="229"/>
      <c r="AB1605" s="77"/>
      <c r="AF1605" s="142"/>
      <c r="AG1605" s="143"/>
    </row>
    <row r="1606" spans="1:33" ht="20.100000000000001" hidden="1" customHeight="1">
      <c r="A1606" s="16" t="s">
        <v>26</v>
      </c>
      <c r="B1606" s="16">
        <v>1996</v>
      </c>
      <c r="C1606" s="14" t="s">
        <v>49</v>
      </c>
      <c r="D1606" s="9" t="s">
        <v>1025</v>
      </c>
      <c r="E1606" s="17" t="s">
        <v>1025</v>
      </c>
      <c r="F1606" s="17"/>
      <c r="G1606" s="234"/>
      <c r="H1606" s="226"/>
      <c r="I1606" s="229">
        <v>1.2</v>
      </c>
      <c r="J1606" s="229"/>
      <c r="AB1606" s="77"/>
      <c r="AF1606" s="142"/>
      <c r="AG1606" s="143"/>
    </row>
    <row r="1607" spans="1:33" ht="20.100000000000001" hidden="1" customHeight="1">
      <c r="A1607" s="16" t="s">
        <v>26</v>
      </c>
      <c r="B1607" s="16">
        <v>1996</v>
      </c>
      <c r="C1607" s="14" t="s">
        <v>49</v>
      </c>
      <c r="D1607" s="9" t="s">
        <v>1026</v>
      </c>
      <c r="E1607" s="17" t="s">
        <v>1027</v>
      </c>
      <c r="F1607" s="17"/>
      <c r="G1607" s="234"/>
      <c r="H1607" s="226"/>
      <c r="I1607" s="229"/>
      <c r="J1607" s="229"/>
      <c r="AB1607" s="77"/>
      <c r="AF1607" s="142"/>
      <c r="AG1607" s="143"/>
    </row>
    <row r="1608" spans="1:33" ht="20.100000000000001" hidden="1" customHeight="1">
      <c r="A1608" s="16" t="s">
        <v>26</v>
      </c>
      <c r="B1608" s="16">
        <v>1996</v>
      </c>
      <c r="C1608" s="14" t="s">
        <v>49</v>
      </c>
      <c r="D1608" s="9" t="s">
        <v>1029</v>
      </c>
      <c r="E1608" s="17" t="s">
        <v>1029</v>
      </c>
      <c r="F1608" s="17"/>
      <c r="G1608" s="234"/>
      <c r="H1608" s="226"/>
      <c r="I1608" s="229"/>
      <c r="J1608" s="229"/>
      <c r="AB1608" s="77"/>
      <c r="AF1608" s="142"/>
      <c r="AG1608" s="143"/>
    </row>
    <row r="1609" spans="1:33" ht="20.100000000000001" hidden="1" customHeight="1">
      <c r="A1609" s="16" t="s">
        <v>26</v>
      </c>
      <c r="B1609" s="16">
        <v>1996</v>
      </c>
      <c r="C1609" s="14" t="s">
        <v>49</v>
      </c>
      <c r="D1609" s="9" t="s">
        <v>1030</v>
      </c>
      <c r="E1609" s="17" t="s">
        <v>1030</v>
      </c>
      <c r="F1609" s="17"/>
      <c r="G1609" s="234"/>
      <c r="H1609" s="226"/>
      <c r="I1609" s="229"/>
      <c r="J1609" s="229"/>
      <c r="AB1609" s="77"/>
      <c r="AF1609" s="142"/>
      <c r="AG1609" s="143"/>
    </row>
    <row r="1610" spans="1:33" ht="20.100000000000001" hidden="1" customHeight="1">
      <c r="A1610" s="16" t="s">
        <v>26</v>
      </c>
      <c r="B1610" s="16">
        <v>1996</v>
      </c>
      <c r="C1610" s="14" t="s">
        <v>49</v>
      </c>
      <c r="D1610" s="9" t="s">
        <v>1032</v>
      </c>
      <c r="E1610" s="17" t="s">
        <v>1032</v>
      </c>
      <c r="F1610" s="17"/>
      <c r="G1610" s="234"/>
      <c r="H1610" s="226"/>
      <c r="I1610" s="229"/>
      <c r="J1610" s="229"/>
      <c r="AB1610" s="77"/>
      <c r="AF1610" s="142"/>
      <c r="AG1610" s="143"/>
    </row>
    <row r="1611" spans="1:33" ht="20.100000000000001" hidden="1" customHeight="1">
      <c r="A1611" s="16" t="s">
        <v>26</v>
      </c>
      <c r="B1611" s="16">
        <v>1996</v>
      </c>
      <c r="C1611" s="14" t="s">
        <v>49</v>
      </c>
      <c r="D1611" s="9" t="s">
        <v>1033</v>
      </c>
      <c r="E1611" s="17" t="s">
        <v>1034</v>
      </c>
      <c r="F1611" s="17"/>
      <c r="G1611" s="234"/>
      <c r="H1611" s="226"/>
      <c r="I1611" s="229"/>
      <c r="J1611" s="229"/>
      <c r="AB1611" s="77"/>
      <c r="AF1611" s="142"/>
      <c r="AG1611" s="143"/>
    </row>
    <row r="1612" spans="1:33" ht="20.100000000000001" hidden="1" customHeight="1">
      <c r="A1612" s="16" t="s">
        <v>26</v>
      </c>
      <c r="B1612" s="16">
        <v>1996</v>
      </c>
      <c r="C1612" s="14" t="s">
        <v>49</v>
      </c>
      <c r="D1612" s="9" t="s">
        <v>1036</v>
      </c>
      <c r="E1612" s="17" t="s">
        <v>1036</v>
      </c>
      <c r="F1612" s="17"/>
      <c r="G1612" s="234"/>
      <c r="H1612" s="226"/>
      <c r="I1612" s="229"/>
      <c r="J1612" s="229"/>
      <c r="AB1612" s="77"/>
      <c r="AF1612" s="142"/>
      <c r="AG1612" s="143"/>
    </row>
    <row r="1613" spans="1:33" ht="20.100000000000001" hidden="1" customHeight="1">
      <c r="A1613" s="16" t="s">
        <v>26</v>
      </c>
      <c r="B1613" s="16">
        <v>1996</v>
      </c>
      <c r="C1613" s="14" t="s">
        <v>49</v>
      </c>
      <c r="D1613" s="9" t="s">
        <v>1037</v>
      </c>
      <c r="E1613" s="17" t="s">
        <v>1037</v>
      </c>
      <c r="F1613" s="17"/>
      <c r="G1613" s="234"/>
      <c r="H1613" s="226"/>
      <c r="I1613" s="229"/>
      <c r="J1613" s="229"/>
      <c r="AB1613" s="77"/>
      <c r="AF1613" s="142"/>
      <c r="AG1613" s="143"/>
    </row>
    <row r="1614" spans="1:33" ht="20.100000000000001" hidden="1" customHeight="1">
      <c r="A1614" s="16" t="s">
        <v>26</v>
      </c>
      <c r="B1614" s="16">
        <v>1996</v>
      </c>
      <c r="C1614" s="14" t="s">
        <v>49</v>
      </c>
      <c r="D1614" s="9" t="s">
        <v>1039</v>
      </c>
      <c r="E1614" s="17" t="s">
        <v>1039</v>
      </c>
      <c r="F1614" s="17"/>
      <c r="G1614" s="234"/>
      <c r="H1614" s="226"/>
      <c r="I1614" s="229"/>
      <c r="J1614" s="229"/>
      <c r="AB1614" s="77"/>
      <c r="AF1614" s="142"/>
      <c r="AG1614" s="143"/>
    </row>
    <row r="1615" spans="1:33" ht="20.100000000000001" hidden="1" customHeight="1">
      <c r="A1615" s="16" t="s">
        <v>26</v>
      </c>
      <c r="B1615" s="16">
        <v>1996</v>
      </c>
      <c r="C1615" s="14" t="s">
        <v>49</v>
      </c>
      <c r="D1615" s="9" t="s">
        <v>1040</v>
      </c>
      <c r="E1615" s="17" t="s">
        <v>1040</v>
      </c>
      <c r="F1615" s="17"/>
      <c r="G1615" s="234"/>
      <c r="H1615" s="226"/>
      <c r="I1615" s="229">
        <v>0.7</v>
      </c>
      <c r="J1615" s="229"/>
      <c r="AB1615" s="77"/>
      <c r="AF1615" s="142"/>
      <c r="AG1615" s="143"/>
    </row>
    <row r="1616" spans="1:33" ht="20.100000000000001" hidden="1" customHeight="1">
      <c r="A1616" s="16" t="s">
        <v>26</v>
      </c>
      <c r="B1616" s="16">
        <v>1996</v>
      </c>
      <c r="C1616" s="14" t="s">
        <v>49</v>
      </c>
      <c r="D1616" s="9" t="s">
        <v>1042</v>
      </c>
      <c r="E1616" s="17" t="s">
        <v>1042</v>
      </c>
      <c r="F1616" s="17"/>
      <c r="G1616" s="234"/>
      <c r="H1616" s="226"/>
      <c r="I1616" s="229">
        <v>0.7</v>
      </c>
      <c r="J1616" s="229"/>
      <c r="AB1616" s="77"/>
      <c r="AF1616" s="142"/>
      <c r="AG1616" s="143"/>
    </row>
    <row r="1617" spans="1:33" ht="20.100000000000001" hidden="1" customHeight="1">
      <c r="A1617" s="16" t="s">
        <v>26</v>
      </c>
      <c r="B1617" s="16">
        <v>1996</v>
      </c>
      <c r="C1617" s="14" t="s">
        <v>49</v>
      </c>
      <c r="D1617" s="9" t="s">
        <v>1043</v>
      </c>
      <c r="E1617" s="9" t="s">
        <v>1043</v>
      </c>
      <c r="F1617" s="17"/>
      <c r="G1617" s="234"/>
      <c r="H1617" s="226"/>
      <c r="I1617" s="229">
        <v>0.3</v>
      </c>
      <c r="J1617" s="229"/>
      <c r="AB1617" s="77"/>
      <c r="AF1617" s="142"/>
      <c r="AG1617" s="143"/>
    </row>
    <row r="1618" spans="1:33" ht="20.100000000000001" hidden="1" customHeight="1">
      <c r="A1618" s="16" t="s">
        <v>26</v>
      </c>
      <c r="B1618" s="16">
        <v>1996</v>
      </c>
      <c r="C1618" s="14" t="s">
        <v>49</v>
      </c>
      <c r="D1618" s="9" t="s">
        <v>1044</v>
      </c>
      <c r="E1618" s="17" t="s">
        <v>1044</v>
      </c>
      <c r="F1618" s="17"/>
      <c r="G1618" s="234"/>
      <c r="H1618" s="226"/>
      <c r="I1618" s="229">
        <v>0.3</v>
      </c>
      <c r="J1618" s="229"/>
      <c r="AB1618" s="77"/>
      <c r="AF1618" s="142"/>
      <c r="AG1618" s="143"/>
    </row>
    <row r="1619" spans="1:33" ht="20.100000000000001" hidden="1" customHeight="1">
      <c r="A1619" s="16" t="s">
        <v>26</v>
      </c>
      <c r="B1619" s="16">
        <v>1996</v>
      </c>
      <c r="C1619" s="14" t="s">
        <v>49</v>
      </c>
      <c r="D1619" s="9" t="s">
        <v>1045</v>
      </c>
      <c r="E1619" s="17" t="s">
        <v>1045</v>
      </c>
      <c r="F1619" s="17"/>
      <c r="G1619" s="234"/>
      <c r="H1619" s="226"/>
      <c r="I1619" s="229"/>
      <c r="J1619" s="229"/>
      <c r="AB1619" s="77"/>
      <c r="AF1619" s="142"/>
      <c r="AG1619" s="143"/>
    </row>
    <row r="1620" spans="1:33" ht="20.100000000000001" hidden="1" customHeight="1">
      <c r="A1620" s="16" t="s">
        <v>26</v>
      </c>
      <c r="B1620" s="16">
        <v>1996</v>
      </c>
      <c r="C1620" s="14" t="s">
        <v>49</v>
      </c>
      <c r="D1620" s="9" t="s">
        <v>1046</v>
      </c>
      <c r="E1620" s="17" t="s">
        <v>1046</v>
      </c>
      <c r="F1620" s="17"/>
      <c r="G1620" s="234"/>
      <c r="H1620" s="226"/>
      <c r="I1620" s="229"/>
      <c r="J1620" s="229"/>
      <c r="AB1620" s="77"/>
      <c r="AF1620" s="142"/>
      <c r="AG1620" s="143"/>
    </row>
    <row r="1621" spans="1:33" ht="20.100000000000001" hidden="1" customHeight="1">
      <c r="A1621" s="16" t="s">
        <v>26</v>
      </c>
      <c r="B1621" s="16">
        <v>1996</v>
      </c>
      <c r="C1621" s="14" t="s">
        <v>49</v>
      </c>
      <c r="D1621" s="9" t="s">
        <v>1047</v>
      </c>
      <c r="E1621" s="17" t="s">
        <v>1047</v>
      </c>
      <c r="F1621" s="17"/>
      <c r="G1621" s="234"/>
      <c r="H1621" s="226"/>
      <c r="I1621" s="229"/>
      <c r="J1621" s="229"/>
      <c r="AB1621" s="77"/>
      <c r="AF1621" s="142"/>
      <c r="AG1621" s="143"/>
    </row>
    <row r="1622" spans="1:33" ht="20.100000000000001" hidden="1" customHeight="1">
      <c r="A1622" s="16" t="s">
        <v>26</v>
      </c>
      <c r="B1622" s="16">
        <v>1996</v>
      </c>
      <c r="C1622" s="14" t="s">
        <v>49</v>
      </c>
      <c r="D1622" s="9" t="s">
        <v>1048</v>
      </c>
      <c r="E1622" s="17" t="s">
        <v>1048</v>
      </c>
      <c r="F1622" s="17"/>
      <c r="G1622" s="234"/>
      <c r="H1622" s="226"/>
      <c r="I1622" s="229"/>
      <c r="J1622" s="229"/>
      <c r="AB1622" s="77"/>
      <c r="AF1622" s="142"/>
      <c r="AG1622" s="143"/>
    </row>
    <row r="1623" spans="1:33" ht="20.100000000000001" hidden="1" customHeight="1">
      <c r="A1623" s="16" t="s">
        <v>26</v>
      </c>
      <c r="B1623" s="16">
        <v>1996</v>
      </c>
      <c r="C1623" s="14" t="s">
        <v>49</v>
      </c>
      <c r="D1623" s="9" t="s">
        <v>1050</v>
      </c>
      <c r="E1623" s="17" t="s">
        <v>1050</v>
      </c>
      <c r="F1623" s="17"/>
      <c r="G1623" s="234"/>
      <c r="H1623" s="226"/>
      <c r="I1623" s="229"/>
      <c r="J1623" s="229"/>
      <c r="AB1623" s="77"/>
      <c r="AF1623" s="142"/>
      <c r="AG1623" s="143"/>
    </row>
    <row r="1624" spans="1:33" ht="20.100000000000001" hidden="1" customHeight="1">
      <c r="A1624" s="16" t="s">
        <v>26</v>
      </c>
      <c r="B1624" s="16">
        <v>1996</v>
      </c>
      <c r="C1624" s="14" t="s">
        <v>49</v>
      </c>
      <c r="D1624" s="9" t="s">
        <v>1051</v>
      </c>
      <c r="E1624" s="17" t="s">
        <v>1051</v>
      </c>
      <c r="F1624" s="17"/>
      <c r="G1624" s="234"/>
      <c r="H1624" s="226"/>
      <c r="I1624" s="229"/>
      <c r="J1624" s="229"/>
      <c r="AB1624" s="77"/>
      <c r="AF1624" s="142"/>
      <c r="AG1624" s="143"/>
    </row>
    <row r="1625" spans="1:33" ht="20.100000000000001" hidden="1" customHeight="1">
      <c r="A1625" s="16" t="s">
        <v>26</v>
      </c>
      <c r="B1625" s="16">
        <v>1996</v>
      </c>
      <c r="C1625" s="14" t="s">
        <v>49</v>
      </c>
      <c r="D1625" s="27" t="s">
        <v>202</v>
      </c>
      <c r="E1625" s="17" t="s">
        <v>192</v>
      </c>
      <c r="F1625" s="17"/>
      <c r="G1625" s="234"/>
      <c r="H1625" s="226"/>
      <c r="I1625" s="229">
        <v>5.4</v>
      </c>
      <c r="J1625" s="229"/>
      <c r="AB1625" s="77"/>
      <c r="AF1625" s="142"/>
      <c r="AG1625" s="143"/>
    </row>
    <row r="1626" spans="1:33" ht="20.100000000000001" hidden="1" customHeight="1">
      <c r="A1626" s="16" t="s">
        <v>26</v>
      </c>
      <c r="B1626" s="16">
        <v>2000</v>
      </c>
      <c r="C1626" s="14" t="s">
        <v>49</v>
      </c>
      <c r="D1626" s="9" t="s">
        <v>1007</v>
      </c>
      <c r="E1626" s="17" t="s">
        <v>1007</v>
      </c>
      <c r="F1626" s="17"/>
      <c r="G1626" s="234"/>
      <c r="H1626" s="226">
        <f t="shared" ref="H1626:H1634" si="90">10137*I1626%</f>
        <v>4369.0469999999996</v>
      </c>
      <c r="I1626" s="170">
        <v>43.1</v>
      </c>
      <c r="AB1626" s="77"/>
      <c r="AF1626" s="142"/>
      <c r="AG1626" s="143"/>
    </row>
    <row r="1627" spans="1:33" ht="20.100000000000001" hidden="1" customHeight="1">
      <c r="A1627" s="16" t="s">
        <v>26</v>
      </c>
      <c r="B1627" s="16">
        <v>2000</v>
      </c>
      <c r="C1627" s="14" t="s">
        <v>49</v>
      </c>
      <c r="D1627" s="9" t="s">
        <v>357</v>
      </c>
      <c r="E1627" s="17" t="s">
        <v>357</v>
      </c>
      <c r="F1627" s="17"/>
      <c r="G1627" s="234"/>
      <c r="H1627" s="226">
        <f t="shared" si="90"/>
        <v>1449.5910000000001</v>
      </c>
      <c r="I1627" s="170">
        <v>14.3</v>
      </c>
      <c r="AB1627" s="77"/>
      <c r="AF1627" s="142"/>
      <c r="AG1627" s="143"/>
    </row>
    <row r="1628" spans="1:33" ht="20.100000000000001" hidden="1" customHeight="1">
      <c r="A1628" s="16" t="s">
        <v>26</v>
      </c>
      <c r="B1628" s="16">
        <v>2000</v>
      </c>
      <c r="C1628" s="14" t="s">
        <v>49</v>
      </c>
      <c r="D1628" s="9" t="s">
        <v>353</v>
      </c>
      <c r="E1628" s="17" t="s">
        <v>353</v>
      </c>
      <c r="F1628" s="17"/>
      <c r="G1628" s="234"/>
      <c r="H1628" s="226">
        <f t="shared" si="90"/>
        <v>1348.221</v>
      </c>
      <c r="I1628" s="170">
        <v>13.3</v>
      </c>
      <c r="AB1628" s="77"/>
      <c r="AF1628" s="142"/>
      <c r="AG1628" s="143"/>
    </row>
    <row r="1629" spans="1:33" ht="20.100000000000001" hidden="1" customHeight="1">
      <c r="A1629" s="16" t="s">
        <v>26</v>
      </c>
      <c r="B1629" s="16">
        <v>2000</v>
      </c>
      <c r="C1629" s="14" t="s">
        <v>49</v>
      </c>
      <c r="D1629" s="27" t="s">
        <v>202</v>
      </c>
      <c r="E1629" s="17" t="s">
        <v>1008</v>
      </c>
      <c r="F1629" s="17"/>
      <c r="G1629" s="234"/>
      <c r="H1629" s="226">
        <f t="shared" si="90"/>
        <v>1571.2349999999999</v>
      </c>
      <c r="I1629" s="170">
        <v>15.5</v>
      </c>
      <c r="AB1629" s="77"/>
      <c r="AF1629" s="142"/>
      <c r="AG1629" s="143"/>
    </row>
    <row r="1630" spans="1:33" ht="20.100000000000001" hidden="1" customHeight="1">
      <c r="A1630" s="16" t="s">
        <v>26</v>
      </c>
      <c r="B1630" s="16">
        <v>2000</v>
      </c>
      <c r="C1630" s="14" t="s">
        <v>49</v>
      </c>
      <c r="D1630" s="9" t="s">
        <v>1009</v>
      </c>
      <c r="E1630" s="17" t="s">
        <v>1009</v>
      </c>
      <c r="F1630" s="17"/>
      <c r="G1630" s="234"/>
      <c r="H1630" s="226">
        <f t="shared" si="90"/>
        <v>2655.8940000000002</v>
      </c>
      <c r="I1630" s="170">
        <v>26.2</v>
      </c>
      <c r="AB1630" s="77"/>
      <c r="AF1630" s="142"/>
      <c r="AG1630" s="143"/>
    </row>
    <row r="1631" spans="1:33" ht="20.100000000000001" hidden="1" customHeight="1">
      <c r="A1631" s="16" t="s">
        <v>26</v>
      </c>
      <c r="B1631" s="16">
        <v>2000</v>
      </c>
      <c r="C1631" s="14" t="s">
        <v>49</v>
      </c>
      <c r="D1631" s="9" t="s">
        <v>1010</v>
      </c>
      <c r="E1631" s="17" t="s">
        <v>1010</v>
      </c>
      <c r="F1631" s="17"/>
      <c r="G1631" s="234"/>
      <c r="H1631" s="226">
        <f t="shared" si="90"/>
        <v>1033.9739999999999</v>
      </c>
      <c r="I1631" s="170">
        <v>10.199999999999999</v>
      </c>
      <c r="AB1631" s="77"/>
      <c r="AF1631" s="142"/>
      <c r="AG1631" s="143"/>
    </row>
    <row r="1632" spans="1:33" ht="20.100000000000001" hidden="1" customHeight="1">
      <c r="A1632" s="16" t="s">
        <v>26</v>
      </c>
      <c r="B1632" s="16">
        <v>2000</v>
      </c>
      <c r="C1632" s="14" t="s">
        <v>49</v>
      </c>
      <c r="D1632" s="9" t="s">
        <v>1011</v>
      </c>
      <c r="E1632" s="17" t="s">
        <v>1011</v>
      </c>
      <c r="F1632" s="17"/>
      <c r="G1632" s="230"/>
      <c r="H1632" s="227">
        <f t="shared" si="90"/>
        <v>831.23399999999992</v>
      </c>
      <c r="I1632" s="170">
        <v>8.1999999999999993</v>
      </c>
      <c r="AB1632" s="77"/>
      <c r="AF1632" s="142"/>
      <c r="AG1632" s="143"/>
    </row>
    <row r="1633" spans="1:33" ht="20.100000000000001" hidden="1" customHeight="1">
      <c r="A1633" s="16" t="s">
        <v>26</v>
      </c>
      <c r="B1633" s="16">
        <v>2000</v>
      </c>
      <c r="C1633" s="14" t="s">
        <v>49</v>
      </c>
      <c r="D1633" s="9" t="s">
        <v>1012</v>
      </c>
      <c r="E1633" s="17" t="s">
        <v>1012</v>
      </c>
      <c r="F1633" s="17"/>
      <c r="G1633" s="230"/>
      <c r="H1633" s="227">
        <f t="shared" si="90"/>
        <v>557.53499999999997</v>
      </c>
      <c r="I1633" s="170">
        <v>5.5</v>
      </c>
      <c r="AB1633" s="77"/>
      <c r="AF1633" s="142"/>
      <c r="AG1633" s="143"/>
    </row>
    <row r="1634" spans="1:33" ht="20.100000000000001" hidden="1" customHeight="1">
      <c r="A1634" s="16" t="s">
        <v>26</v>
      </c>
      <c r="B1634" s="16">
        <v>2000</v>
      </c>
      <c r="C1634" s="14" t="s">
        <v>49</v>
      </c>
      <c r="D1634" s="9" t="s">
        <v>1013</v>
      </c>
      <c r="E1634" s="17" t="s">
        <v>1013</v>
      </c>
      <c r="F1634" s="17"/>
      <c r="G1634" s="230"/>
      <c r="H1634" s="227">
        <f t="shared" si="90"/>
        <v>121.64400000000001</v>
      </c>
      <c r="I1634" s="170">
        <v>1.2</v>
      </c>
      <c r="AB1634" s="77"/>
      <c r="AF1634" s="142"/>
      <c r="AG1634" s="143"/>
    </row>
    <row r="1635" spans="1:33" ht="20.100000000000001" hidden="1" customHeight="1">
      <c r="A1635" s="16" t="s">
        <v>26</v>
      </c>
      <c r="B1635" s="16">
        <v>2000</v>
      </c>
      <c r="C1635" s="14" t="s">
        <v>49</v>
      </c>
      <c r="D1635" s="9" t="s">
        <v>1014</v>
      </c>
      <c r="E1635" s="17" t="s">
        <v>1014</v>
      </c>
      <c r="F1635" s="17"/>
      <c r="G1635" s="234"/>
      <c r="H1635" s="169"/>
      <c r="I1635" s="169"/>
      <c r="J1635" s="169"/>
      <c r="AB1635" s="77"/>
      <c r="AF1635" s="142"/>
      <c r="AG1635" s="143"/>
    </row>
    <row r="1636" spans="1:33" ht="20.100000000000001" hidden="1" customHeight="1">
      <c r="A1636" s="16" t="s">
        <v>26</v>
      </c>
      <c r="B1636" s="16">
        <v>2000</v>
      </c>
      <c r="C1636" s="14" t="s">
        <v>49</v>
      </c>
      <c r="D1636" s="9" t="s">
        <v>1016</v>
      </c>
      <c r="E1636" s="17" t="s">
        <v>1016</v>
      </c>
      <c r="F1636" s="17"/>
      <c r="G1636" s="230"/>
      <c r="H1636" s="227">
        <f>10137*I1636%</f>
        <v>111.50700000000001</v>
      </c>
      <c r="I1636" s="170">
        <v>1.1000000000000001</v>
      </c>
      <c r="AB1636" s="77"/>
      <c r="AF1636" s="142"/>
      <c r="AG1636" s="143"/>
    </row>
    <row r="1637" spans="1:33" ht="20.100000000000001" hidden="1" customHeight="1">
      <c r="A1637" s="16" t="s">
        <v>26</v>
      </c>
      <c r="B1637" s="16">
        <v>2000</v>
      </c>
      <c r="C1637" s="14" t="s">
        <v>49</v>
      </c>
      <c r="D1637" s="9" t="s">
        <v>1018</v>
      </c>
      <c r="E1637" s="17" t="s">
        <v>1018</v>
      </c>
      <c r="F1637" s="17"/>
      <c r="G1637" s="234"/>
      <c r="H1637" s="169"/>
      <c r="I1637" s="169"/>
      <c r="J1637" s="169"/>
      <c r="AB1637" s="77"/>
      <c r="AF1637" s="142"/>
      <c r="AG1637" s="143"/>
    </row>
    <row r="1638" spans="1:33" ht="20.100000000000001" hidden="1" customHeight="1">
      <c r="A1638" s="16" t="s">
        <v>26</v>
      </c>
      <c r="B1638" s="16">
        <v>2000</v>
      </c>
      <c r="C1638" s="14" t="s">
        <v>49</v>
      </c>
      <c r="D1638" s="9" t="s">
        <v>1019</v>
      </c>
      <c r="E1638" s="17" t="s">
        <v>1019</v>
      </c>
      <c r="F1638" s="17"/>
      <c r="G1638" s="234"/>
      <c r="H1638" s="226">
        <f>10137*I1638%</f>
        <v>2503.8389999999999</v>
      </c>
      <c r="I1638" s="170">
        <v>24.7</v>
      </c>
      <c r="AB1638" s="77"/>
      <c r="AF1638" s="142"/>
      <c r="AG1638" s="143"/>
    </row>
    <row r="1639" spans="1:33" ht="20.100000000000001" hidden="1" customHeight="1">
      <c r="A1639" s="16" t="s">
        <v>26</v>
      </c>
      <c r="B1639" s="16">
        <v>2000</v>
      </c>
      <c r="C1639" s="14" t="s">
        <v>49</v>
      </c>
      <c r="D1639" s="9" t="s">
        <v>1020</v>
      </c>
      <c r="E1639" s="17" t="s">
        <v>1020</v>
      </c>
      <c r="F1639" s="17"/>
      <c r="G1639" s="234"/>
      <c r="H1639" s="226">
        <f>10137*I1639%</f>
        <v>1449.5910000000001</v>
      </c>
      <c r="I1639" s="170">
        <v>14.3</v>
      </c>
      <c r="AB1639" s="77"/>
      <c r="AF1639" s="142"/>
      <c r="AG1639" s="143"/>
    </row>
    <row r="1640" spans="1:33" ht="20.100000000000001" hidden="1" customHeight="1">
      <c r="A1640" s="16" t="s">
        <v>26</v>
      </c>
      <c r="B1640" s="16">
        <v>2000</v>
      </c>
      <c r="C1640" s="14" t="s">
        <v>49</v>
      </c>
      <c r="D1640" s="9" t="s">
        <v>1021</v>
      </c>
      <c r="E1640" s="17" t="s">
        <v>1021</v>
      </c>
      <c r="F1640" s="17"/>
      <c r="G1640" s="234"/>
      <c r="H1640" s="226">
        <f>10137*I1640%</f>
        <v>1054.248</v>
      </c>
      <c r="I1640" s="170">
        <v>10.4</v>
      </c>
      <c r="AB1640" s="77"/>
      <c r="AF1640" s="142"/>
      <c r="AG1640" s="143"/>
    </row>
    <row r="1641" spans="1:33" ht="20.100000000000001" hidden="1" customHeight="1">
      <c r="A1641" s="16" t="s">
        <v>26</v>
      </c>
      <c r="B1641" s="16">
        <v>2000</v>
      </c>
      <c r="C1641" s="14" t="s">
        <v>49</v>
      </c>
      <c r="D1641" s="9" t="s">
        <v>1022</v>
      </c>
      <c r="E1641" s="17" t="s">
        <v>1022</v>
      </c>
      <c r="F1641" s="17"/>
      <c r="G1641" s="234"/>
      <c r="H1641" s="169"/>
      <c r="I1641" s="169"/>
      <c r="J1641" s="169"/>
      <c r="AB1641" s="77"/>
      <c r="AF1641" s="142"/>
      <c r="AG1641" s="143"/>
    </row>
    <row r="1642" spans="1:33" ht="20.100000000000001" hidden="1" customHeight="1">
      <c r="A1642" s="16" t="s">
        <v>26</v>
      </c>
      <c r="B1642" s="16">
        <v>2000</v>
      </c>
      <c r="C1642" s="14" t="s">
        <v>49</v>
      </c>
      <c r="D1642" s="9" t="s">
        <v>1024</v>
      </c>
      <c r="E1642" s="17" t="s">
        <v>1024</v>
      </c>
      <c r="F1642" s="17"/>
      <c r="G1642" s="230"/>
      <c r="H1642" s="227">
        <f>10137*I1642%</f>
        <v>101.37</v>
      </c>
      <c r="I1642" s="170">
        <v>1</v>
      </c>
      <c r="AB1642" s="77"/>
      <c r="AF1642" s="142"/>
      <c r="AG1642" s="143"/>
    </row>
    <row r="1643" spans="1:33" ht="20.100000000000001" hidden="1" customHeight="1">
      <c r="A1643" s="16" t="s">
        <v>26</v>
      </c>
      <c r="B1643" s="16">
        <v>2000</v>
      </c>
      <c r="C1643" s="14" t="s">
        <v>49</v>
      </c>
      <c r="D1643" s="9" t="s">
        <v>1025</v>
      </c>
      <c r="E1643" s="17" t="s">
        <v>1025</v>
      </c>
      <c r="F1643" s="17"/>
      <c r="G1643" s="230"/>
      <c r="H1643" s="227">
        <f>10137*I1643%</f>
        <v>101.37</v>
      </c>
      <c r="I1643" s="170">
        <v>1</v>
      </c>
      <c r="AB1643" s="77"/>
      <c r="AF1643" s="142"/>
      <c r="AG1643" s="143"/>
    </row>
    <row r="1644" spans="1:33" ht="20.100000000000001" hidden="1" customHeight="1">
      <c r="A1644" s="16" t="s">
        <v>26</v>
      </c>
      <c r="B1644" s="16">
        <v>2000</v>
      </c>
      <c r="C1644" s="14" t="s">
        <v>49</v>
      </c>
      <c r="D1644" s="9" t="s">
        <v>1026</v>
      </c>
      <c r="E1644" s="17" t="s">
        <v>1027</v>
      </c>
      <c r="F1644" s="17"/>
      <c r="G1644" s="234"/>
      <c r="H1644" s="169"/>
      <c r="I1644" s="169"/>
      <c r="J1644" s="169"/>
      <c r="AB1644" s="77"/>
      <c r="AF1644" s="142"/>
      <c r="AG1644" s="143"/>
    </row>
    <row r="1645" spans="1:33" ht="20.100000000000001" hidden="1" customHeight="1">
      <c r="A1645" s="16" t="s">
        <v>26</v>
      </c>
      <c r="B1645" s="16">
        <v>2000</v>
      </c>
      <c r="C1645" s="14" t="s">
        <v>49</v>
      </c>
      <c r="D1645" s="9" t="s">
        <v>1029</v>
      </c>
      <c r="E1645" s="17" t="s">
        <v>1029</v>
      </c>
      <c r="F1645" s="17"/>
      <c r="G1645" s="234"/>
      <c r="H1645" s="169"/>
      <c r="I1645" s="169"/>
      <c r="J1645" s="169"/>
      <c r="AB1645" s="77"/>
      <c r="AF1645" s="142"/>
      <c r="AG1645" s="143"/>
    </row>
    <row r="1646" spans="1:33" ht="20.100000000000001" hidden="1" customHeight="1">
      <c r="A1646" s="16" t="s">
        <v>26</v>
      </c>
      <c r="B1646" s="16">
        <v>2000</v>
      </c>
      <c r="C1646" s="14" t="s">
        <v>49</v>
      </c>
      <c r="D1646" s="9" t="s">
        <v>1030</v>
      </c>
      <c r="E1646" s="17" t="s">
        <v>1030</v>
      </c>
      <c r="F1646" s="17"/>
      <c r="G1646" s="234"/>
      <c r="H1646" s="169"/>
      <c r="I1646" s="169"/>
      <c r="J1646" s="169"/>
      <c r="AB1646" s="77"/>
      <c r="AF1646" s="142"/>
      <c r="AG1646" s="143"/>
    </row>
    <row r="1647" spans="1:33" ht="20.100000000000001" hidden="1" customHeight="1">
      <c r="A1647" s="16" t="s">
        <v>26</v>
      </c>
      <c r="B1647" s="16">
        <v>2000</v>
      </c>
      <c r="C1647" s="14" t="s">
        <v>49</v>
      </c>
      <c r="D1647" s="9" t="s">
        <v>1032</v>
      </c>
      <c r="E1647" s="17" t="s">
        <v>1032</v>
      </c>
      <c r="F1647" s="17"/>
      <c r="G1647" s="234"/>
      <c r="H1647" s="169"/>
      <c r="I1647" s="169"/>
      <c r="J1647" s="169"/>
      <c r="AB1647" s="77"/>
      <c r="AF1647" s="142"/>
      <c r="AG1647" s="143"/>
    </row>
    <row r="1648" spans="1:33" ht="20.100000000000001" hidden="1" customHeight="1">
      <c r="A1648" s="16" t="s">
        <v>26</v>
      </c>
      <c r="B1648" s="16">
        <v>2000</v>
      </c>
      <c r="C1648" s="14" t="s">
        <v>49</v>
      </c>
      <c r="D1648" s="9" t="s">
        <v>1033</v>
      </c>
      <c r="E1648" s="17" t="s">
        <v>1034</v>
      </c>
      <c r="F1648" s="17"/>
      <c r="G1648" s="230"/>
      <c r="H1648" s="227">
        <f>10137*I1648%</f>
        <v>101.37</v>
      </c>
      <c r="I1648" s="170">
        <v>1</v>
      </c>
      <c r="AB1648" s="77"/>
      <c r="AF1648" s="142"/>
      <c r="AG1648" s="143"/>
    </row>
    <row r="1649" spans="1:33" ht="20.100000000000001" hidden="1" customHeight="1">
      <c r="A1649" s="16" t="s">
        <v>26</v>
      </c>
      <c r="B1649" s="16">
        <v>2000</v>
      </c>
      <c r="C1649" s="14" t="s">
        <v>49</v>
      </c>
      <c r="D1649" s="9" t="s">
        <v>1036</v>
      </c>
      <c r="E1649" s="17" t="s">
        <v>1036</v>
      </c>
      <c r="F1649" s="17"/>
      <c r="G1649" s="230"/>
      <c r="H1649" s="227">
        <f>10137*I1649%</f>
        <v>101.37</v>
      </c>
      <c r="I1649" s="170">
        <v>1</v>
      </c>
      <c r="AB1649" s="77"/>
      <c r="AF1649" s="142"/>
      <c r="AG1649" s="143"/>
    </row>
    <row r="1650" spans="1:33" ht="20.100000000000001" hidden="1" customHeight="1">
      <c r="A1650" s="16" t="s">
        <v>26</v>
      </c>
      <c r="B1650" s="16">
        <v>2000</v>
      </c>
      <c r="C1650" s="14" t="s">
        <v>49</v>
      </c>
      <c r="D1650" s="9" t="s">
        <v>1037</v>
      </c>
      <c r="E1650" s="17" t="s">
        <v>1037</v>
      </c>
      <c r="F1650" s="17"/>
      <c r="G1650" s="234"/>
      <c r="H1650" s="169"/>
      <c r="I1650" s="169"/>
      <c r="J1650" s="169"/>
      <c r="AB1650" s="77"/>
      <c r="AF1650" s="142"/>
      <c r="AG1650" s="143"/>
    </row>
    <row r="1651" spans="1:33" ht="20.100000000000001" hidden="1" customHeight="1">
      <c r="A1651" s="16" t="s">
        <v>26</v>
      </c>
      <c r="B1651" s="16">
        <v>2000</v>
      </c>
      <c r="C1651" s="14" t="s">
        <v>49</v>
      </c>
      <c r="D1651" s="9" t="s">
        <v>1039</v>
      </c>
      <c r="E1651" s="17" t="s">
        <v>1039</v>
      </c>
      <c r="F1651" s="17"/>
      <c r="G1651" s="234"/>
      <c r="H1651" s="169"/>
      <c r="I1651" s="169"/>
      <c r="J1651" s="169"/>
      <c r="AB1651" s="77"/>
      <c r="AF1651" s="142"/>
      <c r="AG1651" s="143"/>
    </row>
    <row r="1652" spans="1:33" ht="20.100000000000001" hidden="1" customHeight="1">
      <c r="A1652" s="16" t="s">
        <v>26</v>
      </c>
      <c r="B1652" s="16">
        <v>2000</v>
      </c>
      <c r="C1652" s="14" t="s">
        <v>49</v>
      </c>
      <c r="D1652" s="9" t="s">
        <v>1040</v>
      </c>
      <c r="E1652" s="17" t="s">
        <v>1040</v>
      </c>
      <c r="F1652" s="17"/>
      <c r="G1652" s="234"/>
      <c r="H1652" s="169"/>
      <c r="I1652" s="169"/>
      <c r="J1652" s="169"/>
      <c r="AB1652" s="77"/>
      <c r="AF1652" s="142"/>
      <c r="AG1652" s="143"/>
    </row>
    <row r="1653" spans="1:33" ht="20.100000000000001" hidden="1" customHeight="1">
      <c r="A1653" s="16" t="s">
        <v>26</v>
      </c>
      <c r="B1653" s="16">
        <v>2000</v>
      </c>
      <c r="C1653" s="14" t="s">
        <v>49</v>
      </c>
      <c r="D1653" s="9" t="s">
        <v>1042</v>
      </c>
      <c r="E1653" s="17" t="s">
        <v>1042</v>
      </c>
      <c r="F1653" s="17"/>
      <c r="G1653" s="234"/>
      <c r="H1653" s="169"/>
      <c r="I1653" s="169"/>
      <c r="J1653" s="169"/>
      <c r="AB1653" s="77"/>
      <c r="AF1653" s="142"/>
      <c r="AG1653" s="143"/>
    </row>
    <row r="1654" spans="1:33" ht="20.100000000000001" hidden="1" customHeight="1">
      <c r="A1654" s="16" t="s">
        <v>26</v>
      </c>
      <c r="B1654" s="16">
        <v>2000</v>
      </c>
      <c r="C1654" s="14" t="s">
        <v>49</v>
      </c>
      <c r="D1654" s="9" t="s">
        <v>1043</v>
      </c>
      <c r="E1654" s="9" t="s">
        <v>1043</v>
      </c>
      <c r="F1654" s="17"/>
      <c r="G1654" s="230"/>
      <c r="H1654" s="227">
        <f>10137*I1654%</f>
        <v>70.958999999999989</v>
      </c>
      <c r="I1654" s="170">
        <v>0.7</v>
      </c>
      <c r="AB1654" s="77"/>
      <c r="AF1654" s="142"/>
      <c r="AG1654" s="143"/>
    </row>
    <row r="1655" spans="1:33" ht="20.100000000000001" hidden="1" customHeight="1">
      <c r="A1655" s="16" t="s">
        <v>26</v>
      </c>
      <c r="B1655" s="16">
        <v>2000</v>
      </c>
      <c r="C1655" s="14" t="s">
        <v>49</v>
      </c>
      <c r="D1655" s="9" t="s">
        <v>1044</v>
      </c>
      <c r="E1655" s="17" t="s">
        <v>1044</v>
      </c>
      <c r="F1655" s="17"/>
      <c r="G1655" s="230"/>
      <c r="H1655" s="227">
        <f>10137*I1655%</f>
        <v>70.958999999999989</v>
      </c>
      <c r="I1655" s="170">
        <v>0.7</v>
      </c>
      <c r="AB1655" s="77"/>
      <c r="AF1655" s="142"/>
      <c r="AG1655" s="143"/>
    </row>
    <row r="1656" spans="1:33" ht="20.100000000000001" hidden="1" customHeight="1">
      <c r="A1656" s="16" t="s">
        <v>26</v>
      </c>
      <c r="B1656" s="16">
        <v>2000</v>
      </c>
      <c r="C1656" s="14" t="s">
        <v>49</v>
      </c>
      <c r="D1656" s="9" t="s">
        <v>1045</v>
      </c>
      <c r="E1656" s="17" t="s">
        <v>1045</v>
      </c>
      <c r="F1656" s="17"/>
      <c r="G1656" s="234"/>
      <c r="H1656" s="169"/>
      <c r="I1656" s="169"/>
      <c r="J1656" s="169"/>
      <c r="AB1656" s="77"/>
      <c r="AF1656" s="142"/>
      <c r="AG1656" s="143"/>
    </row>
    <row r="1657" spans="1:33" ht="20.100000000000001" hidden="1" customHeight="1">
      <c r="A1657" s="16" t="s">
        <v>26</v>
      </c>
      <c r="B1657" s="16">
        <v>2000</v>
      </c>
      <c r="C1657" s="14" t="s">
        <v>49</v>
      </c>
      <c r="D1657" s="9" t="s">
        <v>1046</v>
      </c>
      <c r="E1657" s="17" t="s">
        <v>1046</v>
      </c>
      <c r="F1657" s="17"/>
      <c r="G1657" s="234"/>
      <c r="H1657" s="169"/>
      <c r="I1657" s="169"/>
      <c r="J1657" s="169"/>
      <c r="AB1657" s="77"/>
      <c r="AF1657" s="142"/>
      <c r="AG1657" s="143"/>
    </row>
    <row r="1658" spans="1:33" ht="20.100000000000001" hidden="1" customHeight="1">
      <c r="A1658" s="16" t="s">
        <v>26</v>
      </c>
      <c r="B1658" s="16">
        <v>2000</v>
      </c>
      <c r="C1658" s="14" t="s">
        <v>49</v>
      </c>
      <c r="D1658" s="9" t="s">
        <v>1047</v>
      </c>
      <c r="E1658" s="17" t="s">
        <v>1047</v>
      </c>
      <c r="F1658" s="17"/>
      <c r="G1658" s="234"/>
      <c r="H1658" s="169"/>
      <c r="I1658" s="169"/>
      <c r="J1658" s="169"/>
      <c r="AB1658" s="77"/>
      <c r="AF1658" s="142"/>
      <c r="AG1658" s="143"/>
    </row>
    <row r="1659" spans="1:33" ht="20.100000000000001" hidden="1" customHeight="1">
      <c r="A1659" s="16" t="s">
        <v>26</v>
      </c>
      <c r="B1659" s="16">
        <v>2000</v>
      </c>
      <c r="C1659" s="14" t="s">
        <v>49</v>
      </c>
      <c r="D1659" s="9" t="s">
        <v>1048</v>
      </c>
      <c r="E1659" s="17" t="s">
        <v>1048</v>
      </c>
      <c r="F1659" s="17"/>
      <c r="G1659" s="234"/>
      <c r="H1659" s="169"/>
      <c r="I1659" s="169"/>
      <c r="J1659" s="169"/>
      <c r="AB1659" s="77"/>
      <c r="AF1659" s="142"/>
      <c r="AG1659" s="143"/>
    </row>
    <row r="1660" spans="1:33" ht="20.100000000000001" hidden="1" customHeight="1">
      <c r="A1660" s="16" t="s">
        <v>26</v>
      </c>
      <c r="B1660" s="16">
        <v>2000</v>
      </c>
      <c r="C1660" s="14" t="s">
        <v>49</v>
      </c>
      <c r="D1660" s="9" t="s">
        <v>1050</v>
      </c>
      <c r="E1660" s="17" t="s">
        <v>1050</v>
      </c>
      <c r="F1660" s="17"/>
      <c r="G1660" s="234"/>
      <c r="H1660" s="169"/>
      <c r="I1660" s="169"/>
      <c r="J1660" s="169"/>
      <c r="AB1660" s="77"/>
      <c r="AF1660" s="142"/>
      <c r="AG1660" s="143"/>
    </row>
    <row r="1661" spans="1:33" ht="20.100000000000001" hidden="1" customHeight="1">
      <c r="A1661" s="16" t="s">
        <v>26</v>
      </c>
      <c r="B1661" s="16">
        <v>2000</v>
      </c>
      <c r="C1661" s="14" t="s">
        <v>49</v>
      </c>
      <c r="D1661" s="9" t="s">
        <v>1051</v>
      </c>
      <c r="E1661" s="17" t="s">
        <v>1051</v>
      </c>
      <c r="F1661" s="17"/>
      <c r="G1661" s="234"/>
      <c r="H1661" s="169"/>
      <c r="I1661" s="169"/>
      <c r="J1661" s="169"/>
      <c r="AB1661" s="77"/>
      <c r="AF1661" s="142"/>
      <c r="AG1661" s="143"/>
    </row>
    <row r="1662" spans="1:33" ht="20.100000000000001" hidden="1" customHeight="1">
      <c r="A1662" s="16" t="s">
        <v>26</v>
      </c>
      <c r="B1662" s="16">
        <v>2000</v>
      </c>
      <c r="C1662" s="14" t="s">
        <v>49</v>
      </c>
      <c r="D1662" s="27" t="s">
        <v>202</v>
      </c>
      <c r="E1662" s="17" t="s">
        <v>192</v>
      </c>
      <c r="F1662" s="17"/>
      <c r="G1662" s="230"/>
      <c r="H1662" s="227">
        <f>10137*I1662%</f>
        <v>740.00099999999998</v>
      </c>
      <c r="I1662" s="170">
        <v>7.3</v>
      </c>
      <c r="AB1662" s="77"/>
      <c r="AF1662" s="142"/>
      <c r="AG1662" s="143"/>
    </row>
    <row r="1663" spans="1:33" ht="20.100000000000001" hidden="1" customHeight="1">
      <c r="A1663" s="16" t="s">
        <v>26</v>
      </c>
      <c r="B1663" s="16">
        <v>2004</v>
      </c>
      <c r="C1663" s="14" t="s">
        <v>49</v>
      </c>
      <c r="D1663" s="9" t="s">
        <v>1007</v>
      </c>
      <c r="E1663" s="17" t="s">
        <v>1007</v>
      </c>
      <c r="F1663" s="17"/>
      <c r="G1663" s="234"/>
      <c r="H1663" s="226">
        <f t="shared" ref="H1663:H1670" si="91">14048*I1663%</f>
        <v>6223.2639999999992</v>
      </c>
      <c r="I1663" s="170">
        <v>44.3</v>
      </c>
      <c r="AB1663" s="77"/>
      <c r="AF1663" s="142"/>
      <c r="AG1663" s="143"/>
    </row>
    <row r="1664" spans="1:33" ht="20.100000000000001" hidden="1" customHeight="1">
      <c r="A1664" s="16" t="s">
        <v>26</v>
      </c>
      <c r="B1664" s="16">
        <v>2004</v>
      </c>
      <c r="C1664" s="14" t="s">
        <v>49</v>
      </c>
      <c r="D1664" s="9" t="s">
        <v>357</v>
      </c>
      <c r="E1664" s="17" t="s">
        <v>357</v>
      </c>
      <c r="F1664" s="17"/>
      <c r="G1664" s="234"/>
      <c r="H1664" s="226">
        <f t="shared" si="91"/>
        <v>1952.6720000000003</v>
      </c>
      <c r="I1664" s="170">
        <v>13.9</v>
      </c>
      <c r="AB1664" s="77"/>
      <c r="AF1664" s="142"/>
      <c r="AG1664" s="143"/>
    </row>
    <row r="1665" spans="1:33" ht="20.100000000000001" hidden="1" customHeight="1">
      <c r="A1665" s="16" t="s">
        <v>26</v>
      </c>
      <c r="B1665" s="16">
        <v>2004</v>
      </c>
      <c r="C1665" s="14" t="s">
        <v>49</v>
      </c>
      <c r="D1665" s="9" t="s">
        <v>353</v>
      </c>
      <c r="E1665" s="17" t="s">
        <v>353</v>
      </c>
      <c r="F1665" s="17"/>
      <c r="G1665" s="234"/>
      <c r="H1665" s="226">
        <f t="shared" si="91"/>
        <v>1910.5280000000002</v>
      </c>
      <c r="I1665" s="170">
        <v>13.6</v>
      </c>
      <c r="AB1665" s="77"/>
      <c r="AF1665" s="142"/>
      <c r="AG1665" s="143"/>
    </row>
    <row r="1666" spans="1:33" ht="20.100000000000001" hidden="1" customHeight="1">
      <c r="A1666" s="16" t="s">
        <v>26</v>
      </c>
      <c r="B1666" s="16">
        <v>2004</v>
      </c>
      <c r="C1666" s="14" t="s">
        <v>49</v>
      </c>
      <c r="D1666" s="27" t="s">
        <v>202</v>
      </c>
      <c r="E1666" s="17" t="s">
        <v>1008</v>
      </c>
      <c r="F1666" s="17"/>
      <c r="G1666" s="234"/>
      <c r="H1666" s="226">
        <f t="shared" si="91"/>
        <v>2360.0640000000003</v>
      </c>
      <c r="I1666" s="170">
        <v>16.8</v>
      </c>
      <c r="AB1666" s="77"/>
      <c r="AF1666" s="142"/>
      <c r="AG1666" s="143"/>
    </row>
    <row r="1667" spans="1:33" ht="20.100000000000001" hidden="1" customHeight="1">
      <c r="A1667" s="16" t="s">
        <v>26</v>
      </c>
      <c r="B1667" s="16">
        <v>2004</v>
      </c>
      <c r="C1667" s="14" t="s">
        <v>49</v>
      </c>
      <c r="D1667" s="9" t="s">
        <v>1009</v>
      </c>
      <c r="E1667" s="17" t="s">
        <v>1009</v>
      </c>
      <c r="F1667" s="17"/>
      <c r="G1667" s="234"/>
      <c r="H1667" s="226">
        <f t="shared" si="91"/>
        <v>3076.5119999999997</v>
      </c>
      <c r="I1667" s="170">
        <v>21.9</v>
      </c>
      <c r="AB1667" s="77"/>
      <c r="AF1667" s="142"/>
      <c r="AG1667" s="143"/>
    </row>
    <row r="1668" spans="1:33" ht="20.100000000000001" hidden="1" customHeight="1">
      <c r="A1668" s="16" t="s">
        <v>26</v>
      </c>
      <c r="B1668" s="16">
        <v>2004</v>
      </c>
      <c r="C1668" s="14" t="s">
        <v>49</v>
      </c>
      <c r="D1668" s="9" t="s">
        <v>1010</v>
      </c>
      <c r="E1668" s="17" t="s">
        <v>1010</v>
      </c>
      <c r="F1668" s="17"/>
      <c r="G1668" s="234"/>
      <c r="H1668" s="226">
        <f t="shared" si="91"/>
        <v>1446.9440000000002</v>
      </c>
      <c r="I1668" s="170">
        <v>10.3</v>
      </c>
      <c r="AB1668" s="77"/>
      <c r="AF1668" s="142"/>
      <c r="AG1668" s="143"/>
    </row>
    <row r="1669" spans="1:33" ht="20.100000000000001" hidden="1" customHeight="1">
      <c r="A1669" s="16" t="s">
        <v>26</v>
      </c>
      <c r="B1669" s="16">
        <v>2004</v>
      </c>
      <c r="C1669" s="14" t="s">
        <v>49</v>
      </c>
      <c r="D1669" s="9" t="s">
        <v>1011</v>
      </c>
      <c r="E1669" s="17" t="s">
        <v>1011</v>
      </c>
      <c r="F1669" s="17"/>
      <c r="G1669" s="230"/>
      <c r="H1669" s="227">
        <f t="shared" si="91"/>
        <v>983.36000000000013</v>
      </c>
      <c r="I1669" s="170">
        <v>7</v>
      </c>
      <c r="AB1669" s="77"/>
      <c r="AF1669" s="142"/>
      <c r="AG1669" s="143"/>
    </row>
    <row r="1670" spans="1:33" ht="20.100000000000001" hidden="1" customHeight="1">
      <c r="A1670" s="16" t="s">
        <v>26</v>
      </c>
      <c r="B1670" s="16">
        <v>2004</v>
      </c>
      <c r="C1670" s="14" t="s">
        <v>49</v>
      </c>
      <c r="D1670" s="9" t="s">
        <v>1012</v>
      </c>
      <c r="E1670" s="17" t="s">
        <v>1012</v>
      </c>
      <c r="F1670" s="17"/>
      <c r="G1670" s="230"/>
      <c r="H1670" s="227">
        <f t="shared" si="91"/>
        <v>561.91999999999996</v>
      </c>
      <c r="I1670" s="170">
        <v>4</v>
      </c>
      <c r="AB1670" s="77"/>
      <c r="AF1670" s="142"/>
      <c r="AG1670" s="143"/>
    </row>
    <row r="1671" spans="1:33" ht="20.100000000000001" hidden="1" customHeight="1">
      <c r="A1671" s="16" t="s">
        <v>26</v>
      </c>
      <c r="B1671" s="16">
        <v>2004</v>
      </c>
      <c r="C1671" s="14" t="s">
        <v>49</v>
      </c>
      <c r="D1671" s="9" t="s">
        <v>1013</v>
      </c>
      <c r="E1671" s="17" t="s">
        <v>1013</v>
      </c>
      <c r="F1671" s="17"/>
      <c r="G1671" s="234"/>
      <c r="H1671" s="169"/>
      <c r="I1671" s="169"/>
      <c r="J1671" s="169"/>
      <c r="AB1671" s="77"/>
      <c r="AF1671" s="142"/>
      <c r="AG1671" s="143"/>
    </row>
    <row r="1672" spans="1:33" ht="20.100000000000001" hidden="1" customHeight="1">
      <c r="A1672" s="16" t="s">
        <v>26</v>
      </c>
      <c r="B1672" s="16">
        <v>2004</v>
      </c>
      <c r="C1672" s="14" t="s">
        <v>49</v>
      </c>
      <c r="D1672" s="9" t="s">
        <v>1014</v>
      </c>
      <c r="E1672" s="17" t="s">
        <v>1014</v>
      </c>
      <c r="F1672" s="17"/>
      <c r="G1672" s="230"/>
      <c r="H1672" s="227">
        <f>14048*I1672%</f>
        <v>56.192</v>
      </c>
      <c r="I1672" s="170">
        <v>0.4</v>
      </c>
      <c r="AB1672" s="77"/>
      <c r="AF1672" s="142"/>
      <c r="AG1672" s="143"/>
    </row>
    <row r="1673" spans="1:33" ht="20.100000000000001" hidden="1" customHeight="1">
      <c r="A1673" s="16" t="s">
        <v>26</v>
      </c>
      <c r="B1673" s="16">
        <v>2004</v>
      </c>
      <c r="C1673" s="14" t="s">
        <v>49</v>
      </c>
      <c r="D1673" s="9" t="s">
        <v>1016</v>
      </c>
      <c r="E1673" s="17" t="s">
        <v>1016</v>
      </c>
      <c r="F1673" s="17"/>
      <c r="G1673" s="234"/>
      <c r="H1673" s="169"/>
      <c r="I1673" s="169"/>
      <c r="J1673" s="169"/>
      <c r="AB1673" s="77"/>
      <c r="AF1673" s="142"/>
      <c r="AG1673" s="143"/>
    </row>
    <row r="1674" spans="1:33" ht="20.100000000000001" hidden="1" customHeight="1">
      <c r="A1674" s="16" t="s">
        <v>26</v>
      </c>
      <c r="B1674" s="16">
        <v>2004</v>
      </c>
      <c r="C1674" s="14" t="s">
        <v>49</v>
      </c>
      <c r="D1674" s="9" t="s">
        <v>1018</v>
      </c>
      <c r="E1674" s="17" t="s">
        <v>1018</v>
      </c>
      <c r="F1674" s="17"/>
      <c r="G1674" s="230"/>
      <c r="H1674" s="227">
        <f t="shared" ref="H1674:H1684" si="92">14048*I1674%</f>
        <v>28.096</v>
      </c>
      <c r="I1674" s="170">
        <v>0.2</v>
      </c>
      <c r="AB1674" s="77"/>
      <c r="AF1674" s="142"/>
      <c r="AG1674" s="143"/>
    </row>
    <row r="1675" spans="1:33" ht="20.100000000000001" hidden="1" customHeight="1">
      <c r="A1675" s="16" t="s">
        <v>26</v>
      </c>
      <c r="B1675" s="16">
        <v>2004</v>
      </c>
      <c r="C1675" s="14" t="s">
        <v>49</v>
      </c>
      <c r="D1675" s="9" t="s">
        <v>1019</v>
      </c>
      <c r="E1675" s="17" t="s">
        <v>1019</v>
      </c>
      <c r="F1675" s="17"/>
      <c r="G1675" s="234"/>
      <c r="H1675" s="226">
        <f t="shared" si="92"/>
        <v>3596.288</v>
      </c>
      <c r="I1675" s="170">
        <v>25.6</v>
      </c>
      <c r="AB1675" s="77"/>
      <c r="AF1675" s="142"/>
      <c r="AG1675" s="143"/>
    </row>
    <row r="1676" spans="1:33" ht="20.100000000000001" hidden="1" customHeight="1">
      <c r="A1676" s="16" t="s">
        <v>26</v>
      </c>
      <c r="B1676" s="16">
        <v>2004</v>
      </c>
      <c r="C1676" s="14" t="s">
        <v>49</v>
      </c>
      <c r="D1676" s="9" t="s">
        <v>1020</v>
      </c>
      <c r="E1676" s="17" t="s">
        <v>1020</v>
      </c>
      <c r="F1676" s="17"/>
      <c r="G1676" s="234"/>
      <c r="H1676" s="226">
        <f t="shared" si="92"/>
        <v>1938.6240000000003</v>
      </c>
      <c r="I1676" s="170">
        <v>13.8</v>
      </c>
      <c r="AB1676" s="77"/>
      <c r="AF1676" s="142"/>
      <c r="AG1676" s="143"/>
    </row>
    <row r="1677" spans="1:33" ht="20.100000000000001" hidden="1" customHeight="1">
      <c r="A1677" s="16" t="s">
        <v>26</v>
      </c>
      <c r="B1677" s="16">
        <v>2004</v>
      </c>
      <c r="C1677" s="14" t="s">
        <v>49</v>
      </c>
      <c r="D1677" s="9" t="s">
        <v>1021</v>
      </c>
      <c r="E1677" s="17" t="s">
        <v>1021</v>
      </c>
      <c r="F1677" s="17"/>
      <c r="G1677" s="234"/>
      <c r="H1677" s="226">
        <f t="shared" si="92"/>
        <v>1587.424</v>
      </c>
      <c r="I1677" s="170">
        <v>11.3</v>
      </c>
      <c r="AB1677" s="77"/>
      <c r="AF1677" s="142"/>
      <c r="AG1677" s="143"/>
    </row>
    <row r="1678" spans="1:33" ht="20.100000000000001" hidden="1" customHeight="1">
      <c r="A1678" s="16" t="s">
        <v>26</v>
      </c>
      <c r="B1678" s="16">
        <v>2004</v>
      </c>
      <c r="C1678" s="14" t="s">
        <v>49</v>
      </c>
      <c r="D1678" s="9" t="s">
        <v>1022</v>
      </c>
      <c r="E1678" s="17" t="s">
        <v>1022</v>
      </c>
      <c r="F1678" s="17"/>
      <c r="G1678" s="230"/>
      <c r="H1678" s="227">
        <f t="shared" si="92"/>
        <v>70.239999999999995</v>
      </c>
      <c r="I1678" s="170">
        <v>0.5</v>
      </c>
      <c r="AB1678" s="77"/>
      <c r="AF1678" s="142"/>
      <c r="AG1678" s="143"/>
    </row>
    <row r="1679" spans="1:33" ht="20.100000000000001" hidden="1" customHeight="1">
      <c r="A1679" s="16" t="s">
        <v>26</v>
      </c>
      <c r="B1679" s="16">
        <v>2004</v>
      </c>
      <c r="C1679" s="14" t="s">
        <v>49</v>
      </c>
      <c r="D1679" s="9" t="s">
        <v>1024</v>
      </c>
      <c r="E1679" s="17" t="s">
        <v>1024</v>
      </c>
      <c r="F1679" s="17"/>
      <c r="G1679" s="230"/>
      <c r="H1679" s="227">
        <f t="shared" si="92"/>
        <v>126.43200000000002</v>
      </c>
      <c r="I1679" s="170">
        <v>0.9</v>
      </c>
      <c r="AB1679" s="77"/>
      <c r="AF1679" s="142"/>
      <c r="AG1679" s="143"/>
    </row>
    <row r="1680" spans="1:33" ht="20.100000000000001" hidden="1" customHeight="1">
      <c r="A1680" s="16" t="s">
        <v>26</v>
      </c>
      <c r="B1680" s="16">
        <v>2004</v>
      </c>
      <c r="C1680" s="14" t="s">
        <v>49</v>
      </c>
      <c r="D1680" s="9" t="s">
        <v>1025</v>
      </c>
      <c r="E1680" s="17" t="s">
        <v>1025</v>
      </c>
      <c r="F1680" s="17"/>
      <c r="G1680" s="230"/>
      <c r="H1680" s="227">
        <f t="shared" si="92"/>
        <v>126.43200000000002</v>
      </c>
      <c r="I1680" s="170">
        <v>0.9</v>
      </c>
      <c r="AB1680" s="77"/>
      <c r="AF1680" s="142"/>
      <c r="AG1680" s="143"/>
    </row>
    <row r="1681" spans="1:33" ht="20.100000000000001" hidden="1" customHeight="1">
      <c r="A1681" s="16" t="s">
        <v>26</v>
      </c>
      <c r="B1681" s="16">
        <v>2004</v>
      </c>
      <c r="C1681" s="14" t="s">
        <v>49</v>
      </c>
      <c r="D1681" s="9" t="s">
        <v>1026</v>
      </c>
      <c r="E1681" s="17" t="s">
        <v>1027</v>
      </c>
      <c r="F1681" s="17"/>
      <c r="G1681" s="230"/>
      <c r="H1681" s="227">
        <f t="shared" si="92"/>
        <v>196.67199999999997</v>
      </c>
      <c r="I1681" s="170">
        <v>1.4</v>
      </c>
      <c r="AB1681" s="77"/>
      <c r="AF1681" s="142"/>
      <c r="AG1681" s="143"/>
    </row>
    <row r="1682" spans="1:33" ht="20.100000000000001" hidden="1" customHeight="1">
      <c r="A1682" s="16" t="s">
        <v>26</v>
      </c>
      <c r="B1682" s="16">
        <v>2004</v>
      </c>
      <c r="C1682" s="14" t="s">
        <v>49</v>
      </c>
      <c r="D1682" s="9" t="s">
        <v>1029</v>
      </c>
      <c r="E1682" s="17" t="s">
        <v>1029</v>
      </c>
      <c r="F1682" s="17"/>
      <c r="G1682" s="230"/>
      <c r="H1682" s="227">
        <f t="shared" si="92"/>
        <v>196.67199999999997</v>
      </c>
      <c r="I1682" s="170">
        <v>1.4</v>
      </c>
      <c r="AB1682" s="77"/>
      <c r="AF1682" s="142"/>
      <c r="AG1682" s="143"/>
    </row>
    <row r="1683" spans="1:33" ht="20.100000000000001" hidden="1" customHeight="1">
      <c r="A1683" s="16" t="s">
        <v>26</v>
      </c>
      <c r="B1683" s="16">
        <v>2004</v>
      </c>
      <c r="C1683" s="14" t="s">
        <v>49</v>
      </c>
      <c r="D1683" s="9" t="s">
        <v>1030</v>
      </c>
      <c r="E1683" s="17" t="s">
        <v>1030</v>
      </c>
      <c r="F1683" s="17"/>
      <c r="G1683" s="230"/>
      <c r="H1683" s="227">
        <f t="shared" si="92"/>
        <v>154.52800000000002</v>
      </c>
      <c r="I1683" s="170">
        <v>1.1000000000000001</v>
      </c>
      <c r="AB1683" s="77"/>
      <c r="AF1683" s="142"/>
      <c r="AG1683" s="143"/>
    </row>
    <row r="1684" spans="1:33" ht="20.100000000000001" hidden="1" customHeight="1">
      <c r="A1684" s="16" t="s">
        <v>26</v>
      </c>
      <c r="B1684" s="16">
        <v>2004</v>
      </c>
      <c r="C1684" s="14" t="s">
        <v>49</v>
      </c>
      <c r="D1684" s="9" t="s">
        <v>1032</v>
      </c>
      <c r="E1684" s="17" t="s">
        <v>1032</v>
      </c>
      <c r="F1684" s="17"/>
      <c r="G1684" s="230"/>
      <c r="H1684" s="227">
        <f t="shared" si="92"/>
        <v>154.52800000000002</v>
      </c>
      <c r="I1684" s="170">
        <v>1.1000000000000001</v>
      </c>
      <c r="AB1684" s="77"/>
      <c r="AF1684" s="142"/>
      <c r="AG1684" s="143"/>
    </row>
    <row r="1685" spans="1:33" ht="20.100000000000001" hidden="1" customHeight="1">
      <c r="A1685" s="16" t="s">
        <v>26</v>
      </c>
      <c r="B1685" s="16">
        <v>2004</v>
      </c>
      <c r="C1685" s="14" t="s">
        <v>49</v>
      </c>
      <c r="D1685" s="9" t="s">
        <v>1033</v>
      </c>
      <c r="E1685" s="17" t="s">
        <v>1034</v>
      </c>
      <c r="F1685" s="17"/>
      <c r="G1685" s="234"/>
      <c r="H1685" s="169"/>
      <c r="I1685" s="169"/>
      <c r="J1685" s="169"/>
      <c r="AB1685" s="77"/>
      <c r="AF1685" s="142"/>
      <c r="AG1685" s="143"/>
    </row>
    <row r="1686" spans="1:33" ht="20.100000000000001" hidden="1" customHeight="1">
      <c r="A1686" s="16" t="s">
        <v>26</v>
      </c>
      <c r="B1686" s="16">
        <v>2004</v>
      </c>
      <c r="C1686" s="14" t="s">
        <v>49</v>
      </c>
      <c r="D1686" s="9" t="s">
        <v>1036</v>
      </c>
      <c r="E1686" s="17" t="s">
        <v>1036</v>
      </c>
      <c r="F1686" s="17"/>
      <c r="G1686" s="234"/>
      <c r="H1686" s="169"/>
      <c r="I1686" s="169"/>
      <c r="J1686" s="169"/>
      <c r="AB1686" s="77"/>
      <c r="AF1686" s="142"/>
      <c r="AG1686" s="143"/>
    </row>
    <row r="1687" spans="1:33" ht="20.100000000000001" hidden="1" customHeight="1">
      <c r="A1687" s="16" t="s">
        <v>26</v>
      </c>
      <c r="B1687" s="16">
        <v>2004</v>
      </c>
      <c r="C1687" s="14" t="s">
        <v>49</v>
      </c>
      <c r="D1687" s="9" t="s">
        <v>1037</v>
      </c>
      <c r="E1687" s="17" t="s">
        <v>1037</v>
      </c>
      <c r="F1687" s="17"/>
      <c r="G1687" s="230"/>
      <c r="H1687" s="227">
        <f>14048*I1687%</f>
        <v>337.15199999999999</v>
      </c>
      <c r="I1687" s="170">
        <v>2.4</v>
      </c>
      <c r="AB1687" s="77"/>
      <c r="AF1687" s="142"/>
      <c r="AG1687" s="143"/>
    </row>
    <row r="1688" spans="1:33" ht="20.100000000000001" hidden="1" customHeight="1">
      <c r="A1688" s="16" t="s">
        <v>26</v>
      </c>
      <c r="B1688" s="16">
        <v>2004</v>
      </c>
      <c r="C1688" s="14" t="s">
        <v>49</v>
      </c>
      <c r="D1688" s="9" t="s">
        <v>1039</v>
      </c>
      <c r="E1688" s="17" t="s">
        <v>1039</v>
      </c>
      <c r="F1688" s="17"/>
      <c r="G1688" s="230"/>
      <c r="H1688" s="227">
        <f>14048*I1688%</f>
        <v>337.15199999999999</v>
      </c>
      <c r="I1688" s="170">
        <v>2.4</v>
      </c>
      <c r="AB1688" s="77"/>
      <c r="AF1688" s="142"/>
      <c r="AG1688" s="143"/>
    </row>
    <row r="1689" spans="1:33" ht="20.100000000000001" hidden="1" customHeight="1">
      <c r="A1689" s="16" t="s">
        <v>26</v>
      </c>
      <c r="B1689" s="16">
        <v>2004</v>
      </c>
      <c r="C1689" s="14" t="s">
        <v>49</v>
      </c>
      <c r="D1689" s="9" t="s">
        <v>1040</v>
      </c>
      <c r="E1689" s="17" t="s">
        <v>1040</v>
      </c>
      <c r="F1689" s="17"/>
      <c r="G1689" s="234"/>
      <c r="H1689" s="169"/>
      <c r="I1689" s="169"/>
      <c r="J1689" s="169"/>
      <c r="AB1689" s="77"/>
      <c r="AF1689" s="142"/>
      <c r="AG1689" s="143"/>
    </row>
    <row r="1690" spans="1:33" ht="20.100000000000001" hidden="1" customHeight="1">
      <c r="A1690" s="16" t="s">
        <v>26</v>
      </c>
      <c r="B1690" s="16">
        <v>2004</v>
      </c>
      <c r="C1690" s="14" t="s">
        <v>49</v>
      </c>
      <c r="D1690" s="9" t="s">
        <v>1042</v>
      </c>
      <c r="E1690" s="17" t="s">
        <v>1042</v>
      </c>
      <c r="F1690" s="17"/>
      <c r="G1690" s="234"/>
      <c r="H1690" s="169"/>
      <c r="I1690" s="169"/>
      <c r="J1690" s="169"/>
      <c r="AB1690" s="77"/>
      <c r="AF1690" s="142"/>
      <c r="AG1690" s="143"/>
    </row>
    <row r="1691" spans="1:33" ht="20.100000000000001" hidden="1" customHeight="1">
      <c r="A1691" s="16" t="s">
        <v>26</v>
      </c>
      <c r="B1691" s="16">
        <v>2004</v>
      </c>
      <c r="C1691" s="14" t="s">
        <v>49</v>
      </c>
      <c r="D1691" s="9" t="s">
        <v>1043</v>
      </c>
      <c r="E1691" s="9" t="s">
        <v>1043</v>
      </c>
      <c r="F1691" s="17"/>
      <c r="G1691" s="234"/>
      <c r="H1691" s="169"/>
      <c r="I1691" s="169"/>
      <c r="J1691" s="169"/>
      <c r="AB1691" s="77"/>
      <c r="AF1691" s="142"/>
      <c r="AG1691" s="143"/>
    </row>
    <row r="1692" spans="1:33" ht="20.100000000000001" hidden="1" customHeight="1">
      <c r="A1692" s="16" t="s">
        <v>26</v>
      </c>
      <c r="B1692" s="16">
        <v>2004</v>
      </c>
      <c r="C1692" s="14" t="s">
        <v>49</v>
      </c>
      <c r="D1692" s="9" t="s">
        <v>1044</v>
      </c>
      <c r="E1692" s="17" t="s">
        <v>1044</v>
      </c>
      <c r="F1692" s="17"/>
      <c r="G1692" s="234"/>
      <c r="H1692" s="169"/>
      <c r="I1692" s="169"/>
      <c r="J1692" s="169"/>
      <c r="AB1692" s="77"/>
      <c r="AF1692" s="142"/>
      <c r="AG1692" s="143"/>
    </row>
    <row r="1693" spans="1:33" ht="20.100000000000001" hidden="1" customHeight="1">
      <c r="A1693" s="16" t="s">
        <v>26</v>
      </c>
      <c r="B1693" s="16">
        <v>2004</v>
      </c>
      <c r="C1693" s="14" t="s">
        <v>49</v>
      </c>
      <c r="D1693" s="9" t="s">
        <v>1045</v>
      </c>
      <c r="E1693" s="17" t="s">
        <v>1045</v>
      </c>
      <c r="F1693" s="17"/>
      <c r="G1693" s="230"/>
      <c r="H1693" s="227">
        <f>14048*I1693%</f>
        <v>42.143999999999998</v>
      </c>
      <c r="I1693" s="170">
        <v>0.3</v>
      </c>
      <c r="AB1693" s="77"/>
      <c r="AF1693" s="142"/>
      <c r="AG1693" s="143"/>
    </row>
    <row r="1694" spans="1:33" ht="20.100000000000001" hidden="1" customHeight="1">
      <c r="A1694" s="16" t="s">
        <v>26</v>
      </c>
      <c r="B1694" s="16">
        <v>2004</v>
      </c>
      <c r="C1694" s="14" t="s">
        <v>49</v>
      </c>
      <c r="D1694" s="9" t="s">
        <v>1046</v>
      </c>
      <c r="E1694" s="17" t="s">
        <v>1046</v>
      </c>
      <c r="F1694" s="17"/>
      <c r="G1694" s="230"/>
      <c r="H1694" s="227">
        <f>14048*I1694%</f>
        <v>42.143999999999998</v>
      </c>
      <c r="I1694" s="170">
        <v>0.3</v>
      </c>
      <c r="AB1694" s="77"/>
      <c r="AF1694" s="142"/>
      <c r="AG1694" s="143"/>
    </row>
    <row r="1695" spans="1:33" ht="20.100000000000001" hidden="1" customHeight="1">
      <c r="A1695" s="16" t="s">
        <v>26</v>
      </c>
      <c r="B1695" s="16">
        <v>2004</v>
      </c>
      <c r="C1695" s="14" t="s">
        <v>49</v>
      </c>
      <c r="D1695" s="9" t="s">
        <v>1047</v>
      </c>
      <c r="E1695" s="17" t="s">
        <v>1047</v>
      </c>
      <c r="F1695" s="17"/>
      <c r="G1695" s="230"/>
      <c r="H1695" s="227">
        <f>14048*I1695%</f>
        <v>14.048</v>
      </c>
      <c r="I1695" s="170">
        <v>0.1</v>
      </c>
      <c r="AB1695" s="77"/>
      <c r="AF1695" s="142"/>
      <c r="AG1695" s="143"/>
    </row>
    <row r="1696" spans="1:33" ht="20.100000000000001" hidden="1" customHeight="1">
      <c r="A1696" s="16" t="s">
        <v>26</v>
      </c>
      <c r="B1696" s="16">
        <v>2004</v>
      </c>
      <c r="C1696" s="14" t="s">
        <v>49</v>
      </c>
      <c r="D1696" s="9" t="s">
        <v>1048</v>
      </c>
      <c r="E1696" s="17" t="s">
        <v>1048</v>
      </c>
      <c r="F1696" s="17"/>
      <c r="G1696" s="230"/>
      <c r="H1696" s="227">
        <f>14048*I1696%</f>
        <v>14.048</v>
      </c>
      <c r="I1696" s="170">
        <v>0.1</v>
      </c>
      <c r="AB1696" s="77"/>
      <c r="AF1696" s="142"/>
      <c r="AG1696" s="143"/>
    </row>
    <row r="1697" spans="1:33" ht="20.100000000000001" hidden="1" customHeight="1">
      <c r="A1697" s="16" t="s">
        <v>26</v>
      </c>
      <c r="B1697" s="16">
        <v>2004</v>
      </c>
      <c r="C1697" s="14" t="s">
        <v>49</v>
      </c>
      <c r="D1697" s="9" t="s">
        <v>1050</v>
      </c>
      <c r="E1697" s="17" t="s">
        <v>1050</v>
      </c>
      <c r="F1697" s="17"/>
      <c r="G1697" s="234"/>
      <c r="H1697" s="169"/>
      <c r="I1697" s="169"/>
      <c r="J1697" s="169"/>
      <c r="AB1697" s="77"/>
      <c r="AF1697" s="142"/>
      <c r="AG1697" s="143"/>
    </row>
    <row r="1698" spans="1:33" ht="20.100000000000001" hidden="1" customHeight="1">
      <c r="A1698" s="16" t="s">
        <v>26</v>
      </c>
      <c r="B1698" s="16">
        <v>2004</v>
      </c>
      <c r="C1698" s="14" t="s">
        <v>49</v>
      </c>
      <c r="D1698" s="9" t="s">
        <v>1051</v>
      </c>
      <c r="E1698" s="17" t="s">
        <v>1051</v>
      </c>
      <c r="F1698" s="17"/>
      <c r="G1698" s="234"/>
      <c r="H1698" s="169"/>
      <c r="I1698" s="169"/>
      <c r="J1698" s="169"/>
      <c r="AB1698" s="77"/>
      <c r="AF1698" s="142"/>
      <c r="AG1698" s="143"/>
    </row>
    <row r="1699" spans="1:33" ht="20.100000000000001" hidden="1" customHeight="1">
      <c r="A1699" s="16" t="s">
        <v>26</v>
      </c>
      <c r="B1699" s="16">
        <v>2004</v>
      </c>
      <c r="C1699" s="14" t="s">
        <v>49</v>
      </c>
      <c r="D1699" s="27" t="s">
        <v>202</v>
      </c>
      <c r="E1699" s="17" t="s">
        <v>192</v>
      </c>
      <c r="F1699" s="17"/>
      <c r="G1699" s="230"/>
      <c r="H1699" s="227">
        <f>14048*I1699%</f>
        <v>280.95999999999998</v>
      </c>
      <c r="I1699" s="170">
        <v>2</v>
      </c>
      <c r="AB1699" s="77"/>
      <c r="AF1699" s="142"/>
      <c r="AG1699" s="143"/>
    </row>
    <row r="1700" spans="1:33" ht="20.100000000000001" hidden="1" customHeight="1">
      <c r="A1700" s="16" t="s">
        <v>26</v>
      </c>
      <c r="B1700" s="16">
        <v>2007</v>
      </c>
      <c r="C1700" s="14" t="s">
        <v>49</v>
      </c>
      <c r="D1700" s="9" t="s">
        <v>1007</v>
      </c>
      <c r="E1700" s="17" t="s">
        <v>1007</v>
      </c>
      <c r="F1700" s="17"/>
      <c r="G1700" s="234"/>
      <c r="H1700" s="226">
        <f t="shared" ref="H1700:H1707" si="93">16027*I1700%</f>
        <v>6987.7719999999999</v>
      </c>
      <c r="I1700" s="170">
        <v>43.6</v>
      </c>
      <c r="AB1700" s="77"/>
      <c r="AF1700" s="142"/>
      <c r="AG1700" s="143"/>
    </row>
    <row r="1701" spans="1:33" ht="20.100000000000001" hidden="1" customHeight="1">
      <c r="A1701" s="16" t="s">
        <v>26</v>
      </c>
      <c r="B1701" s="16">
        <v>2007</v>
      </c>
      <c r="C1701" s="14" t="s">
        <v>49</v>
      </c>
      <c r="D1701" s="9" t="s">
        <v>357</v>
      </c>
      <c r="E1701" s="17" t="s">
        <v>357</v>
      </c>
      <c r="F1701" s="17"/>
      <c r="G1701" s="234"/>
      <c r="H1701" s="226">
        <f t="shared" si="93"/>
        <v>2147.6179999999999</v>
      </c>
      <c r="I1701" s="170">
        <v>13.4</v>
      </c>
      <c r="AB1701" s="77"/>
      <c r="AF1701" s="142"/>
      <c r="AG1701" s="143"/>
    </row>
    <row r="1702" spans="1:33" ht="20.100000000000001" hidden="1" customHeight="1">
      <c r="A1702" s="16" t="s">
        <v>26</v>
      </c>
      <c r="B1702" s="16">
        <v>2007</v>
      </c>
      <c r="C1702" s="14" t="s">
        <v>49</v>
      </c>
      <c r="D1702" s="9" t="s">
        <v>353</v>
      </c>
      <c r="E1702" s="17" t="s">
        <v>353</v>
      </c>
      <c r="F1702" s="17"/>
      <c r="G1702" s="234"/>
      <c r="H1702" s="226">
        <f t="shared" si="93"/>
        <v>2067.4830000000002</v>
      </c>
      <c r="I1702" s="170">
        <v>12.9</v>
      </c>
      <c r="AB1702" s="77"/>
      <c r="AF1702" s="142"/>
      <c r="AG1702" s="143"/>
    </row>
    <row r="1703" spans="1:33" ht="20.100000000000001" hidden="1" customHeight="1">
      <c r="A1703" s="16" t="s">
        <v>26</v>
      </c>
      <c r="B1703" s="16">
        <v>2007</v>
      </c>
      <c r="C1703" s="14" t="s">
        <v>49</v>
      </c>
      <c r="D1703" s="27" t="s">
        <v>202</v>
      </c>
      <c r="E1703" s="17" t="s">
        <v>1008</v>
      </c>
      <c r="F1703" s="17"/>
      <c r="G1703" s="234"/>
      <c r="H1703" s="226">
        <f t="shared" si="93"/>
        <v>2772.6710000000003</v>
      </c>
      <c r="I1703" s="170">
        <v>17.3</v>
      </c>
      <c r="AB1703" s="77"/>
      <c r="AF1703" s="142"/>
      <c r="AG1703" s="143"/>
    </row>
    <row r="1704" spans="1:33" ht="20.100000000000001" hidden="1" customHeight="1">
      <c r="A1704" s="16" t="s">
        <v>26</v>
      </c>
      <c r="B1704" s="16">
        <v>2007</v>
      </c>
      <c r="C1704" s="14" t="s">
        <v>49</v>
      </c>
      <c r="D1704" s="9" t="s">
        <v>1009</v>
      </c>
      <c r="E1704" s="17" t="s">
        <v>1009</v>
      </c>
      <c r="F1704" s="17"/>
      <c r="G1704" s="234"/>
      <c r="H1704" s="226">
        <f t="shared" si="93"/>
        <v>3333.6160000000004</v>
      </c>
      <c r="I1704" s="170">
        <v>20.8</v>
      </c>
      <c r="AB1704" s="77"/>
      <c r="AF1704" s="142"/>
      <c r="AG1704" s="143"/>
    </row>
    <row r="1705" spans="1:33" ht="20.100000000000001" hidden="1" customHeight="1">
      <c r="A1705" s="16" t="s">
        <v>26</v>
      </c>
      <c r="B1705" s="16">
        <v>2007</v>
      </c>
      <c r="C1705" s="14" t="s">
        <v>49</v>
      </c>
      <c r="D1705" s="9" t="s">
        <v>1010</v>
      </c>
      <c r="E1705" s="17" t="s">
        <v>1010</v>
      </c>
      <c r="F1705" s="17"/>
      <c r="G1705" s="234"/>
      <c r="H1705" s="226">
        <f t="shared" si="93"/>
        <v>1538.5920000000001</v>
      </c>
      <c r="I1705" s="170">
        <v>9.6</v>
      </c>
      <c r="AB1705" s="77"/>
      <c r="AF1705" s="142"/>
      <c r="AG1705" s="143"/>
    </row>
    <row r="1706" spans="1:33" ht="20.100000000000001" hidden="1" customHeight="1">
      <c r="A1706" s="16" t="s">
        <v>26</v>
      </c>
      <c r="B1706" s="16">
        <v>2007</v>
      </c>
      <c r="C1706" s="14" t="s">
        <v>49</v>
      </c>
      <c r="D1706" s="9" t="s">
        <v>1011</v>
      </c>
      <c r="E1706" s="17" t="s">
        <v>1011</v>
      </c>
      <c r="F1706" s="17"/>
      <c r="G1706" s="234"/>
      <c r="H1706" s="226">
        <f t="shared" si="93"/>
        <v>1041.7550000000001</v>
      </c>
      <c r="I1706" s="170">
        <v>6.5</v>
      </c>
      <c r="AB1706" s="77"/>
      <c r="AF1706" s="142"/>
      <c r="AG1706" s="143"/>
    </row>
    <row r="1707" spans="1:33" ht="20.100000000000001" hidden="1" customHeight="1">
      <c r="A1707" s="16" t="s">
        <v>26</v>
      </c>
      <c r="B1707" s="16">
        <v>2007</v>
      </c>
      <c r="C1707" s="14" t="s">
        <v>49</v>
      </c>
      <c r="D1707" s="9" t="s">
        <v>1012</v>
      </c>
      <c r="E1707" s="17" t="s">
        <v>1012</v>
      </c>
      <c r="F1707" s="17"/>
      <c r="G1707" s="230"/>
      <c r="H1707" s="227">
        <f t="shared" si="93"/>
        <v>576.97200000000009</v>
      </c>
      <c r="I1707" s="170">
        <v>3.6</v>
      </c>
      <c r="AB1707" s="77"/>
      <c r="AF1707" s="142"/>
      <c r="AG1707" s="143"/>
    </row>
    <row r="1708" spans="1:33" ht="20.100000000000001" hidden="1" customHeight="1">
      <c r="A1708" s="16" t="s">
        <v>26</v>
      </c>
      <c r="B1708" s="16">
        <v>2007</v>
      </c>
      <c r="C1708" s="14" t="s">
        <v>49</v>
      </c>
      <c r="D1708" s="9" t="s">
        <v>1013</v>
      </c>
      <c r="E1708" s="17" t="s">
        <v>1013</v>
      </c>
      <c r="F1708" s="17"/>
      <c r="G1708" s="234"/>
      <c r="H1708" s="169"/>
      <c r="I1708" s="169"/>
      <c r="J1708" s="169"/>
      <c r="AB1708" s="77"/>
      <c r="AF1708" s="142"/>
      <c r="AG1708" s="143"/>
    </row>
    <row r="1709" spans="1:33" ht="20.100000000000001" hidden="1" customHeight="1">
      <c r="A1709" s="16" t="s">
        <v>26</v>
      </c>
      <c r="B1709" s="16">
        <v>2007</v>
      </c>
      <c r="C1709" s="14" t="s">
        <v>49</v>
      </c>
      <c r="D1709" s="9" t="s">
        <v>1014</v>
      </c>
      <c r="E1709" s="17" t="s">
        <v>1014</v>
      </c>
      <c r="F1709" s="17"/>
      <c r="G1709" s="230"/>
      <c r="H1709" s="227">
        <f>16027*I1709%</f>
        <v>144.24300000000002</v>
      </c>
      <c r="I1709" s="170">
        <v>0.9</v>
      </c>
      <c r="AB1709" s="77"/>
      <c r="AF1709" s="142"/>
      <c r="AG1709" s="143"/>
    </row>
    <row r="1710" spans="1:33" ht="20.100000000000001" hidden="1" customHeight="1">
      <c r="A1710" s="16" t="s">
        <v>26</v>
      </c>
      <c r="B1710" s="16">
        <v>2007</v>
      </c>
      <c r="C1710" s="14" t="s">
        <v>49</v>
      </c>
      <c r="D1710" s="9" t="s">
        <v>1016</v>
      </c>
      <c r="E1710" s="17" t="s">
        <v>1016</v>
      </c>
      <c r="F1710" s="17"/>
      <c r="G1710" s="234"/>
      <c r="H1710" s="169"/>
      <c r="I1710" s="169"/>
      <c r="J1710" s="169"/>
      <c r="AB1710" s="77"/>
      <c r="AF1710" s="142"/>
      <c r="AG1710" s="143"/>
    </row>
    <row r="1711" spans="1:33" ht="20.100000000000001" hidden="1" customHeight="1">
      <c r="A1711" s="16" t="s">
        <v>26</v>
      </c>
      <c r="B1711" s="16">
        <v>2007</v>
      </c>
      <c r="C1711" s="14" t="s">
        <v>49</v>
      </c>
      <c r="D1711" s="9" t="s">
        <v>1018</v>
      </c>
      <c r="E1711" s="17" t="s">
        <v>1018</v>
      </c>
      <c r="F1711" s="17"/>
      <c r="G1711" s="230"/>
      <c r="H1711" s="227">
        <f t="shared" ref="H1711:H1721" si="94">16027*I1711%</f>
        <v>32.054000000000002</v>
      </c>
      <c r="I1711" s="170">
        <v>0.2</v>
      </c>
      <c r="AB1711" s="77"/>
      <c r="AF1711" s="142"/>
      <c r="AG1711" s="143"/>
    </row>
    <row r="1712" spans="1:33" ht="20.100000000000001" hidden="1" customHeight="1">
      <c r="A1712" s="16" t="s">
        <v>26</v>
      </c>
      <c r="B1712" s="16">
        <v>2007</v>
      </c>
      <c r="C1712" s="14" t="s">
        <v>49</v>
      </c>
      <c r="D1712" s="9" t="s">
        <v>1019</v>
      </c>
      <c r="E1712" s="17" t="s">
        <v>1019</v>
      </c>
      <c r="F1712" s="17"/>
      <c r="G1712" s="234"/>
      <c r="H1712" s="226">
        <f t="shared" si="94"/>
        <v>4054.8310000000001</v>
      </c>
      <c r="I1712" s="170">
        <v>25.3</v>
      </c>
      <c r="AB1712" s="77"/>
      <c r="AF1712" s="142"/>
      <c r="AG1712" s="143"/>
    </row>
    <row r="1713" spans="1:33" ht="20.100000000000001" hidden="1" customHeight="1">
      <c r="A1713" s="16" t="s">
        <v>26</v>
      </c>
      <c r="B1713" s="16">
        <v>2007</v>
      </c>
      <c r="C1713" s="14" t="s">
        <v>49</v>
      </c>
      <c r="D1713" s="9" t="s">
        <v>1020</v>
      </c>
      <c r="E1713" s="17" t="s">
        <v>1020</v>
      </c>
      <c r="F1713" s="17"/>
      <c r="G1713" s="234"/>
      <c r="H1713" s="226">
        <f t="shared" si="94"/>
        <v>1987.348</v>
      </c>
      <c r="I1713" s="170">
        <v>12.4</v>
      </c>
      <c r="AB1713" s="77"/>
      <c r="AF1713" s="142"/>
      <c r="AG1713" s="143"/>
    </row>
    <row r="1714" spans="1:33" ht="20.100000000000001" hidden="1" customHeight="1">
      <c r="A1714" s="16" t="s">
        <v>26</v>
      </c>
      <c r="B1714" s="16">
        <v>2007</v>
      </c>
      <c r="C1714" s="14" t="s">
        <v>49</v>
      </c>
      <c r="D1714" s="9" t="s">
        <v>1021</v>
      </c>
      <c r="E1714" s="17" t="s">
        <v>1021</v>
      </c>
      <c r="F1714" s="17"/>
      <c r="G1714" s="234"/>
      <c r="H1714" s="226">
        <f t="shared" si="94"/>
        <v>1955.2939999999999</v>
      </c>
      <c r="I1714" s="170">
        <v>12.2</v>
      </c>
      <c r="AB1714" s="77"/>
      <c r="AF1714" s="142"/>
      <c r="AG1714" s="143"/>
    </row>
    <row r="1715" spans="1:33" ht="20.100000000000001" hidden="1" customHeight="1">
      <c r="A1715" s="16" t="s">
        <v>26</v>
      </c>
      <c r="B1715" s="16">
        <v>2007</v>
      </c>
      <c r="C1715" s="14" t="s">
        <v>49</v>
      </c>
      <c r="D1715" s="9" t="s">
        <v>1022</v>
      </c>
      <c r="E1715" s="17" t="s">
        <v>1022</v>
      </c>
      <c r="F1715" s="17"/>
      <c r="G1715" s="230"/>
      <c r="H1715" s="227">
        <f t="shared" si="94"/>
        <v>112.18899999999999</v>
      </c>
      <c r="I1715" s="170">
        <v>0.7</v>
      </c>
      <c r="AB1715" s="77"/>
      <c r="AF1715" s="142"/>
      <c r="AG1715" s="143"/>
    </row>
    <row r="1716" spans="1:33" ht="20.100000000000001" hidden="1" customHeight="1">
      <c r="A1716" s="16" t="s">
        <v>26</v>
      </c>
      <c r="B1716" s="16">
        <v>2007</v>
      </c>
      <c r="C1716" s="14" t="s">
        <v>49</v>
      </c>
      <c r="D1716" s="9" t="s">
        <v>1024</v>
      </c>
      <c r="E1716" s="17" t="s">
        <v>1024</v>
      </c>
      <c r="F1716" s="17"/>
      <c r="G1716" s="230"/>
      <c r="H1716" s="227">
        <f t="shared" si="94"/>
        <v>160.27000000000001</v>
      </c>
      <c r="I1716" s="170">
        <v>1</v>
      </c>
      <c r="AB1716" s="77"/>
      <c r="AF1716" s="142"/>
      <c r="AG1716" s="143"/>
    </row>
    <row r="1717" spans="1:33" ht="20.100000000000001" hidden="1" customHeight="1">
      <c r="A1717" s="16" t="s">
        <v>26</v>
      </c>
      <c r="B1717" s="16">
        <v>2007</v>
      </c>
      <c r="C1717" s="14" t="s">
        <v>49</v>
      </c>
      <c r="D1717" s="9" t="s">
        <v>1025</v>
      </c>
      <c r="E1717" s="17" t="s">
        <v>1025</v>
      </c>
      <c r="F1717" s="17"/>
      <c r="G1717" s="230"/>
      <c r="H1717" s="227">
        <f t="shared" si="94"/>
        <v>160.27000000000001</v>
      </c>
      <c r="I1717" s="170">
        <v>1</v>
      </c>
      <c r="AB1717" s="77"/>
      <c r="AF1717" s="142"/>
      <c r="AG1717" s="143"/>
    </row>
    <row r="1718" spans="1:33" ht="20.100000000000001" hidden="1" customHeight="1">
      <c r="A1718" s="16" t="s">
        <v>26</v>
      </c>
      <c r="B1718" s="16">
        <v>2007</v>
      </c>
      <c r="C1718" s="14" t="s">
        <v>49</v>
      </c>
      <c r="D1718" s="9" t="s">
        <v>1026</v>
      </c>
      <c r="E1718" s="17" t="s">
        <v>1027</v>
      </c>
      <c r="F1718" s="17"/>
      <c r="G1718" s="230"/>
      <c r="H1718" s="227">
        <f t="shared" si="94"/>
        <v>288.48600000000005</v>
      </c>
      <c r="I1718" s="170">
        <v>1.8</v>
      </c>
      <c r="AB1718" s="77"/>
      <c r="AF1718" s="142"/>
      <c r="AG1718" s="143"/>
    </row>
    <row r="1719" spans="1:33" ht="20.100000000000001" hidden="1" customHeight="1">
      <c r="A1719" s="16" t="s">
        <v>26</v>
      </c>
      <c r="B1719" s="16">
        <v>2007</v>
      </c>
      <c r="C1719" s="14" t="s">
        <v>49</v>
      </c>
      <c r="D1719" s="9" t="s">
        <v>1029</v>
      </c>
      <c r="E1719" s="17" t="s">
        <v>1029</v>
      </c>
      <c r="F1719" s="17"/>
      <c r="G1719" s="230"/>
      <c r="H1719" s="227">
        <f t="shared" si="94"/>
        <v>288.48600000000005</v>
      </c>
      <c r="I1719" s="170">
        <v>1.8</v>
      </c>
      <c r="AB1719" s="77"/>
      <c r="AF1719" s="142"/>
      <c r="AG1719" s="143"/>
    </row>
    <row r="1720" spans="1:33" ht="20.100000000000001" hidden="1" customHeight="1">
      <c r="A1720" s="16" t="s">
        <v>26</v>
      </c>
      <c r="B1720" s="16">
        <v>2007</v>
      </c>
      <c r="C1720" s="14" t="s">
        <v>49</v>
      </c>
      <c r="D1720" s="9" t="s">
        <v>1030</v>
      </c>
      <c r="E1720" s="17" t="s">
        <v>1030</v>
      </c>
      <c r="F1720" s="17"/>
      <c r="G1720" s="230"/>
      <c r="H1720" s="227">
        <f t="shared" si="94"/>
        <v>176.29700000000003</v>
      </c>
      <c r="I1720" s="170">
        <v>1.1000000000000001</v>
      </c>
      <c r="AB1720" s="77"/>
      <c r="AF1720" s="142"/>
      <c r="AG1720" s="143"/>
    </row>
    <row r="1721" spans="1:33" ht="20.100000000000001" hidden="1" customHeight="1">
      <c r="A1721" s="16" t="s">
        <v>26</v>
      </c>
      <c r="B1721" s="16">
        <v>2007</v>
      </c>
      <c r="C1721" s="14" t="s">
        <v>49</v>
      </c>
      <c r="D1721" s="9" t="s">
        <v>1032</v>
      </c>
      <c r="E1721" s="17" t="s">
        <v>1032</v>
      </c>
      <c r="F1721" s="17"/>
      <c r="G1721" s="230"/>
      <c r="H1721" s="227">
        <f t="shared" si="94"/>
        <v>176.29700000000003</v>
      </c>
      <c r="I1721" s="170">
        <v>1.1000000000000001</v>
      </c>
      <c r="AB1721" s="77"/>
      <c r="AF1721" s="142"/>
      <c r="AG1721" s="143"/>
    </row>
    <row r="1722" spans="1:33" ht="20.100000000000001" hidden="1" customHeight="1">
      <c r="A1722" s="16" t="s">
        <v>26</v>
      </c>
      <c r="B1722" s="16">
        <v>2007</v>
      </c>
      <c r="C1722" s="14" t="s">
        <v>49</v>
      </c>
      <c r="D1722" s="9" t="s">
        <v>1033</v>
      </c>
      <c r="E1722" s="17" t="s">
        <v>1034</v>
      </c>
      <c r="F1722" s="17"/>
      <c r="G1722" s="234"/>
      <c r="H1722" s="169"/>
      <c r="I1722" s="169"/>
      <c r="J1722" s="169"/>
      <c r="AB1722" s="77"/>
      <c r="AF1722" s="142"/>
      <c r="AG1722" s="143"/>
    </row>
    <row r="1723" spans="1:33" ht="20.100000000000001" hidden="1" customHeight="1">
      <c r="A1723" s="16" t="s">
        <v>26</v>
      </c>
      <c r="B1723" s="16">
        <v>2007</v>
      </c>
      <c r="C1723" s="14" t="s">
        <v>49</v>
      </c>
      <c r="D1723" s="9" t="s">
        <v>1036</v>
      </c>
      <c r="E1723" s="17" t="s">
        <v>1036</v>
      </c>
      <c r="F1723" s="17"/>
      <c r="G1723" s="234"/>
      <c r="H1723" s="169"/>
      <c r="I1723" s="169"/>
      <c r="J1723" s="169"/>
      <c r="AB1723" s="77"/>
      <c r="AF1723" s="142"/>
      <c r="AG1723" s="143"/>
    </row>
    <row r="1724" spans="1:33" ht="20.100000000000001" hidden="1" customHeight="1">
      <c r="A1724" s="16" t="s">
        <v>26</v>
      </c>
      <c r="B1724" s="16">
        <v>2007</v>
      </c>
      <c r="C1724" s="14" t="s">
        <v>49</v>
      </c>
      <c r="D1724" s="9" t="s">
        <v>1037</v>
      </c>
      <c r="E1724" s="17" t="s">
        <v>1037</v>
      </c>
      <c r="F1724" s="17"/>
      <c r="G1724" s="234"/>
      <c r="H1724" s="169"/>
      <c r="I1724" s="169"/>
      <c r="J1724" s="169"/>
      <c r="AB1724" s="77"/>
      <c r="AF1724" s="142"/>
      <c r="AG1724" s="143"/>
    </row>
    <row r="1725" spans="1:33" ht="20.100000000000001" hidden="1" customHeight="1">
      <c r="A1725" s="16" t="s">
        <v>26</v>
      </c>
      <c r="B1725" s="16">
        <v>2007</v>
      </c>
      <c r="C1725" s="14" t="s">
        <v>49</v>
      </c>
      <c r="D1725" s="9" t="s">
        <v>1039</v>
      </c>
      <c r="E1725" s="17" t="s">
        <v>1039</v>
      </c>
      <c r="F1725" s="17"/>
      <c r="G1725" s="234"/>
      <c r="H1725" s="169"/>
      <c r="I1725" s="169"/>
      <c r="J1725" s="169"/>
      <c r="AB1725" s="77"/>
      <c r="AF1725" s="142"/>
      <c r="AG1725" s="143"/>
    </row>
    <row r="1726" spans="1:33" ht="20.100000000000001" hidden="1" customHeight="1">
      <c r="A1726" s="16" t="s">
        <v>26</v>
      </c>
      <c r="B1726" s="16">
        <v>2007</v>
      </c>
      <c r="C1726" s="14" t="s">
        <v>49</v>
      </c>
      <c r="D1726" s="9" t="s">
        <v>1040</v>
      </c>
      <c r="E1726" s="17" t="s">
        <v>1040</v>
      </c>
      <c r="F1726" s="17"/>
      <c r="G1726" s="234"/>
      <c r="H1726" s="169"/>
      <c r="I1726" s="169"/>
      <c r="J1726" s="169"/>
      <c r="AB1726" s="77"/>
      <c r="AF1726" s="142"/>
      <c r="AG1726" s="143"/>
    </row>
    <row r="1727" spans="1:33" ht="20.100000000000001" hidden="1" customHeight="1">
      <c r="A1727" s="16" t="s">
        <v>26</v>
      </c>
      <c r="B1727" s="16">
        <v>2007</v>
      </c>
      <c r="C1727" s="14" t="s">
        <v>49</v>
      </c>
      <c r="D1727" s="9" t="s">
        <v>1042</v>
      </c>
      <c r="E1727" s="17" t="s">
        <v>1042</v>
      </c>
      <c r="F1727" s="17"/>
      <c r="G1727" s="234"/>
      <c r="H1727" s="169"/>
      <c r="I1727" s="169"/>
      <c r="J1727" s="169"/>
      <c r="AB1727" s="77"/>
      <c r="AF1727" s="142"/>
      <c r="AG1727" s="143"/>
    </row>
    <row r="1728" spans="1:33" ht="20.100000000000001" hidden="1" customHeight="1">
      <c r="A1728" s="16" t="s">
        <v>26</v>
      </c>
      <c r="B1728" s="16">
        <v>2007</v>
      </c>
      <c r="C1728" s="14" t="s">
        <v>49</v>
      </c>
      <c r="D1728" s="9" t="s">
        <v>1043</v>
      </c>
      <c r="E1728" s="9" t="s">
        <v>1043</v>
      </c>
      <c r="F1728" s="17"/>
      <c r="G1728" s="234"/>
      <c r="H1728" s="169"/>
      <c r="I1728" s="169"/>
      <c r="J1728" s="169"/>
      <c r="AB1728" s="77"/>
      <c r="AF1728" s="142"/>
      <c r="AG1728" s="143"/>
    </row>
    <row r="1729" spans="1:33" ht="20.100000000000001" hidden="1" customHeight="1">
      <c r="A1729" s="16" t="s">
        <v>26</v>
      </c>
      <c r="B1729" s="16">
        <v>2007</v>
      </c>
      <c r="C1729" s="14" t="s">
        <v>49</v>
      </c>
      <c r="D1729" s="9" t="s">
        <v>1044</v>
      </c>
      <c r="E1729" s="17" t="s">
        <v>1044</v>
      </c>
      <c r="F1729" s="17"/>
      <c r="G1729" s="234"/>
      <c r="H1729" s="169"/>
      <c r="I1729" s="169"/>
      <c r="J1729" s="169"/>
      <c r="AB1729" s="77"/>
      <c r="AF1729" s="142"/>
      <c r="AG1729" s="143"/>
    </row>
    <row r="1730" spans="1:33" ht="20.100000000000001" hidden="1" customHeight="1">
      <c r="A1730" s="16" t="s">
        <v>26</v>
      </c>
      <c r="B1730" s="16">
        <v>2007</v>
      </c>
      <c r="C1730" s="14" t="s">
        <v>49</v>
      </c>
      <c r="D1730" s="9" t="s">
        <v>1045</v>
      </c>
      <c r="E1730" s="17" t="s">
        <v>1045</v>
      </c>
      <c r="F1730" s="17"/>
      <c r="G1730" s="230"/>
      <c r="H1730" s="227">
        <f t="shared" ref="H1730:H1736" si="95">16027*I1730%</f>
        <v>112.18899999999999</v>
      </c>
      <c r="I1730" s="170">
        <v>0.7</v>
      </c>
      <c r="AB1730" s="77"/>
      <c r="AF1730" s="142"/>
      <c r="AG1730" s="143"/>
    </row>
    <row r="1731" spans="1:33" ht="20.100000000000001" hidden="1" customHeight="1">
      <c r="A1731" s="16" t="s">
        <v>26</v>
      </c>
      <c r="B1731" s="16">
        <v>2007</v>
      </c>
      <c r="C1731" s="14" t="s">
        <v>49</v>
      </c>
      <c r="D1731" s="9" t="s">
        <v>1046</v>
      </c>
      <c r="E1731" s="17" t="s">
        <v>1046</v>
      </c>
      <c r="F1731" s="17"/>
      <c r="G1731" s="230"/>
      <c r="H1731" s="227">
        <f t="shared" si="95"/>
        <v>112.18899999999999</v>
      </c>
      <c r="I1731" s="170">
        <v>0.7</v>
      </c>
      <c r="AB1731" s="77"/>
      <c r="AF1731" s="142"/>
      <c r="AG1731" s="143"/>
    </row>
    <row r="1732" spans="1:33" ht="20.100000000000001" hidden="1" customHeight="1">
      <c r="A1732" s="16" t="s">
        <v>26</v>
      </c>
      <c r="B1732" s="16">
        <v>2007</v>
      </c>
      <c r="C1732" s="14" t="s">
        <v>49</v>
      </c>
      <c r="D1732" s="9" t="s">
        <v>1047</v>
      </c>
      <c r="E1732" s="17" t="s">
        <v>1047</v>
      </c>
      <c r="F1732" s="17"/>
      <c r="G1732" s="230"/>
      <c r="H1732" s="227">
        <f t="shared" si="95"/>
        <v>80.135000000000005</v>
      </c>
      <c r="I1732" s="170">
        <v>0.5</v>
      </c>
      <c r="AB1732" s="77"/>
      <c r="AF1732" s="142"/>
      <c r="AG1732" s="143"/>
    </row>
    <row r="1733" spans="1:33" ht="20.100000000000001" hidden="1" customHeight="1">
      <c r="A1733" s="16" t="s">
        <v>26</v>
      </c>
      <c r="B1733" s="16">
        <v>2007</v>
      </c>
      <c r="C1733" s="14" t="s">
        <v>49</v>
      </c>
      <c r="D1733" s="9" t="s">
        <v>1048</v>
      </c>
      <c r="E1733" s="17" t="s">
        <v>1048</v>
      </c>
      <c r="F1733" s="17"/>
      <c r="G1733" s="230"/>
      <c r="H1733" s="227">
        <f t="shared" si="95"/>
        <v>80.135000000000005</v>
      </c>
      <c r="I1733" s="170">
        <v>0.5</v>
      </c>
      <c r="AB1733" s="77"/>
      <c r="AF1733" s="142"/>
      <c r="AG1733" s="143"/>
    </row>
    <row r="1734" spans="1:33" ht="20.100000000000001" hidden="1" customHeight="1">
      <c r="A1734" s="16" t="s">
        <v>26</v>
      </c>
      <c r="B1734" s="16">
        <v>2007</v>
      </c>
      <c r="C1734" s="14" t="s">
        <v>49</v>
      </c>
      <c r="D1734" s="9" t="s">
        <v>1050</v>
      </c>
      <c r="E1734" s="17" t="s">
        <v>1050</v>
      </c>
      <c r="F1734" s="17"/>
      <c r="G1734" s="230"/>
      <c r="H1734" s="227">
        <f t="shared" si="95"/>
        <v>128.21600000000001</v>
      </c>
      <c r="I1734" s="170">
        <v>0.8</v>
      </c>
      <c r="AB1734" s="77"/>
      <c r="AF1734" s="142"/>
      <c r="AG1734" s="143"/>
    </row>
    <row r="1735" spans="1:33" ht="20.100000000000001" hidden="1" customHeight="1">
      <c r="A1735" s="16" t="s">
        <v>26</v>
      </c>
      <c r="B1735" s="16">
        <v>2007</v>
      </c>
      <c r="C1735" s="14" t="s">
        <v>49</v>
      </c>
      <c r="D1735" s="9" t="s">
        <v>1051</v>
      </c>
      <c r="E1735" s="17" t="s">
        <v>1051</v>
      </c>
      <c r="F1735" s="17"/>
      <c r="G1735" s="230"/>
      <c r="H1735" s="227">
        <f t="shared" si="95"/>
        <v>128.21600000000001</v>
      </c>
      <c r="I1735" s="170">
        <v>0.8</v>
      </c>
      <c r="AB1735" s="77"/>
      <c r="AF1735" s="142"/>
      <c r="AG1735" s="143"/>
    </row>
    <row r="1736" spans="1:33" ht="20.100000000000001" hidden="1" customHeight="1">
      <c r="A1736" s="16" t="s">
        <v>26</v>
      </c>
      <c r="B1736" s="16">
        <v>2007</v>
      </c>
      <c r="C1736" s="14" t="s">
        <v>49</v>
      </c>
      <c r="D1736" s="27" t="s">
        <v>202</v>
      </c>
      <c r="E1736" s="17" t="s">
        <v>192</v>
      </c>
      <c r="F1736" s="17"/>
      <c r="G1736" s="230"/>
      <c r="H1736" s="227">
        <f t="shared" si="95"/>
        <v>705.1880000000001</v>
      </c>
      <c r="I1736" s="170">
        <v>4.4000000000000004</v>
      </c>
      <c r="AB1736" s="77"/>
      <c r="AF1736" s="142"/>
      <c r="AG1736" s="143"/>
    </row>
    <row r="1737" spans="1:33" ht="20.100000000000001" hidden="1" customHeight="1">
      <c r="A1737" s="16" t="s">
        <v>26</v>
      </c>
      <c r="B1737" s="16">
        <v>2012</v>
      </c>
      <c r="C1737" s="14" t="s">
        <v>49</v>
      </c>
      <c r="D1737" s="9" t="s">
        <v>1007</v>
      </c>
      <c r="E1737" s="17" t="s">
        <v>1007</v>
      </c>
      <c r="F1737" s="17"/>
      <c r="G1737" s="234"/>
      <c r="H1737" s="226">
        <f t="shared" ref="H1737:H1744" si="96">19974*I1737%</f>
        <v>7490.25</v>
      </c>
      <c r="I1737" s="170">
        <v>37.5</v>
      </c>
      <c r="AB1737" s="77"/>
      <c r="AF1737" s="142"/>
      <c r="AG1737" s="143"/>
    </row>
    <row r="1738" spans="1:33" ht="20.100000000000001" hidden="1" customHeight="1">
      <c r="A1738" s="16" t="s">
        <v>26</v>
      </c>
      <c r="B1738" s="16">
        <v>2012</v>
      </c>
      <c r="C1738" s="14" t="s">
        <v>49</v>
      </c>
      <c r="D1738" s="9" t="s">
        <v>357</v>
      </c>
      <c r="E1738" s="17" t="s">
        <v>357</v>
      </c>
      <c r="F1738" s="17"/>
      <c r="G1738" s="234"/>
      <c r="H1738" s="226">
        <f t="shared" si="96"/>
        <v>2456.8020000000001</v>
      </c>
      <c r="I1738" s="170">
        <v>12.3</v>
      </c>
      <c r="AB1738" s="77"/>
      <c r="AF1738" s="142"/>
      <c r="AG1738" s="143"/>
    </row>
    <row r="1739" spans="1:33" ht="20.100000000000001" hidden="1" customHeight="1">
      <c r="A1739" s="16" t="s">
        <v>26</v>
      </c>
      <c r="B1739" s="16">
        <v>2012</v>
      </c>
      <c r="C1739" s="14" t="s">
        <v>49</v>
      </c>
      <c r="D1739" s="9" t="s">
        <v>353</v>
      </c>
      <c r="E1739" s="17" t="s">
        <v>353</v>
      </c>
      <c r="F1739" s="17"/>
      <c r="G1739" s="234"/>
      <c r="H1739" s="226">
        <f t="shared" si="96"/>
        <v>2516.7240000000002</v>
      </c>
      <c r="I1739" s="170">
        <v>12.6</v>
      </c>
      <c r="AB1739" s="77"/>
      <c r="AF1739" s="142"/>
      <c r="AG1739" s="143"/>
    </row>
    <row r="1740" spans="1:33" ht="20.100000000000001" hidden="1" customHeight="1">
      <c r="A1740" s="16" t="s">
        <v>26</v>
      </c>
      <c r="B1740" s="16">
        <v>2012</v>
      </c>
      <c r="C1740" s="14" t="s">
        <v>49</v>
      </c>
      <c r="D1740" s="27" t="s">
        <v>202</v>
      </c>
      <c r="E1740" s="17" t="s">
        <v>1008</v>
      </c>
      <c r="F1740" s="17"/>
      <c r="G1740" s="234"/>
      <c r="H1740" s="226">
        <f t="shared" si="96"/>
        <v>2516.7240000000002</v>
      </c>
      <c r="I1740" s="170">
        <v>12.6</v>
      </c>
      <c r="AB1740" s="77"/>
      <c r="AF1740" s="142"/>
      <c r="AG1740" s="143"/>
    </row>
    <row r="1741" spans="1:33" ht="20.100000000000001" hidden="1" customHeight="1">
      <c r="A1741" s="16" t="s">
        <v>26</v>
      </c>
      <c r="B1741" s="16">
        <v>2012</v>
      </c>
      <c r="C1741" s="14" t="s">
        <v>49</v>
      </c>
      <c r="D1741" s="9" t="s">
        <v>1009</v>
      </c>
      <c r="E1741" s="17" t="s">
        <v>1009</v>
      </c>
      <c r="F1741" s="17"/>
      <c r="G1741" s="234"/>
      <c r="H1741" s="226">
        <f t="shared" si="96"/>
        <v>4034.7479999999996</v>
      </c>
      <c r="I1741" s="170">
        <v>20.2</v>
      </c>
      <c r="AB1741" s="77"/>
      <c r="AF1741" s="142"/>
      <c r="AG1741" s="143"/>
    </row>
    <row r="1742" spans="1:33" ht="20.100000000000001" hidden="1" customHeight="1">
      <c r="A1742" s="16" t="s">
        <v>26</v>
      </c>
      <c r="B1742" s="16">
        <v>2012</v>
      </c>
      <c r="C1742" s="14" t="s">
        <v>49</v>
      </c>
      <c r="D1742" s="9" t="s">
        <v>1010</v>
      </c>
      <c r="E1742" s="17" t="s">
        <v>1010</v>
      </c>
      <c r="F1742" s="17"/>
      <c r="G1742" s="234"/>
      <c r="H1742" s="226">
        <f t="shared" si="96"/>
        <v>1877.556</v>
      </c>
      <c r="I1742" s="170">
        <v>9.4</v>
      </c>
      <c r="AB1742" s="77"/>
      <c r="AF1742" s="142"/>
      <c r="AG1742" s="143"/>
    </row>
    <row r="1743" spans="1:33" ht="20.100000000000001" hidden="1" customHeight="1">
      <c r="A1743" s="16" t="s">
        <v>26</v>
      </c>
      <c r="B1743" s="16">
        <v>2012</v>
      </c>
      <c r="C1743" s="14" t="s">
        <v>49</v>
      </c>
      <c r="D1743" s="9" t="s">
        <v>1011</v>
      </c>
      <c r="E1743" s="17" t="s">
        <v>1011</v>
      </c>
      <c r="F1743" s="17"/>
      <c r="G1743" s="234"/>
      <c r="H1743" s="226">
        <f t="shared" si="96"/>
        <v>1178.4660000000001</v>
      </c>
      <c r="I1743" s="170">
        <v>5.9</v>
      </c>
      <c r="AB1743" s="77"/>
      <c r="AF1743" s="142"/>
      <c r="AG1743" s="143"/>
    </row>
    <row r="1744" spans="1:33" ht="20.100000000000001" hidden="1" customHeight="1">
      <c r="A1744" s="16" t="s">
        <v>26</v>
      </c>
      <c r="B1744" s="16">
        <v>2012</v>
      </c>
      <c r="C1744" s="14" t="s">
        <v>49</v>
      </c>
      <c r="D1744" s="9" t="s">
        <v>1012</v>
      </c>
      <c r="E1744" s="17" t="s">
        <v>1012</v>
      </c>
      <c r="F1744" s="17"/>
      <c r="G1744" s="230"/>
      <c r="H1744" s="227">
        <f t="shared" si="96"/>
        <v>778.98599999999999</v>
      </c>
      <c r="I1744" s="170">
        <v>3.9</v>
      </c>
      <c r="AB1744" s="77"/>
      <c r="AF1744" s="142"/>
      <c r="AG1744" s="143"/>
    </row>
    <row r="1745" spans="1:33" ht="20.100000000000001" hidden="1" customHeight="1">
      <c r="A1745" s="16" t="s">
        <v>26</v>
      </c>
      <c r="B1745" s="16">
        <v>2012</v>
      </c>
      <c r="C1745" s="14" t="s">
        <v>49</v>
      </c>
      <c r="D1745" s="9" t="s">
        <v>1013</v>
      </c>
      <c r="E1745" s="17" t="s">
        <v>1013</v>
      </c>
      <c r="F1745" s="17"/>
      <c r="G1745" s="234"/>
      <c r="H1745" s="169"/>
      <c r="I1745" s="169"/>
      <c r="J1745" s="169"/>
      <c r="AB1745" s="77"/>
      <c r="AF1745" s="142"/>
      <c r="AG1745" s="143"/>
    </row>
    <row r="1746" spans="1:33" ht="20.100000000000001" hidden="1" customHeight="1">
      <c r="A1746" s="16" t="s">
        <v>26</v>
      </c>
      <c r="B1746" s="16">
        <v>2012</v>
      </c>
      <c r="C1746" s="14" t="s">
        <v>49</v>
      </c>
      <c r="D1746" s="9" t="s">
        <v>1014</v>
      </c>
      <c r="E1746" s="17" t="s">
        <v>1014</v>
      </c>
      <c r="F1746" s="17"/>
      <c r="G1746" s="230"/>
      <c r="H1746" s="227">
        <f>19974*I1746%</f>
        <v>199.74</v>
      </c>
      <c r="I1746" s="170">
        <v>1</v>
      </c>
      <c r="AB1746" s="77"/>
      <c r="AF1746" s="142"/>
      <c r="AG1746" s="143"/>
    </row>
    <row r="1747" spans="1:33" ht="20.100000000000001" hidden="1" customHeight="1">
      <c r="A1747" s="16" t="s">
        <v>26</v>
      </c>
      <c r="B1747" s="16">
        <v>2012</v>
      </c>
      <c r="C1747" s="14" t="s">
        <v>49</v>
      </c>
      <c r="D1747" s="9" t="s">
        <v>1016</v>
      </c>
      <c r="E1747" s="17" t="s">
        <v>1016</v>
      </c>
      <c r="F1747" s="17"/>
      <c r="G1747" s="234"/>
      <c r="H1747" s="169"/>
      <c r="I1747" s="169"/>
      <c r="J1747" s="169"/>
      <c r="AB1747" s="77"/>
      <c r="AF1747" s="142"/>
      <c r="AG1747" s="143"/>
    </row>
    <row r="1748" spans="1:33" ht="20.100000000000001" hidden="1" customHeight="1">
      <c r="A1748" s="16" t="s">
        <v>26</v>
      </c>
      <c r="B1748" s="16">
        <v>2012</v>
      </c>
      <c r="C1748" s="14" t="s">
        <v>49</v>
      </c>
      <c r="D1748" s="9" t="s">
        <v>1018</v>
      </c>
      <c r="E1748" s="17" t="s">
        <v>1018</v>
      </c>
      <c r="F1748" s="17"/>
      <c r="G1748" s="234"/>
      <c r="H1748" s="226"/>
      <c r="I1748" s="229"/>
      <c r="J1748" s="229"/>
      <c r="AB1748" s="77"/>
      <c r="AF1748" s="142"/>
      <c r="AG1748" s="143"/>
    </row>
    <row r="1749" spans="1:33" ht="20.100000000000001" hidden="1" customHeight="1">
      <c r="A1749" s="16" t="s">
        <v>26</v>
      </c>
      <c r="B1749" s="16">
        <v>2012</v>
      </c>
      <c r="C1749" s="14" t="s">
        <v>49</v>
      </c>
      <c r="D1749" s="9" t="s">
        <v>1019</v>
      </c>
      <c r="E1749" s="17" t="s">
        <v>1019</v>
      </c>
      <c r="F1749" s="17"/>
      <c r="G1749" s="234"/>
      <c r="H1749" s="226">
        <f t="shared" ref="H1749:H1758" si="97">19974*I1749%</f>
        <v>5013.4740000000002</v>
      </c>
      <c r="I1749" s="170">
        <v>25.1</v>
      </c>
      <c r="AB1749" s="77"/>
      <c r="AF1749" s="142"/>
      <c r="AG1749" s="143"/>
    </row>
    <row r="1750" spans="1:33" ht="20.100000000000001" hidden="1" customHeight="1">
      <c r="A1750" s="16" t="s">
        <v>26</v>
      </c>
      <c r="B1750" s="16">
        <v>2012</v>
      </c>
      <c r="C1750" s="14" t="s">
        <v>49</v>
      </c>
      <c r="D1750" s="9" t="s">
        <v>1020</v>
      </c>
      <c r="E1750" s="17" t="s">
        <v>1020</v>
      </c>
      <c r="F1750" s="17"/>
      <c r="G1750" s="234"/>
      <c r="H1750" s="226">
        <f t="shared" si="97"/>
        <v>2456.8020000000001</v>
      </c>
      <c r="I1750" s="170">
        <v>12.3</v>
      </c>
      <c r="AB1750" s="77"/>
      <c r="AF1750" s="142"/>
      <c r="AG1750" s="143"/>
    </row>
    <row r="1751" spans="1:33" ht="20.100000000000001" hidden="1" customHeight="1">
      <c r="A1751" s="16" t="s">
        <v>26</v>
      </c>
      <c r="B1751" s="16">
        <v>2012</v>
      </c>
      <c r="C1751" s="14" t="s">
        <v>49</v>
      </c>
      <c r="D1751" s="9" t="s">
        <v>1021</v>
      </c>
      <c r="E1751" s="17" t="s">
        <v>1021</v>
      </c>
      <c r="F1751" s="17"/>
      <c r="G1751" s="234"/>
      <c r="H1751" s="226">
        <f t="shared" si="97"/>
        <v>2376.9059999999999</v>
      </c>
      <c r="I1751" s="170">
        <v>11.9</v>
      </c>
      <c r="AB1751" s="77"/>
      <c r="AF1751" s="142"/>
      <c r="AG1751" s="143"/>
    </row>
    <row r="1752" spans="1:33" ht="20.100000000000001" hidden="1" customHeight="1">
      <c r="A1752" s="16" t="s">
        <v>26</v>
      </c>
      <c r="B1752" s="16">
        <v>2012</v>
      </c>
      <c r="C1752" s="14" t="s">
        <v>49</v>
      </c>
      <c r="D1752" s="9" t="s">
        <v>1022</v>
      </c>
      <c r="E1752" s="17" t="s">
        <v>1022</v>
      </c>
      <c r="F1752" s="17"/>
      <c r="G1752" s="230"/>
      <c r="H1752" s="227">
        <f t="shared" si="97"/>
        <v>179.76600000000002</v>
      </c>
      <c r="I1752" s="170">
        <v>0.9</v>
      </c>
      <c r="AB1752" s="77"/>
      <c r="AF1752" s="142"/>
      <c r="AG1752" s="143"/>
    </row>
    <row r="1753" spans="1:33" ht="20.100000000000001" hidden="1" customHeight="1">
      <c r="A1753" s="16" t="s">
        <v>26</v>
      </c>
      <c r="B1753" s="16">
        <v>2012</v>
      </c>
      <c r="C1753" s="14" t="s">
        <v>49</v>
      </c>
      <c r="D1753" s="9" t="s">
        <v>1024</v>
      </c>
      <c r="E1753" s="17" t="s">
        <v>1024</v>
      </c>
      <c r="F1753" s="17"/>
      <c r="G1753" s="230"/>
      <c r="H1753" s="227">
        <f t="shared" si="97"/>
        <v>139.81799999999998</v>
      </c>
      <c r="I1753" s="170">
        <v>0.7</v>
      </c>
      <c r="AB1753" s="77"/>
      <c r="AF1753" s="142"/>
      <c r="AG1753" s="143"/>
    </row>
    <row r="1754" spans="1:33" ht="20.100000000000001" hidden="1" customHeight="1">
      <c r="A1754" s="16" t="s">
        <v>26</v>
      </c>
      <c r="B1754" s="16">
        <v>2012</v>
      </c>
      <c r="C1754" s="14" t="s">
        <v>49</v>
      </c>
      <c r="D1754" s="9" t="s">
        <v>1025</v>
      </c>
      <c r="E1754" s="17" t="s">
        <v>1025</v>
      </c>
      <c r="F1754" s="17"/>
      <c r="G1754" s="230"/>
      <c r="H1754" s="227">
        <f t="shared" si="97"/>
        <v>139.81799999999998</v>
      </c>
      <c r="I1754" s="170">
        <v>0.7</v>
      </c>
      <c r="AB1754" s="77"/>
      <c r="AF1754" s="142"/>
      <c r="AG1754" s="143"/>
    </row>
    <row r="1755" spans="1:33" ht="20.100000000000001" hidden="1" customHeight="1">
      <c r="A1755" s="16" t="s">
        <v>26</v>
      </c>
      <c r="B1755" s="16">
        <v>2012</v>
      </c>
      <c r="C1755" s="14" t="s">
        <v>49</v>
      </c>
      <c r="D1755" s="9" t="s">
        <v>1026</v>
      </c>
      <c r="E1755" s="17" t="s">
        <v>1027</v>
      </c>
      <c r="F1755" s="17"/>
      <c r="G1755" s="230"/>
      <c r="H1755" s="227">
        <f t="shared" si="97"/>
        <v>299.61</v>
      </c>
      <c r="I1755" s="170">
        <v>1.5</v>
      </c>
      <c r="AB1755" s="77"/>
      <c r="AF1755" s="142"/>
      <c r="AG1755" s="143"/>
    </row>
    <row r="1756" spans="1:33" ht="20.100000000000001" hidden="1" customHeight="1">
      <c r="A1756" s="16" t="s">
        <v>26</v>
      </c>
      <c r="B1756" s="16">
        <v>2012</v>
      </c>
      <c r="C1756" s="14" t="s">
        <v>49</v>
      </c>
      <c r="D1756" s="9" t="s">
        <v>1029</v>
      </c>
      <c r="E1756" s="17" t="s">
        <v>1029</v>
      </c>
      <c r="F1756" s="17"/>
      <c r="G1756" s="230"/>
      <c r="H1756" s="227">
        <f t="shared" si="97"/>
        <v>299.61</v>
      </c>
      <c r="I1756" s="170">
        <v>1.5</v>
      </c>
      <c r="AB1756" s="77"/>
      <c r="AF1756" s="142"/>
      <c r="AG1756" s="143"/>
    </row>
    <row r="1757" spans="1:33" ht="20.100000000000001" hidden="1" customHeight="1">
      <c r="A1757" s="16" t="s">
        <v>26</v>
      </c>
      <c r="B1757" s="16">
        <v>2012</v>
      </c>
      <c r="C1757" s="14" t="s">
        <v>49</v>
      </c>
      <c r="D1757" s="9" t="s">
        <v>1030</v>
      </c>
      <c r="E1757" s="17" t="s">
        <v>1030</v>
      </c>
      <c r="F1757" s="17"/>
      <c r="G1757" s="230"/>
      <c r="H1757" s="227">
        <f t="shared" si="97"/>
        <v>139.81799999999998</v>
      </c>
      <c r="I1757" s="170">
        <v>0.7</v>
      </c>
      <c r="AB1757" s="77"/>
      <c r="AF1757" s="142"/>
      <c r="AG1757" s="143"/>
    </row>
    <row r="1758" spans="1:33" ht="20.100000000000001" hidden="1" customHeight="1">
      <c r="A1758" s="16" t="s">
        <v>26</v>
      </c>
      <c r="B1758" s="16">
        <v>2012</v>
      </c>
      <c r="C1758" s="14" t="s">
        <v>49</v>
      </c>
      <c r="D1758" s="9" t="s">
        <v>1032</v>
      </c>
      <c r="E1758" s="17" t="s">
        <v>1032</v>
      </c>
      <c r="F1758" s="17"/>
      <c r="G1758" s="230"/>
      <c r="H1758" s="227">
        <f t="shared" si="97"/>
        <v>139.81799999999998</v>
      </c>
      <c r="I1758" s="170">
        <v>0.7</v>
      </c>
      <c r="AB1758" s="77"/>
      <c r="AF1758" s="142"/>
      <c r="AG1758" s="143"/>
    </row>
    <row r="1759" spans="1:33" ht="20.100000000000001" hidden="1" customHeight="1">
      <c r="A1759" s="16" t="s">
        <v>26</v>
      </c>
      <c r="B1759" s="16">
        <v>2012</v>
      </c>
      <c r="C1759" s="14" t="s">
        <v>49</v>
      </c>
      <c r="D1759" s="9" t="s">
        <v>1033</v>
      </c>
      <c r="E1759" s="17" t="s">
        <v>1034</v>
      </c>
      <c r="F1759" s="17"/>
      <c r="G1759" s="234"/>
      <c r="H1759" s="169"/>
      <c r="I1759" s="169"/>
      <c r="J1759" s="169"/>
      <c r="AB1759" s="77"/>
      <c r="AF1759" s="142"/>
      <c r="AG1759" s="143"/>
    </row>
    <row r="1760" spans="1:33" ht="20.100000000000001" hidden="1" customHeight="1">
      <c r="A1760" s="16" t="s">
        <v>26</v>
      </c>
      <c r="B1760" s="16">
        <v>2012</v>
      </c>
      <c r="C1760" s="14" t="s">
        <v>49</v>
      </c>
      <c r="D1760" s="9" t="s">
        <v>1036</v>
      </c>
      <c r="E1760" s="17" t="s">
        <v>1036</v>
      </c>
      <c r="F1760" s="17"/>
      <c r="G1760" s="234"/>
      <c r="H1760" s="169"/>
      <c r="I1760" s="169"/>
      <c r="J1760" s="169"/>
      <c r="AB1760" s="77"/>
      <c r="AF1760" s="142"/>
      <c r="AG1760" s="143"/>
    </row>
    <row r="1761" spans="1:33" ht="20.100000000000001" hidden="1" customHeight="1">
      <c r="A1761" s="16" t="s">
        <v>26</v>
      </c>
      <c r="B1761" s="16">
        <v>2012</v>
      </c>
      <c r="C1761" s="14" t="s">
        <v>49</v>
      </c>
      <c r="D1761" s="9" t="s">
        <v>1037</v>
      </c>
      <c r="E1761" s="17" t="s">
        <v>1037</v>
      </c>
      <c r="F1761" s="17"/>
      <c r="G1761" s="234"/>
      <c r="H1761" s="169"/>
      <c r="I1761" s="169"/>
      <c r="J1761" s="169"/>
      <c r="AB1761" s="77"/>
      <c r="AF1761" s="142"/>
      <c r="AG1761" s="143"/>
    </row>
    <row r="1762" spans="1:33" ht="20.100000000000001" hidden="1" customHeight="1">
      <c r="A1762" s="16" t="s">
        <v>26</v>
      </c>
      <c r="B1762" s="16">
        <v>2012</v>
      </c>
      <c r="C1762" s="14" t="s">
        <v>49</v>
      </c>
      <c r="D1762" s="9" t="s">
        <v>1039</v>
      </c>
      <c r="E1762" s="17" t="s">
        <v>1039</v>
      </c>
      <c r="F1762" s="17"/>
      <c r="G1762" s="234"/>
      <c r="H1762" s="169"/>
      <c r="I1762" s="169"/>
      <c r="J1762" s="169"/>
      <c r="AB1762" s="77"/>
      <c r="AF1762" s="142"/>
      <c r="AG1762" s="143"/>
    </row>
    <row r="1763" spans="1:33" ht="20.100000000000001" hidden="1" customHeight="1">
      <c r="A1763" s="16" t="s">
        <v>26</v>
      </c>
      <c r="B1763" s="16">
        <v>2012</v>
      </c>
      <c r="C1763" s="14" t="s">
        <v>49</v>
      </c>
      <c r="D1763" s="9" t="s">
        <v>1040</v>
      </c>
      <c r="E1763" s="17" t="s">
        <v>1040</v>
      </c>
      <c r="F1763" s="17"/>
      <c r="G1763" s="234"/>
      <c r="H1763" s="169"/>
      <c r="I1763" s="169"/>
      <c r="J1763" s="169"/>
      <c r="AB1763" s="77"/>
      <c r="AF1763" s="142"/>
      <c r="AG1763" s="143"/>
    </row>
    <row r="1764" spans="1:33" ht="20.100000000000001" hidden="1" customHeight="1">
      <c r="A1764" s="16" t="s">
        <v>26</v>
      </c>
      <c r="B1764" s="16">
        <v>2012</v>
      </c>
      <c r="C1764" s="14" t="s">
        <v>49</v>
      </c>
      <c r="D1764" s="9" t="s">
        <v>1042</v>
      </c>
      <c r="E1764" s="17" t="s">
        <v>1042</v>
      </c>
      <c r="F1764" s="17"/>
      <c r="G1764" s="234"/>
      <c r="H1764" s="169"/>
      <c r="I1764" s="169"/>
      <c r="J1764" s="169"/>
      <c r="AB1764" s="77"/>
      <c r="AF1764" s="142"/>
      <c r="AG1764" s="143"/>
    </row>
    <row r="1765" spans="1:33" ht="20.100000000000001" hidden="1" customHeight="1">
      <c r="A1765" s="16" t="s">
        <v>26</v>
      </c>
      <c r="B1765" s="16">
        <v>2012</v>
      </c>
      <c r="C1765" s="14" t="s">
        <v>49</v>
      </c>
      <c r="D1765" s="9" t="s">
        <v>1043</v>
      </c>
      <c r="E1765" s="9" t="s">
        <v>1043</v>
      </c>
      <c r="F1765" s="17"/>
      <c r="G1765" s="234"/>
      <c r="H1765" s="169"/>
      <c r="I1765" s="169"/>
      <c r="J1765" s="169"/>
      <c r="AB1765" s="77"/>
      <c r="AF1765" s="142"/>
      <c r="AG1765" s="143"/>
    </row>
    <row r="1766" spans="1:33" ht="20.100000000000001" hidden="1" customHeight="1">
      <c r="A1766" s="16" t="s">
        <v>26</v>
      </c>
      <c r="B1766" s="16">
        <v>2012</v>
      </c>
      <c r="C1766" s="14" t="s">
        <v>49</v>
      </c>
      <c r="D1766" s="9" t="s">
        <v>1044</v>
      </c>
      <c r="E1766" s="17" t="s">
        <v>1044</v>
      </c>
      <c r="F1766" s="17"/>
      <c r="G1766" s="234"/>
      <c r="H1766" s="169"/>
      <c r="I1766" s="169"/>
      <c r="J1766" s="169"/>
      <c r="AB1766" s="77"/>
      <c r="AF1766" s="142"/>
      <c r="AG1766" s="143"/>
    </row>
    <row r="1767" spans="1:33" ht="20.100000000000001" hidden="1" customHeight="1">
      <c r="A1767" s="16" t="s">
        <v>26</v>
      </c>
      <c r="B1767" s="16">
        <v>2012</v>
      </c>
      <c r="C1767" s="14" t="s">
        <v>49</v>
      </c>
      <c r="D1767" s="9" t="s">
        <v>1045</v>
      </c>
      <c r="E1767" s="17" t="s">
        <v>1045</v>
      </c>
      <c r="F1767" s="17"/>
      <c r="G1767" s="230"/>
      <c r="H1767" s="227">
        <f t="shared" ref="H1767:H1773" si="98">19974*I1767%</f>
        <v>199.74</v>
      </c>
      <c r="I1767" s="170">
        <v>1</v>
      </c>
      <c r="AB1767" s="77"/>
      <c r="AF1767" s="142"/>
      <c r="AG1767" s="143"/>
    </row>
    <row r="1768" spans="1:33" ht="20.100000000000001" hidden="1" customHeight="1">
      <c r="A1768" s="16" t="s">
        <v>26</v>
      </c>
      <c r="B1768" s="16">
        <v>2012</v>
      </c>
      <c r="C1768" s="14" t="s">
        <v>49</v>
      </c>
      <c r="D1768" s="9" t="s">
        <v>1046</v>
      </c>
      <c r="E1768" s="17" t="s">
        <v>1046</v>
      </c>
      <c r="F1768" s="17"/>
      <c r="G1768" s="230"/>
      <c r="H1768" s="227">
        <f t="shared" si="98"/>
        <v>199.74</v>
      </c>
      <c r="I1768" s="170">
        <v>1</v>
      </c>
      <c r="AB1768" s="77"/>
      <c r="AF1768" s="142"/>
      <c r="AG1768" s="143"/>
    </row>
    <row r="1769" spans="1:33" ht="20.100000000000001" hidden="1" customHeight="1">
      <c r="A1769" s="16" t="s">
        <v>26</v>
      </c>
      <c r="B1769" s="16">
        <v>2012</v>
      </c>
      <c r="C1769" s="14" t="s">
        <v>49</v>
      </c>
      <c r="D1769" s="9" t="s">
        <v>1047</v>
      </c>
      <c r="E1769" s="17" t="s">
        <v>1047</v>
      </c>
      <c r="F1769" s="17"/>
      <c r="G1769" s="230"/>
      <c r="H1769" s="227">
        <f t="shared" si="98"/>
        <v>139.81799999999998</v>
      </c>
      <c r="I1769" s="170">
        <v>0.7</v>
      </c>
      <c r="AB1769" s="77"/>
      <c r="AF1769" s="142"/>
      <c r="AG1769" s="143"/>
    </row>
    <row r="1770" spans="1:33" ht="20.100000000000001" hidden="1" customHeight="1">
      <c r="A1770" s="16" t="s">
        <v>26</v>
      </c>
      <c r="B1770" s="16">
        <v>2012</v>
      </c>
      <c r="C1770" s="14" t="s">
        <v>49</v>
      </c>
      <c r="D1770" s="9" t="s">
        <v>1048</v>
      </c>
      <c r="E1770" s="17" t="s">
        <v>1048</v>
      </c>
      <c r="F1770" s="17"/>
      <c r="G1770" s="230"/>
      <c r="H1770" s="227">
        <f t="shared" si="98"/>
        <v>139.81799999999998</v>
      </c>
      <c r="I1770" s="170">
        <v>0.7</v>
      </c>
      <c r="AB1770" s="77"/>
      <c r="AF1770" s="142"/>
      <c r="AG1770" s="143"/>
    </row>
    <row r="1771" spans="1:33" ht="20.100000000000001" hidden="1" customHeight="1">
      <c r="A1771" s="16" t="s">
        <v>26</v>
      </c>
      <c r="B1771" s="16">
        <v>2012</v>
      </c>
      <c r="C1771" s="14" t="s">
        <v>49</v>
      </c>
      <c r="D1771" s="9" t="s">
        <v>1050</v>
      </c>
      <c r="E1771" s="17" t="s">
        <v>1050</v>
      </c>
      <c r="F1771" s="17"/>
      <c r="G1771" s="230"/>
      <c r="H1771" s="227">
        <f t="shared" si="98"/>
        <v>39.948</v>
      </c>
      <c r="I1771" s="170">
        <v>0.2</v>
      </c>
      <c r="AB1771" s="77"/>
      <c r="AF1771" s="142"/>
      <c r="AG1771" s="143"/>
    </row>
    <row r="1772" spans="1:33" ht="20.100000000000001" hidden="1" customHeight="1">
      <c r="A1772" s="16" t="s">
        <v>26</v>
      </c>
      <c r="B1772" s="16">
        <v>2012</v>
      </c>
      <c r="C1772" s="14" t="s">
        <v>49</v>
      </c>
      <c r="D1772" s="9" t="s">
        <v>1051</v>
      </c>
      <c r="E1772" s="17" t="s">
        <v>1051</v>
      </c>
      <c r="F1772" s="17"/>
      <c r="G1772" s="230"/>
      <c r="H1772" s="227">
        <f t="shared" si="98"/>
        <v>39.948</v>
      </c>
      <c r="I1772" s="170">
        <v>0.2</v>
      </c>
      <c r="AB1772" s="77"/>
      <c r="AF1772" s="142"/>
      <c r="AG1772" s="143"/>
    </row>
    <row r="1773" spans="1:33" ht="20.100000000000001" hidden="1" customHeight="1">
      <c r="A1773" s="16" t="s">
        <v>26</v>
      </c>
      <c r="B1773" s="16">
        <v>2012</v>
      </c>
      <c r="C1773" s="14" t="s">
        <v>49</v>
      </c>
      <c r="D1773" s="27" t="s">
        <v>202</v>
      </c>
      <c r="E1773" s="17" t="s">
        <v>192</v>
      </c>
      <c r="F1773" s="17"/>
      <c r="G1773" s="234"/>
      <c r="H1773" s="226">
        <f t="shared" si="98"/>
        <v>2476.7759999999998</v>
      </c>
      <c r="I1773" s="170">
        <v>12.4</v>
      </c>
      <c r="AB1773" s="77"/>
      <c r="AF1773" s="142"/>
      <c r="AG1773" s="143"/>
    </row>
  </sheetData>
  <autoFilter ref="A1:AG1773" xr:uid="{00000000-0001-0000-0000-000000000000}">
    <filterColumn colId="1">
      <filters>
        <filter val="2019"/>
        <filter val="2020"/>
        <filter val="2021"/>
        <filter val="2022"/>
        <filter val="2023"/>
      </filters>
    </filterColumn>
    <filterColumn colId="3">
      <filters>
        <filter val="Alphabet"/>
        <filter val="Amazon"/>
        <filter val="Apple"/>
        <filter val="ByteDance"/>
        <filter val="Meta"/>
        <filter val="Microsoft"/>
        <filter val="Netflix"/>
      </filters>
    </filterColumn>
  </autoFilter>
  <phoneticPr fontId="11" type="noConversion"/>
  <conditionalFormatting sqref="C156:C429 G156:G429 G665:J696 W665:W724 AE665:AE837">
    <cfRule type="cellIs" dxfId="18" priority="13" operator="equal">
      <formula>0</formula>
    </cfRule>
  </conditionalFormatting>
  <conditionalFormatting sqref="F1:W1 AA1:ANE1 A1:D1">
    <cfRule type="cellIs" dxfId="17" priority="38" operator="equal">
      <formula>0</formula>
    </cfRule>
  </conditionalFormatting>
  <conditionalFormatting sqref="G697:G710 H697:J723 G714:G723">
    <cfRule type="cellIs" dxfId="16" priority="1" operator="equal">
      <formula>0</formula>
    </cfRule>
  </conditionalFormatting>
  <conditionalFormatting sqref="I1:J1 X1:AD1">
    <cfRule type="cellIs" dxfId="15" priority="18" operator="equal">
      <formula>0</formula>
    </cfRule>
  </conditionalFormatting>
  <conditionalFormatting sqref="O1:U1">
    <cfRule type="cellIs" dxfId="14" priority="36" operator="equal">
      <formula>0</formula>
    </cfRule>
  </conditionalFormatting>
  <conditionalFormatting sqref="Z665">
    <cfRule type="cellIs" dxfId="13" priority="10" operator="equal">
      <formula>0</formula>
    </cfRule>
  </conditionalFormatting>
  <conditionalFormatting sqref="AG156:AG158">
    <cfRule type="cellIs" dxfId="12" priority="12" operator="equal">
      <formula>0</formula>
    </cfRule>
  </conditionalFormatting>
  <conditionalFormatting sqref="AG665">
    <cfRule type="cellIs" dxfId="11" priority="5" operator="equal">
      <formula>0</formula>
    </cfRule>
  </conditionalFormatting>
  <dataValidations count="2">
    <dataValidation type="list" allowBlank="1" showInputMessage="1" showErrorMessage="1" sqref="AF2:AF1048576" xr:uid="{0A0942CD-C8E1-4CAC-B8B9-0419921AAF0C}">
      <formula1>$AI$2:$AI$8</formula1>
    </dataValidation>
    <dataValidation type="list" allowBlank="1" showInputMessage="1" showErrorMessage="1" sqref="AE2:AE1048576" xr:uid="{71023350-F6DB-482E-AD26-0F9830FD7694}">
      <formula1>$AH$2:$AH$9</formula1>
    </dataValidation>
  </dataValidations>
  <hyperlinks>
    <hyperlink ref="AG217" r:id="rId1" xr:uid="{86EA5CF2-CA30-4951-8B86-D6393B681921}"/>
    <hyperlink ref="AG227" r:id="rId2" display="https://www.zdf.de/zdfunternehmen/2022-jahrbuch-finanzen-jahresabschluss-100.html" xr:uid="{E1D562BA-25CB-4175-A91E-3BCB1DD24983}"/>
    <hyperlink ref="AG232" r:id="rId3" display="https://www.zdf.de/zdfunternehmen/2023-jahrbuch-finanzen-jahresabschluss-100.html" xr:uid="{B8C6AF97-DAA3-4DA9-B145-C01C99BC3E78}"/>
    <hyperlink ref="AG919" r:id="rId4" location="monthly-201801-201812-bar, lastly accessed 14.08.2024" display="https://gs.statcounter.com/search-engine-market-share/mobile/germany/#monthly-201801-201812-bar, lastly accessed 14.08.2024" xr:uid="{E35B076B-C9CC-4F01-A3B0-674AAE13527C}"/>
    <hyperlink ref="AG921" r:id="rId5" location="monthly-201901-201912-bar, lastly accessed 14.08.2024" display="https://gs.statcounter.com/search-engine-market-share/mobile/germany/#monthly-201901-201912-bar, lastly accessed 14.08.2024" xr:uid="{FDE9097E-9FBA-456A-BC64-8D5F3EC668B4}"/>
    <hyperlink ref="AG923" r:id="rId6" location="monthly-202001-202012-bar, lastly accessed 14.08.2024" display="https://gs.statcounter.com/search-engine-market-share/mobile/germany/#monthly-202001-202012-bar, lastly accessed 14.08.2024" xr:uid="{96021813-5347-4643-BA5F-73B6A4ED93DD}"/>
    <hyperlink ref="AG925" r:id="rId7" location="monthly-202101-202112-bar, lastly accessed 14.08.2024" display="https://gs.statcounter.com/search-engine-market-share/mobile/germany/#monthly-202101-202112-bar, lastly accessed 14.08.2024" xr:uid="{8D8D744E-2862-4070-B3F3-33E2CC68745A}"/>
    <hyperlink ref="AG927" r:id="rId8" location="monthly-202201-202212-bar, lastly accessed 14.08.2024" display="https://gs.statcounter.com/search-engine-market-share/mobile/germany/#monthly-202201-202212-bar, lastly accessed 14.08.2024" xr:uid="{B9246B20-EAF1-46A1-9D61-F12B34CB0A02}"/>
    <hyperlink ref="AG929" r:id="rId9" location="monthly-202301-202312-bar, lastly accesses 14.08.2024" display="https://gs.statcounter.com/search-engine-market-share/mobile/germany/#monthly-202301-202312-bar, lastly accesses 14.08.2024" xr:uid="{4E94BC64-007A-4CA6-A034-6B367578D2E5}"/>
    <hyperlink ref="AG932" r:id="rId10" location="monthly-201801-201812-bar, lastly accessed 14.08.24" display="https://gs.statcounter.com/search-engine-market-share/desktop/germany/#monthly-201801-201812-bar, lastly accessed 14.08.24" xr:uid="{E7FAECF8-0B55-4631-9608-F01572434BE6}"/>
    <hyperlink ref="AG936" r:id="rId11" location="monthly-201901-201912-bar, lastly accessed 14.08.24" display="https://gs.statcounter.com/search-engine-market-share/desktop/germany/#monthly-201901-201912-bar, lastly accessed 14.08.24" xr:uid="{71910347-F25B-4804-8888-5E625E4162FB}"/>
    <hyperlink ref="AG940" r:id="rId12" location="monthly-202001-202012-bar, lastly accessed 14.08.24" display="https://gs.statcounter.com/search-engine-market-share/desktop/germany/#monthly-202001-202012-bar, lastly accessed 14.08.24" xr:uid="{12E24694-08E4-4429-8A54-3BFEA4F740C6}"/>
    <hyperlink ref="AG957" r:id="rId13" location="monthly-202301-202312-bar, lastly accessed 14.08.24" display="https://gs.statcounter.com/search-engine-market-share/desktop/germany/#monthly-202301-202312-bar, lastly accessed 14.08.24" xr:uid="{86115A00-96B9-4559-91B3-C93420658994}"/>
    <hyperlink ref="AG1013" r:id="rId14" location="monthly-201801-201812-bar, lastly accessed 14.08.2024" display="https://gs.statcounter.com/search-engine-market-share/all/germany/#monthly-201801-201812-bar, lastly accessed 14.08.2024" xr:uid="{FD1FD051-1347-49E0-8BDD-2202DD3AD7AA}"/>
    <hyperlink ref="AG1019" r:id="rId15" location="monthly-202001-202012-bar, lastly accessed 14.08.2024" display="https://gs.statcounter.com/search-engine-market-share/all/germany/#monthly-202001-202012-bar, lastly accessed 14.08.2024" xr:uid="{A1F253CE-B3DD-420F-9B06-7842035B4EE9}"/>
    <hyperlink ref="AG1016" r:id="rId16" location="monthly-201901-201912-bar, lastly accessed 14.08.2024" display="https://gs.statcounter.com/search-engine-market-share/all/germany/#monthly-201901-201912-bar, lastly accessed 14.08.2024" xr:uid="{1F12C6E0-713D-4B7E-8230-E28DBBF3DC70}"/>
    <hyperlink ref="AG1022" r:id="rId17" location="monthly-202101-202112-bar, lastly accessed 14.08.2024" display="https://gs.statcounter.com/search-engine-market-share/all/germany/#monthly-202101-202112-bar, lastly accessed 14.08.2024" xr:uid="{0D7EFE3F-3BB5-4C69-B1EB-4AE5B8C4736B}"/>
    <hyperlink ref="AG1026" r:id="rId18" location="monthly-202201-202212-bar, lastly accessed 14.08.2024" display="https://gs.statcounter.com/search-engine-market-share/all/germany/#monthly-202201-202212-bar, lastly accessed 14.08.2024" xr:uid="{5C797D97-3A20-40EB-AAB7-B337C1984D1C}"/>
    <hyperlink ref="AG1029" r:id="rId19" location="monthly-202301-202312-bar, lastly accessed 14.08.2024" display="https://gs.statcounter.com/search-engine-market-share/all/germany/#monthly-202301-202312-bar, lastly accessed 14.08.2024" xr:uid="{27298448-3B63-4588-9046-230BD927FAD1}"/>
    <hyperlink ref="AG1347" r:id="rId20" location="monthly-201901-201912, lastly accessed 12.08.2024" display="https://gs.statcounter.com/browser-market-share/mobile/germany/#monthly-201901-201912, lastly accessed 12.08.2024" xr:uid="{E670C98F-DF4B-493C-A7CF-002978CC21D5}"/>
    <hyperlink ref="AG1357" r:id="rId21" location="monthly-202101-202112-bar, lastly accesses 12.08.2024" display="https://gs.statcounter.com/browser-market-share/mobile/germany/#monthly-202101-202112-bar, lastly accesses 12.08.2024" xr:uid="{D36F6460-9764-4051-8FAE-7147B655BF4B}"/>
    <hyperlink ref="AG1352" r:id="rId22" location="monthly-202001-202012-bar, lastly accessed 12.08.2024" display="https://gs.statcounter.com/browser-market-share/mobile/germany/#monthly-202001-202012-bar, lastly accessed 12.08.2024" xr:uid="{EB46F715-19BE-4F4F-A3B6-D1DE123E170D}"/>
    <hyperlink ref="AG1363" r:id="rId23" location="monthly-202201-202212-bar, lastly accesses 12.08.2024" display="https://gs.statcounter.com/browser-market-share/mobile/germany/#monthly-202201-202212-bar, lastly accesses 12.08.2024" xr:uid="{A0AF348A-F78A-448B-87BE-F4850D79C042}"/>
    <hyperlink ref="AG1370" r:id="rId24" location="monthly-202301-202312-bar, lastly accessed 12.08.2024" display="https://gs.statcounter.com/browser-market-share/mobile/germany/#monthly-202301-202312-bar, lastly accessed 12.08.2024" xr:uid="{8822F331-CFB1-4AB0-AF95-357BE6EC1491}"/>
    <hyperlink ref="AG1166" r:id="rId25" location="monthly-201801-201812-bar, lastly accessed 14.08.2024" display="https://gs.statcounter.com/browser-market-share/mobile/germany/#monthly-201801-201812-bar, lastly accessed 14.08.2024" xr:uid="{43453754-3AC3-4367-AD21-C02A58923ECF}"/>
    <hyperlink ref="AG1237" r:id="rId26" location="monthly-202301-202312-bar, 12.08.2024" display="https://gs.statcounter.com/browser-market-share/desktop/germany/#monthly-202301-202312-bar, 12.08.2024" xr:uid="{B590F6BC-9E1B-42D4-9878-AA3E4A2F5648}"/>
    <hyperlink ref="AG1231" r:id="rId27" location="monthly-202201-202212-bar, lastly accessed 12.08.2024" display="https://gs.statcounter.com/browser-market-share/desktop/germany/#monthly-202201-202212-bar, lastly accessed 12.08.2024" xr:uid="{03D79CA3-4A74-49A5-AB85-6EFDEDFB3D02}"/>
    <hyperlink ref="AG1219" r:id="rId28" location="monthly-202001-202012, lastly accessed 12.08.2024" display="https://gs.statcounter.com/browser-market-share/desktop/germany/#monthly-202001-202012, lastly accessed 12.08.2024" xr:uid="{6333A037-67DA-4C12-A021-EF57EFBA6B66}"/>
    <hyperlink ref="AG1225" r:id="rId29" location="monthly-202101-202112-bar, lastly accessed 12.08.2024" display="https://gs.statcounter.com/browser-market-share/desktop/germany/#monthly-202101-202112-bar, lastly accessed 12.08.2024" xr:uid="{8E0A0124-F21F-42D0-803C-763BAEFF7270}"/>
    <hyperlink ref="AG1214" r:id="rId30" location="monthly-201901-201912-bar, lastly accessed, 12.08.2024" display="https://gs.statcounter.com/browser-market-share/desktop/germany/#monthly-201901-201912-bar, lastly accessed, 12.08.2024" xr:uid="{57F861D1-66E2-4C29-8ECF-EE73FBDD2E09}"/>
    <hyperlink ref="AG1199" r:id="rId31" location="monthly-201801-201812-bar, lastly accessed 14.08.2024" display="https://gs.statcounter.com/browser-market-share/desktop/germany/#monthly-201801-201812-bar, lastly accessed 14.08.2024" xr:uid="{00E413D2-820D-477D-9551-EFE5748EC225}"/>
    <hyperlink ref="AG222" r:id="rId32" xr:uid="{58F38946-E7A3-490D-9CC7-FE82F72D2912}"/>
    <hyperlink ref="AG920" r:id="rId33" location="monthly-201801-201812-bar, lastly accessed 14.08.2024" display="https://gs.statcounter.com/search-engine-market-share/mobile/germany/#monthly-201801-201812-bar, lastly accessed 14.08.2024" xr:uid="{F3ED3089-D919-4F5E-BCE3-C0C1ABBD5461}"/>
    <hyperlink ref="AG922" r:id="rId34" location="monthly-201901-201912-bar, lastly accessed 14.08.2024" display="https://gs.statcounter.com/search-engine-market-share/mobile/germany/#monthly-201901-201912-bar, lastly accessed 14.08.2024" xr:uid="{BBCB2368-9DA9-40E4-AD05-D0A24BBDAF89}"/>
    <hyperlink ref="AG924" r:id="rId35" location="monthly-202001-202012-bar, lastly accessed 14.08.2024" display="https://gs.statcounter.com/search-engine-market-share/mobile/germany/#monthly-202001-202012-bar, lastly accessed 14.08.2024" xr:uid="{A5541C80-59A5-4680-9239-3CD3C42DB3D3}"/>
    <hyperlink ref="AG926" r:id="rId36" location="monthly-202101-202112-bar, lastly accessed 14.08.2024" display="https://gs.statcounter.com/search-engine-market-share/mobile/germany/#monthly-202101-202112-bar, lastly accessed 14.08.2024" xr:uid="{26C14432-8383-422D-9A48-FC51EAADDBF5}"/>
    <hyperlink ref="AG928" r:id="rId37" location="monthly-202201-202212-bar, lastly accessed 14.08.2024" display="https://gs.statcounter.com/search-engine-market-share/mobile/germany/#monthly-202201-202212-bar, lastly accessed 14.08.2024" xr:uid="{A945271E-5015-4AA5-ACC4-77EAC3B48BC9}"/>
    <hyperlink ref="AG930:AG931" r:id="rId38" location="monthly-202301-202312-bar, lastly accesses 14.08.2024" display="https://gs.statcounter.com/search-engine-market-share/mobile/germany/#monthly-202301-202312-bar, lastly accesses 14.08.2024" xr:uid="{786F272F-0283-44A9-A1C9-B8BE1C8CC1A4}"/>
    <hyperlink ref="AG933:AG935" r:id="rId39" location="monthly-201801-201812-bar, lastly accessed 14.08.24" display="https://gs.statcounter.com/search-engine-market-share/desktop/germany/#monthly-201801-201812-bar, lastly accessed 14.08.24" xr:uid="{11E1CFE2-A34F-4391-8FA3-7DE569AD2EFA}"/>
    <hyperlink ref="AG937:AG939" r:id="rId40" location="monthly-201901-201912-bar, lastly accessed 14.08.24" display="https://gs.statcounter.com/search-engine-market-share/desktop/germany/#monthly-201901-201912-bar, lastly accessed 14.08.24" xr:uid="{81F0452B-84A4-477C-9B59-7FC530CC0E2C}"/>
    <hyperlink ref="AG941:AG944" r:id="rId41" location="monthly-202001-202012-bar, lastly accessed 14.08.24" display="https://gs.statcounter.com/search-engine-market-share/desktop/germany/#monthly-202001-202012-bar, lastly accessed 14.08.24" xr:uid="{8677B844-6A5A-4AF2-BBB9-7E8B9BE4F991}"/>
    <hyperlink ref="AG1014:AG1015" r:id="rId42" location="monthly-201801-201812-bar, lastly accessed 14.08.2024" display="https://gs.statcounter.com/search-engine-market-share/all/germany/#monthly-201801-201812-bar, lastly accessed 14.08.2024" xr:uid="{72FDA575-168B-431A-9461-23C6E84AA779}"/>
    <hyperlink ref="AG1017:AG1018" r:id="rId43" location="monthly-201901-201912-bar, lastly accessed 14.08.2024" display="https://gs.statcounter.com/search-engine-market-share/all/germany/#monthly-201901-201912-bar, lastly accessed 14.08.2024" xr:uid="{55970996-57BD-455B-8766-1EE28272533F}"/>
    <hyperlink ref="AG1020:AG1021" r:id="rId44" location="monthly-202001-202012-bar, lastly accessed 14.08.2024" display="https://gs.statcounter.com/search-engine-market-share/all/germany/#monthly-202001-202012-bar, lastly accessed 14.08.2024" xr:uid="{C35442EE-53F4-42E5-905B-AE8822E1DF35}"/>
    <hyperlink ref="AG1023:AG1025" r:id="rId45" location="monthly-202101-202112-bar, lastly accessed 14.08.2024" display="https://gs.statcounter.com/search-engine-market-share/all/germany/#monthly-202101-202112-bar, lastly accessed 14.08.2024" xr:uid="{B7B2652C-563E-4AFE-898E-C959D5EE0227}"/>
    <hyperlink ref="AG1027:AG1028" r:id="rId46" location="monthly-202201-202212-bar, lastly accessed 14.08.2024" display="https://gs.statcounter.com/search-engine-market-share/all/germany/#monthly-202201-202212-bar, lastly accessed 14.08.2024" xr:uid="{F9BF49D3-AB5B-465A-9359-EDC7780BCD14}"/>
    <hyperlink ref="AG1030:AG1032" r:id="rId47" location="monthly-202301-202312-bar, lastly accessed 14.08.2024" display="https://gs.statcounter.com/search-engine-market-share/all/germany/#monthly-202301-202312-bar, lastly accessed 14.08.2024" xr:uid="{EA7D071D-8209-4D05-8E15-C56B34770120}"/>
    <hyperlink ref="AG1167:AG1170" r:id="rId48" location="monthly-201801-201812-bar, lastly accessed 14.08.2024" display="https://gs.statcounter.com/browser-market-share/mobile/germany/#monthly-201801-201812-bar, lastly accessed 14.08.2024" xr:uid="{BC89F0BD-851A-4514-A6A8-3505CCB8961C}"/>
    <hyperlink ref="AG1200:AG1203" r:id="rId49" location="monthly-201801-201812-bar, lastly accessed 14.08.2024" display="https://gs.statcounter.com/browser-market-share/desktop/germany/#monthly-201801-201812-bar, lastly accessed 14.08.2024" xr:uid="{1B8F9A56-AD3F-4934-9E16-E9263F310CC9}"/>
    <hyperlink ref="AG1215:AG1218" r:id="rId50" location="monthly-201901-201912-bar, lastly accessed, 12.08.2024" display="https://gs.statcounter.com/browser-market-share/desktop/germany/#monthly-201901-201912-bar, lastly accessed, 12.08.2024" xr:uid="{739C4E03-E221-4E71-9837-4C76354F2A66}"/>
    <hyperlink ref="AG1220:AG1224" r:id="rId51" location="monthly-202001-202012, lastly accessed 12.08.2024" display="https://gs.statcounter.com/browser-market-share/desktop/germany/#monthly-202001-202012, lastly accessed 12.08.2024" xr:uid="{5E21EC1E-10F8-45B0-82EF-35893F52404A}"/>
    <hyperlink ref="AG1226:AG1230" r:id="rId52" location="monthly-202101-202112-bar, lastly accessed 12.08.2024" display="https://gs.statcounter.com/browser-market-share/desktop/germany/#monthly-202101-202112-bar, lastly accessed 12.08.2024" xr:uid="{974718E8-1680-4AAA-9D09-43E3137C4B7A}"/>
    <hyperlink ref="AG1232:AG1236" r:id="rId53" location="monthly-202201-202212-bar, lastly accessed 12.08.2024" display="https://gs.statcounter.com/browser-market-share/desktop/germany/#monthly-202201-202212-bar, lastly accessed 12.08.2024" xr:uid="{461B6386-CF19-4AFA-B7AF-90C670DDE180}"/>
    <hyperlink ref="AG1238:AG1242" r:id="rId54" location="monthly-202301-202312-bar, 12.08.2024" display="https://gs.statcounter.com/browser-market-share/desktop/germany/#monthly-202301-202312-bar, 12.08.2024" xr:uid="{8A87A8D4-0DF1-4ECE-A844-6BA99D7D8938}"/>
    <hyperlink ref="AG1348:AG1351" r:id="rId55" location="monthly-201901-201912, lastly accessed 12.08.2024" display="https://gs.statcounter.com/browser-market-share/mobile/germany/#monthly-201901-201912, lastly accessed 12.08.2024" xr:uid="{D5E86736-86DF-43A3-9B21-2DC1DEB6CF2A}"/>
    <hyperlink ref="AG1353:AG1356" r:id="rId56" location="monthly-202001-202012-bar, lastly accessed 12.08.2024" display="https://gs.statcounter.com/browser-market-share/mobile/germany/#monthly-202001-202012-bar, lastly accessed 12.08.2024" xr:uid="{DA963138-49F8-493F-81B4-3AC2C2730D80}"/>
    <hyperlink ref="AG1358:AG1362" r:id="rId57" location="monthly-202101-202112-bar, lastly accesses 12.08.2024" display="https://gs.statcounter.com/browser-market-share/mobile/germany/#monthly-202101-202112-bar, lastly accesses 12.08.2024" xr:uid="{908F917D-A5D4-4D00-A083-FBA9F12A905F}"/>
    <hyperlink ref="AG1364:AG1369" r:id="rId58" location="monthly-202201-202212-bar, lastly accesses 12.08.2024" display="https://gs.statcounter.com/browser-market-share/mobile/germany/#monthly-202201-202212-bar, lastly accesses 12.08.2024" xr:uid="{85D60F88-FB37-4340-B3D7-A6B1FDFB5DCC}"/>
    <hyperlink ref="AG1371:AG1375" r:id="rId59" location="monthly-202301-202312-bar, lastly accessed 12.08.2024" display="https://gs.statcounter.com/browser-market-share/mobile/germany/#monthly-202301-202312-bar, lastly accessed 12.08.2024" xr:uid="{AA95BF4D-8AD5-4562-8206-05B0A7AC66E1}"/>
    <hyperlink ref="AG952:AG956" r:id="rId60" location="monthly-202201-202212-bar, lastly accessed 14.08.2024" display="https://gs.statcounter.com/search-engine-market-share/desktop/germany/#monthly-202201-202212-bar, lastly accessed 14.08.2024" xr:uid="{DB84284D-BC75-4B0B-8E30-9CA6D5270A1C}"/>
    <hyperlink ref="AG947" r:id="rId61" location="monthly-202101-202112-bar, lastly accessed 14.08.2024" display="https://gs.statcounter.com/search-engine-market-share/desktop/germany/#monthly-202101-202112-bar, lastly accessed 14.08.2024" xr:uid="{F7F103D3-26DF-4D26-8523-65E754FCF27C}"/>
    <hyperlink ref="AG946" r:id="rId62" location="monthly-202101-202112-bar, lastly accessed 14.08.2024" display="https://gs.statcounter.com/search-engine-market-share/desktop/germany/#monthly-202101-202112-bar, lastly accessed 14.08.2024" xr:uid="{DCCC3A75-96C9-4BB1-BB96-C2C1F23C6135}"/>
    <hyperlink ref="AG945" r:id="rId63" location="monthly-202101-202112-bar, lastly accessed 14.08.2024" display="https://gs.statcounter.com/search-engine-market-share/desktop/germany/#monthly-202101-202112-bar, lastly accessed 14.08.2024" xr:uid="{66C0D9EC-1A09-4CAF-A0E6-8F89A3AB333E}"/>
    <hyperlink ref="AG950" r:id="rId64" location="monthly-202101-202112-bar, lastly accessed 14.08.2024" display="https://gs.statcounter.com/search-engine-market-share/desktop/germany/#monthly-202101-202112-bar, lastly accessed 14.08.2024" xr:uid="{9E5D578E-5E9A-4ACC-AEC2-E6715BD57D8C}"/>
    <hyperlink ref="AG949" r:id="rId65" location="monthly-202101-202112-bar, lastly accessed 14.08.2024" display="https://gs.statcounter.com/search-engine-market-share/desktop/germany/#monthly-202101-202112-bar, lastly accessed 14.08.2024" xr:uid="{91863D97-C897-4FB9-86BA-9A98F2B567AE}"/>
    <hyperlink ref="AG948" r:id="rId66" location="monthly-202101-202112-bar, lastly accessed 14.08.2024" display="https://gs.statcounter.com/search-engine-market-share/desktop/germany/#monthly-202101-202112-bar, lastly accessed 14.08.2024" xr:uid="{14BC9D27-DCFA-49B6-B218-A4D60C51D8C0}"/>
    <hyperlink ref="AG951" r:id="rId67" location="monthly-202201-202212-bar, lastly accessed 14.08.2024" display="https://gs.statcounter.com/search-engine-market-share/desktop/germany/#monthly-202201-202212-bar, lastly accessed 14.08.2024" xr:uid="{CA38CF83-641E-4439-86C9-68ABD8823934}"/>
    <hyperlink ref="AG958:AG962" r:id="rId68" location="monthly-202301-202312-bar, lastly accessed 14.08.24" display="https://gs.statcounter.com/search-engine-market-share/desktop/germany/#monthly-202301-202312-bar, lastly accessed 14.08.24" xr:uid="{076B9822-4A4A-4533-92BF-612A988FB860}"/>
  </hyperlinks>
  <pageMargins left="0.7" right="0.7" top="0.75" bottom="0.75" header="0.3" footer="0.3"/>
  <pageSetup paperSize="9" orientation="portrait" horizontalDpi="0" verticalDpi="0"/>
  <legacyDrawing r:id="rId6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7017-D0FF-47B3-B372-F128DE07E14B}">
  <sheetPr filterMode="1"/>
  <dimension ref="A1:AF1240"/>
  <sheetViews>
    <sheetView zoomScaleNormal="70" workbookViewId="0">
      <pane xSplit="3" ySplit="1" topLeftCell="D206" activePane="bottomRight" state="frozen"/>
      <selection pane="bottomRight" activeCell="C223" sqref="C223"/>
      <selection pane="bottomLeft" activeCell="A2" sqref="A2"/>
      <selection pane="topRight" activeCell="D1" sqref="D1"/>
    </sheetView>
  </sheetViews>
  <sheetFormatPr defaultColWidth="12.28515625" defaultRowHeight="18" customHeight="1"/>
  <cols>
    <col min="1" max="1" width="21.42578125" style="15" customWidth="1"/>
    <col min="2" max="2" width="12.28515625" style="15"/>
    <col min="3" max="3" width="43.7109375" style="15" bestFit="1" customWidth="1"/>
    <col min="4" max="4" width="16.85546875" style="157" customWidth="1"/>
    <col min="5" max="5" width="19" style="157" customWidth="1"/>
    <col min="6" max="6" width="16.28515625" style="157" hidden="1" customWidth="1"/>
    <col min="7" max="9" width="16.140625" style="157" hidden="1" customWidth="1"/>
    <col min="10" max="10" width="9.28515625" style="157" customWidth="1"/>
    <col min="11" max="11" width="13.7109375" style="157" customWidth="1"/>
    <col min="12" max="12" width="12.7109375" style="157" customWidth="1"/>
    <col min="13" max="13" width="15.28515625" style="9" hidden="1" customWidth="1"/>
    <col min="14" max="14" width="147.28515625" style="9" customWidth="1"/>
    <col min="15" max="16384" width="12.28515625" style="9"/>
  </cols>
  <sheetData>
    <row r="1" spans="1:14" s="156" customFormat="1" ht="18" customHeight="1">
      <c r="A1" s="19" t="s">
        <v>0</v>
      </c>
      <c r="B1" s="22" t="s">
        <v>1</v>
      </c>
      <c r="C1" s="22" t="s">
        <v>2</v>
      </c>
      <c r="D1" s="154" t="s">
        <v>1052</v>
      </c>
      <c r="E1" s="154" t="s">
        <v>1053</v>
      </c>
      <c r="F1" s="154" t="s">
        <v>1054</v>
      </c>
      <c r="G1" s="154" t="s">
        <v>1055</v>
      </c>
      <c r="H1" s="154" t="s">
        <v>1054</v>
      </c>
      <c r="I1" s="154" t="s">
        <v>1055</v>
      </c>
      <c r="J1" s="155" t="s">
        <v>1056</v>
      </c>
      <c r="K1" s="155" t="s">
        <v>1057</v>
      </c>
      <c r="L1" s="155" t="s">
        <v>1058</v>
      </c>
      <c r="M1" s="156" t="s">
        <v>1059</v>
      </c>
      <c r="N1" s="1" t="s">
        <v>21</v>
      </c>
    </row>
    <row r="2" spans="1:14" ht="18" hidden="1" customHeight="1">
      <c r="A2" s="15" t="s">
        <v>22</v>
      </c>
      <c r="B2" s="15">
        <v>1984</v>
      </c>
      <c r="C2" s="12" t="s">
        <v>23</v>
      </c>
      <c r="E2" s="157">
        <v>10000</v>
      </c>
      <c r="J2" s="158"/>
      <c r="K2" s="158"/>
      <c r="L2" s="158"/>
      <c r="M2" s="7"/>
      <c r="N2" s="91"/>
    </row>
    <row r="3" spans="1:14" ht="18" hidden="1" customHeight="1">
      <c r="A3" s="15" t="s">
        <v>22</v>
      </c>
      <c r="B3" s="15">
        <v>1988</v>
      </c>
      <c r="C3" s="12" t="s">
        <v>23</v>
      </c>
      <c r="E3" s="157">
        <v>10000</v>
      </c>
      <c r="J3" s="158"/>
      <c r="K3" s="158"/>
      <c r="L3" s="158"/>
      <c r="M3" s="7"/>
      <c r="N3" s="7"/>
    </row>
    <row r="4" spans="1:14" ht="18" hidden="1" customHeight="1">
      <c r="A4" s="15" t="s">
        <v>22</v>
      </c>
      <c r="B4" s="15">
        <v>1992</v>
      </c>
      <c r="C4" s="12" t="s">
        <v>23</v>
      </c>
      <c r="E4" s="157">
        <v>10000</v>
      </c>
      <c r="J4" s="158"/>
      <c r="K4" s="158"/>
      <c r="L4" s="158"/>
      <c r="M4" s="7"/>
      <c r="N4" s="7"/>
    </row>
    <row r="5" spans="1:14" ht="18" hidden="1" customHeight="1">
      <c r="A5" s="15" t="s">
        <v>22</v>
      </c>
      <c r="B5" s="15">
        <v>1996</v>
      </c>
      <c r="C5" s="12" t="s">
        <v>23</v>
      </c>
      <c r="E5" s="157">
        <v>10000</v>
      </c>
      <c r="F5" s="158"/>
      <c r="G5" s="158"/>
      <c r="H5" s="158"/>
      <c r="I5" s="158"/>
      <c r="J5" s="158"/>
      <c r="K5" s="158"/>
      <c r="L5" s="158"/>
      <c r="M5" s="7"/>
      <c r="N5" s="7"/>
    </row>
    <row r="6" spans="1:14" ht="18" hidden="1" customHeight="1">
      <c r="A6" s="15" t="s">
        <v>22</v>
      </c>
      <c r="B6" s="15">
        <v>2000</v>
      </c>
      <c r="C6" s="12" t="s">
        <v>23</v>
      </c>
      <c r="E6" s="157">
        <v>9663</v>
      </c>
      <c r="J6" s="158"/>
      <c r="K6" s="158"/>
      <c r="L6" s="158"/>
      <c r="M6" s="7"/>
      <c r="N6" s="7"/>
    </row>
    <row r="7" spans="1:14" ht="18" hidden="1" customHeight="1">
      <c r="A7" s="15" t="s">
        <v>22</v>
      </c>
      <c r="B7" s="15">
        <v>2004</v>
      </c>
      <c r="C7" s="12" t="s">
        <v>23</v>
      </c>
      <c r="E7" s="157">
        <v>8520</v>
      </c>
      <c r="F7" s="158"/>
      <c r="G7" s="158"/>
      <c r="H7" s="158"/>
      <c r="I7" s="158"/>
      <c r="J7" s="158"/>
      <c r="K7" s="158"/>
      <c r="L7" s="158"/>
      <c r="M7" s="7"/>
      <c r="N7" s="7"/>
    </row>
    <row r="8" spans="1:14" ht="18" hidden="1" customHeight="1">
      <c r="A8" s="15" t="s">
        <v>22</v>
      </c>
      <c r="B8" s="15">
        <v>2007</v>
      </c>
      <c r="C8" s="12" t="s">
        <v>23</v>
      </c>
      <c r="E8" s="157">
        <v>6948</v>
      </c>
      <c r="F8" s="158"/>
      <c r="G8" s="158"/>
      <c r="H8" s="158"/>
      <c r="I8" s="158"/>
      <c r="J8" s="158"/>
      <c r="K8" s="158"/>
      <c r="L8" s="158"/>
      <c r="M8" s="7"/>
      <c r="N8" s="7"/>
    </row>
    <row r="9" spans="1:14" ht="18" hidden="1" customHeight="1">
      <c r="A9" s="15" t="s">
        <v>22</v>
      </c>
      <c r="B9" s="15">
        <v>2009</v>
      </c>
      <c r="C9" s="12" t="s">
        <v>23</v>
      </c>
      <c r="E9" s="157">
        <v>5015</v>
      </c>
      <c r="F9" s="158"/>
      <c r="G9" s="158"/>
      <c r="H9" s="158"/>
      <c r="I9" s="158"/>
      <c r="J9" s="158"/>
      <c r="K9" s="158"/>
      <c r="L9" s="158"/>
      <c r="M9" s="7"/>
      <c r="N9" s="7"/>
    </row>
    <row r="10" spans="1:14" ht="18" hidden="1" customHeight="1">
      <c r="A10" s="15" t="s">
        <v>22</v>
      </c>
      <c r="B10" s="15">
        <v>2013</v>
      </c>
      <c r="C10" s="12" t="s">
        <v>23</v>
      </c>
      <c r="E10" s="157">
        <v>3542</v>
      </c>
      <c r="F10" s="158"/>
      <c r="G10" s="158"/>
      <c r="H10" s="158"/>
      <c r="I10" s="158"/>
      <c r="J10" s="158"/>
      <c r="K10" s="158"/>
      <c r="L10" s="158"/>
      <c r="M10" s="7"/>
      <c r="N10" s="7"/>
    </row>
    <row r="11" spans="1:14" ht="18" customHeight="1">
      <c r="A11" s="15" t="s">
        <v>26</v>
      </c>
      <c r="B11" s="15">
        <v>2019</v>
      </c>
      <c r="C11" s="12" t="s">
        <v>23</v>
      </c>
      <c r="D11" s="157">
        <f>SUM('Unified sheet'!I2:I5)</f>
        <v>84.177097193798474</v>
      </c>
      <c r="E11" s="157">
        <f>SUMSQ('Unified sheet'!I2:I10)</f>
        <v>2504.2407749187632</v>
      </c>
      <c r="F11" s="158"/>
      <c r="G11" s="158"/>
      <c r="H11" s="158"/>
      <c r="I11" s="158"/>
      <c r="J11" s="158">
        <f>SUM('Unified sheet'!I2:I3)</f>
        <v>63.445445741905317</v>
      </c>
      <c r="K11" s="158">
        <f>SUM('Unified sheet'!I2:I4)</f>
        <v>74.200225638162905</v>
      </c>
      <c r="L11" s="158">
        <f>SUM('Unified sheet'!I2)</f>
        <v>42.400372441462451</v>
      </c>
      <c r="M11" s="7"/>
      <c r="N11" s="7" t="s">
        <v>1060</v>
      </c>
    </row>
    <row r="12" spans="1:14" ht="18" customHeight="1">
      <c r="A12" s="15" t="s">
        <v>26</v>
      </c>
      <c r="B12" s="15">
        <v>2020</v>
      </c>
      <c r="C12" s="12" t="s">
        <v>23</v>
      </c>
      <c r="D12" s="157">
        <f>SUM('Unified sheet'!I12:I15)</f>
        <v>89.349673158470594</v>
      </c>
      <c r="E12" s="157">
        <f>SUMSQ('Unified sheet'!I12:I19)</f>
        <v>2857.6442688627253</v>
      </c>
      <c r="F12" s="158"/>
      <c r="G12" s="158"/>
      <c r="H12" s="158"/>
      <c r="I12" s="158"/>
      <c r="J12" s="158">
        <f>SUM('Unified sheet'!I12:I13)</f>
        <v>73.022767206328382</v>
      </c>
      <c r="K12" s="158">
        <f>SUM('Unified sheet'!I12:I14)</f>
        <v>82.760057481714838</v>
      </c>
      <c r="L12" s="158">
        <f>SUM('Unified sheet'!I12)</f>
        <v>41.355246765094918</v>
      </c>
      <c r="M12" s="7"/>
      <c r="N12" s="7" t="s">
        <v>1060</v>
      </c>
    </row>
    <row r="13" spans="1:14" ht="18" customHeight="1">
      <c r="A13" s="15" t="s">
        <v>26</v>
      </c>
      <c r="B13" s="15">
        <v>2021</v>
      </c>
      <c r="C13" s="12" t="s">
        <v>23</v>
      </c>
      <c r="D13" s="157">
        <f>SUM('Unified sheet'!I21:I24)</f>
        <v>88.195435355229463</v>
      </c>
      <c r="E13" s="157">
        <f>SUMSQ('Unified sheet'!I21:I29)</f>
        <v>2786.950772100522</v>
      </c>
      <c r="F13" s="158"/>
      <c r="G13" s="158"/>
      <c r="H13" s="158"/>
      <c r="I13" s="158"/>
      <c r="J13" s="158">
        <f>SUM('Unified sheet'!I21:I22)</f>
        <v>72.196570995946388</v>
      </c>
      <c r="K13" s="158">
        <f>SUM('Unified sheet'!I21:I23)</f>
        <v>81.582746673256182</v>
      </c>
      <c r="L13" s="158">
        <f>'Unified sheet'!I21</f>
        <v>40.672761972860293</v>
      </c>
      <c r="M13" s="7"/>
      <c r="N13" s="7" t="s">
        <v>1060</v>
      </c>
    </row>
    <row r="14" spans="1:14" ht="18" customHeight="1">
      <c r="A14" s="15" t="s">
        <v>26</v>
      </c>
      <c r="B14" s="15">
        <v>2022</v>
      </c>
      <c r="C14" s="12" t="s">
        <v>23</v>
      </c>
      <c r="D14" s="157">
        <f>SUM('Unified sheet'!I31:I34)</f>
        <v>87.377447483763916</v>
      </c>
      <c r="E14" s="157">
        <f>SUMSQ('Unified sheet'!I31:I39)</f>
        <v>2669.8816052421184</v>
      </c>
      <c r="F14" s="158"/>
      <c r="G14" s="158"/>
      <c r="H14" s="158"/>
      <c r="I14" s="158"/>
      <c r="J14" s="158">
        <f>SUM('Unified sheet'!I31:I32)</f>
        <v>70.805230663204725</v>
      </c>
      <c r="K14" s="158">
        <f>SUM('Unified sheet'!I31:I33)</f>
        <v>80.398620783502082</v>
      </c>
      <c r="L14" s="158">
        <f>SUM('Unified sheet'!I31)</f>
        <v>38.046973251891373</v>
      </c>
      <c r="M14" s="7"/>
      <c r="N14" s="7" t="s">
        <v>1060</v>
      </c>
    </row>
    <row r="15" spans="1:14" ht="18" customHeight="1">
      <c r="A15" s="15" t="s">
        <v>26</v>
      </c>
      <c r="B15" s="15">
        <v>2023</v>
      </c>
      <c r="C15" s="12" t="s">
        <v>23</v>
      </c>
      <c r="D15" s="157">
        <f>SUM('Unified sheet'!I41:I44)</f>
        <v>66.907240961729201</v>
      </c>
      <c r="E15" s="157">
        <f>SUMSQ('Unified sheet'!I41:I49)</f>
        <v>1538.392739607915</v>
      </c>
      <c r="F15" s="158"/>
      <c r="G15" s="158"/>
      <c r="H15" s="158"/>
      <c r="I15" s="158"/>
      <c r="J15" s="158">
        <f>SUM('Unified sheet'!I41:I42)</f>
        <v>53.784176864704335</v>
      </c>
      <c r="K15" s="158">
        <f>SUM('Unified sheet'!I41:I43)</f>
        <v>61.118939966252363</v>
      </c>
      <c r="L15" s="158">
        <f>'Unified sheet'!I41</f>
        <v>27.027661407472635</v>
      </c>
      <c r="M15" s="7"/>
      <c r="N15" s="7" t="s">
        <v>1060</v>
      </c>
    </row>
    <row r="16" spans="1:14" ht="18" hidden="1" customHeight="1">
      <c r="A16" s="15" t="s">
        <v>22</v>
      </c>
      <c r="B16" s="15">
        <v>1992</v>
      </c>
      <c r="C16" s="12" t="s">
        <v>31</v>
      </c>
      <c r="E16" s="157">
        <v>5269</v>
      </c>
      <c r="F16" s="158"/>
      <c r="G16" s="158"/>
      <c r="H16" s="158"/>
      <c r="I16" s="158"/>
      <c r="J16" s="158"/>
      <c r="K16" s="158"/>
      <c r="L16" s="158"/>
      <c r="M16" s="7"/>
      <c r="N16" s="7"/>
    </row>
    <row r="17" spans="1:14" ht="18" hidden="1" customHeight="1">
      <c r="A17" s="15" t="s">
        <v>22</v>
      </c>
      <c r="B17" s="15">
        <v>1996</v>
      </c>
      <c r="C17" s="12" t="s">
        <v>31</v>
      </c>
      <c r="E17" s="157">
        <v>4127</v>
      </c>
      <c r="J17" s="158"/>
      <c r="K17" s="158"/>
      <c r="L17" s="158"/>
      <c r="M17" s="7"/>
      <c r="N17" s="7"/>
    </row>
    <row r="18" spans="1:14" ht="18" hidden="1" customHeight="1">
      <c r="A18" s="15" t="s">
        <v>22</v>
      </c>
      <c r="B18" s="15">
        <v>2000</v>
      </c>
      <c r="C18" s="12" t="s">
        <v>31</v>
      </c>
      <c r="E18" s="157">
        <v>3407</v>
      </c>
      <c r="J18" s="158"/>
      <c r="K18" s="158"/>
      <c r="L18" s="158"/>
      <c r="M18" s="7"/>
      <c r="N18" s="7"/>
    </row>
    <row r="19" spans="1:14" ht="18" hidden="1" customHeight="1">
      <c r="A19" s="15" t="s">
        <v>22</v>
      </c>
      <c r="B19" s="15">
        <v>2004</v>
      </c>
      <c r="C19" s="12" t="s">
        <v>31</v>
      </c>
      <c r="E19" s="157">
        <v>3196</v>
      </c>
      <c r="J19" s="158"/>
      <c r="K19" s="158"/>
      <c r="L19" s="158"/>
      <c r="M19" s="7"/>
      <c r="N19" s="7"/>
    </row>
    <row r="20" spans="1:14" ht="18" hidden="1" customHeight="1">
      <c r="A20" s="15" t="s">
        <v>22</v>
      </c>
      <c r="B20" s="15">
        <v>2008</v>
      </c>
      <c r="C20" s="12" t="s">
        <v>31</v>
      </c>
      <c r="E20" s="157">
        <v>2936</v>
      </c>
      <c r="J20" s="158"/>
      <c r="K20" s="158"/>
      <c r="L20" s="158"/>
      <c r="M20" s="7"/>
      <c r="N20" s="7"/>
    </row>
    <row r="21" spans="1:14" ht="18" hidden="1" customHeight="1">
      <c r="A21" s="15" t="s">
        <v>22</v>
      </c>
      <c r="B21" s="15">
        <v>2012</v>
      </c>
      <c r="C21" s="12" t="s">
        <v>31</v>
      </c>
      <c r="E21" s="157">
        <v>2661</v>
      </c>
      <c r="J21" s="158"/>
      <c r="K21" s="158"/>
      <c r="L21" s="158"/>
      <c r="M21" s="7"/>
      <c r="N21" s="7"/>
    </row>
    <row r="22" spans="1:14" ht="18" hidden="1" customHeight="1">
      <c r="A22" s="15" t="s">
        <v>22</v>
      </c>
      <c r="B22" s="15">
        <v>2013</v>
      </c>
      <c r="C22" s="12" t="s">
        <v>31</v>
      </c>
      <c r="J22" s="158"/>
      <c r="K22" s="158"/>
      <c r="L22" s="158"/>
      <c r="M22" s="7"/>
      <c r="N22" s="7"/>
    </row>
    <row r="23" spans="1:14" ht="18" hidden="1" customHeight="1">
      <c r="A23" s="15" t="s">
        <v>22</v>
      </c>
      <c r="B23" s="15">
        <v>2014</v>
      </c>
      <c r="C23" s="12" t="s">
        <v>31</v>
      </c>
      <c r="J23" s="158"/>
      <c r="K23" s="158"/>
      <c r="L23" s="158"/>
      <c r="M23" s="7"/>
      <c r="N23" s="7"/>
    </row>
    <row r="24" spans="1:14" ht="18" hidden="1" customHeight="1">
      <c r="A24" s="15" t="s">
        <v>22</v>
      </c>
      <c r="B24" s="15">
        <v>2015</v>
      </c>
      <c r="C24" s="12" t="s">
        <v>31</v>
      </c>
      <c r="J24" s="158"/>
      <c r="K24" s="158"/>
      <c r="L24" s="158"/>
      <c r="M24" s="7"/>
      <c r="N24" s="7"/>
    </row>
    <row r="25" spans="1:14" ht="18" hidden="1" customHeight="1">
      <c r="A25" s="15" t="s">
        <v>22</v>
      </c>
      <c r="B25" s="15">
        <v>2016</v>
      </c>
      <c r="C25" s="12" t="s">
        <v>31</v>
      </c>
      <c r="J25" s="158"/>
      <c r="K25" s="158"/>
      <c r="L25" s="158"/>
      <c r="M25" s="7"/>
      <c r="N25" s="7"/>
    </row>
    <row r="26" spans="1:14" ht="18" customHeight="1">
      <c r="A26" s="15" t="s">
        <v>22</v>
      </c>
      <c r="B26" s="15">
        <v>2019</v>
      </c>
      <c r="C26" s="12" t="s">
        <v>31</v>
      </c>
      <c r="D26" s="157">
        <f>SUM('Unified sheet'!I75:I78)</f>
        <v>85.507518796992471</v>
      </c>
      <c r="E26" s="157">
        <f>SUMSQ('Unified sheet'!I75:I79)</f>
        <v>2135.1424472836225</v>
      </c>
      <c r="J26" s="157">
        <f>SUM('Unified sheet'!I75:I76)</f>
        <v>55.65413533834586</v>
      </c>
      <c r="K26" s="158">
        <f>SUM('Unified sheet'!I75:I77)</f>
        <v>75.578947368421041</v>
      </c>
      <c r="L26" s="158">
        <f>'Unified sheet'!I75</f>
        <v>30.665413533834585</v>
      </c>
      <c r="M26" s="159"/>
      <c r="N26" s="7" t="s">
        <v>1060</v>
      </c>
    </row>
    <row r="27" spans="1:14" ht="18" customHeight="1">
      <c r="A27" s="15" t="s">
        <v>22</v>
      </c>
      <c r="B27" s="15">
        <v>2020</v>
      </c>
      <c r="C27" s="12" t="s">
        <v>31</v>
      </c>
      <c r="D27" s="157">
        <f>SUM('Unified sheet'!I81:I84)</f>
        <v>86.465122807017551</v>
      </c>
      <c r="E27" s="157">
        <f>SUMSQ('Unified sheet'!I81:I85)</f>
        <v>2202.8254940135962</v>
      </c>
      <c r="J27" s="158">
        <f>SUM('Unified sheet'!I87:I88)</f>
        <v>57.803773584905656</v>
      </c>
      <c r="K27" s="158">
        <f>SUM('Unified sheet'!I81:I83)</f>
        <v>77.539961013645225</v>
      </c>
      <c r="L27" s="158">
        <f>'Unified sheet'!I81</f>
        <v>31.481481481481481</v>
      </c>
      <c r="M27" s="7"/>
      <c r="N27" s="7" t="s">
        <v>1060</v>
      </c>
    </row>
    <row r="28" spans="1:14" ht="18" customHeight="1">
      <c r="A28" s="15" t="s">
        <v>22</v>
      </c>
      <c r="B28" s="15">
        <v>2021</v>
      </c>
      <c r="C28" s="12" t="s">
        <v>31</v>
      </c>
      <c r="D28" s="157">
        <f>SUM('Unified sheet'!I87:I90)</f>
        <v>90.766037735849054</v>
      </c>
      <c r="E28" s="157">
        <f>SUMSQ('Unified sheet'!I87:I91)</f>
        <v>2406.4560833322034</v>
      </c>
      <c r="J28" s="158">
        <f>SUM('Unified sheet'!I87:I88)</f>
        <v>57.803773584905656</v>
      </c>
      <c r="K28" s="158">
        <f>SUM('Unified sheet'!I87:I89)</f>
        <v>82.260377358490558</v>
      </c>
      <c r="L28" s="158">
        <f>'Unified sheet'!I87</f>
        <v>31.607547169811323</v>
      </c>
      <c r="M28" s="7"/>
      <c r="N28" s="7" t="s">
        <v>1060</v>
      </c>
    </row>
    <row r="29" spans="1:14" ht="18" customHeight="1">
      <c r="A29" s="15" t="s">
        <v>22</v>
      </c>
      <c r="B29" s="15">
        <v>2022</v>
      </c>
      <c r="C29" s="12" t="s">
        <v>31</v>
      </c>
      <c r="D29" s="157">
        <f>SUM('Unified sheet'!I93:I96)</f>
        <v>90.12931347620777</v>
      </c>
      <c r="E29" s="157">
        <f>SUMSQ('Unified sheet'!I93:I97)</f>
        <v>2386.2089904906907</v>
      </c>
      <c r="J29" s="158">
        <f>SUM('Unified sheet'!I93:I94)</f>
        <v>58.28913912095895</v>
      </c>
      <c r="K29" s="158">
        <f>SUM('Unified sheet'!I93:I95)</f>
        <v>82.007264802034143</v>
      </c>
      <c r="L29" s="158">
        <f>'Unified sheet'!I93</f>
        <v>31.431166000726478</v>
      </c>
      <c r="M29" s="7"/>
      <c r="N29" s="7" t="s">
        <v>1060</v>
      </c>
    </row>
    <row r="30" spans="1:14" ht="18" customHeight="1">
      <c r="A30" s="15" t="s">
        <v>22</v>
      </c>
      <c r="B30" s="15">
        <v>2023</v>
      </c>
      <c r="C30" s="12" t="s">
        <v>31</v>
      </c>
      <c r="D30" s="157">
        <f>SUM('Unified sheet'!I99:I102)</f>
        <v>91.946816208393628</v>
      </c>
      <c r="E30" s="157">
        <f>SUMSQ('Unified sheet'!I99:I103)</f>
        <v>2486.2218341947114</v>
      </c>
      <c r="J30" s="158">
        <f>SUM('Unified sheet'!I99:I100)</f>
        <v>59.801013024602028</v>
      </c>
      <c r="K30" s="158">
        <f>SUM('Unified sheet'!I99:I101)</f>
        <v>83.688133140376266</v>
      </c>
      <c r="L30" s="158">
        <f>'Unified sheet'!I99</f>
        <v>31.70043415340087</v>
      </c>
      <c r="M30" s="7"/>
      <c r="N30" s="7" t="s">
        <v>1060</v>
      </c>
    </row>
    <row r="31" spans="1:14" ht="18" hidden="1" customHeight="1">
      <c r="A31" s="15" t="s">
        <v>22</v>
      </c>
      <c r="B31" s="15">
        <v>2007</v>
      </c>
      <c r="C31" s="15" t="s">
        <v>36</v>
      </c>
      <c r="E31" s="157">
        <v>2934</v>
      </c>
      <c r="J31" s="158"/>
      <c r="K31" s="158"/>
      <c r="L31" s="158"/>
      <c r="M31" s="7"/>
      <c r="N31" s="7"/>
    </row>
    <row r="32" spans="1:14" ht="18" hidden="1" customHeight="1">
      <c r="A32" s="15" t="s">
        <v>22</v>
      </c>
      <c r="B32" s="15">
        <v>2008</v>
      </c>
      <c r="C32" s="15" t="s">
        <v>36</v>
      </c>
      <c r="E32" s="157">
        <v>3180</v>
      </c>
      <c r="J32" s="158"/>
      <c r="K32" s="158"/>
      <c r="L32" s="158"/>
      <c r="M32" s="7"/>
      <c r="N32" s="7"/>
    </row>
    <row r="33" spans="1:14" ht="18" hidden="1" customHeight="1">
      <c r="A33" s="15" t="s">
        <v>26</v>
      </c>
      <c r="B33" s="15">
        <v>2012</v>
      </c>
      <c r="C33" s="15" t="s">
        <v>36</v>
      </c>
      <c r="E33" s="157">
        <v>2599</v>
      </c>
      <c r="J33" s="158"/>
      <c r="K33" s="158"/>
      <c r="L33" s="158"/>
      <c r="M33" s="7"/>
      <c r="N33" s="7"/>
    </row>
    <row r="34" spans="1:14" ht="18" hidden="1" customHeight="1">
      <c r="A34" s="15" t="s">
        <v>26</v>
      </c>
      <c r="B34" s="15">
        <v>2013</v>
      </c>
      <c r="C34" s="15" t="s">
        <v>36</v>
      </c>
      <c r="J34" s="158"/>
      <c r="K34" s="158"/>
      <c r="L34" s="158"/>
      <c r="M34" s="7"/>
      <c r="N34" s="7"/>
    </row>
    <row r="35" spans="1:14" ht="18" hidden="1" customHeight="1">
      <c r="A35" s="15" t="s">
        <v>26</v>
      </c>
      <c r="B35" s="15">
        <v>2014</v>
      </c>
      <c r="C35" s="15" t="s">
        <v>36</v>
      </c>
      <c r="J35" s="158"/>
      <c r="K35" s="158"/>
      <c r="L35" s="158"/>
      <c r="M35" s="7"/>
      <c r="N35" s="7"/>
    </row>
    <row r="36" spans="1:14" ht="18" hidden="1" customHeight="1">
      <c r="A36" s="15" t="s">
        <v>26</v>
      </c>
      <c r="B36" s="15">
        <v>2015</v>
      </c>
      <c r="C36" s="15" t="s">
        <v>36</v>
      </c>
      <c r="J36" s="158"/>
      <c r="K36" s="158"/>
      <c r="L36" s="158"/>
      <c r="M36" s="7"/>
      <c r="N36" s="7"/>
    </row>
    <row r="37" spans="1:14" ht="18" hidden="1" customHeight="1">
      <c r="A37" s="15" t="s">
        <v>26</v>
      </c>
      <c r="B37" s="15">
        <v>2016</v>
      </c>
      <c r="C37" s="15" t="s">
        <v>36</v>
      </c>
      <c r="J37" s="158"/>
      <c r="K37" s="158"/>
      <c r="L37" s="158"/>
      <c r="M37" s="7"/>
      <c r="N37" s="7"/>
    </row>
    <row r="38" spans="1:14" ht="18" customHeight="1">
      <c r="A38" s="15" t="s">
        <v>26</v>
      </c>
      <c r="B38" s="15">
        <v>2019</v>
      </c>
      <c r="C38" s="15" t="s">
        <v>36</v>
      </c>
      <c r="D38" s="157">
        <v>83.25134449877558</v>
      </c>
      <c r="E38" s="157">
        <v>2415.8731069217424</v>
      </c>
      <c r="F38" s="157">
        <v>60.638371168276919</v>
      </c>
      <c r="G38" s="157">
        <v>72.828034079008503</v>
      </c>
      <c r="J38" s="157">
        <v>60.638371168276919</v>
      </c>
      <c r="K38" s="158">
        <v>72.828034079008503</v>
      </c>
      <c r="L38" s="158">
        <v>42.400372441462451</v>
      </c>
      <c r="M38" s="7"/>
      <c r="N38" s="7" t="s">
        <v>1060</v>
      </c>
    </row>
    <row r="39" spans="1:14" ht="18" customHeight="1">
      <c r="A39" s="15" t="s">
        <v>26</v>
      </c>
      <c r="B39" s="15">
        <v>2020</v>
      </c>
      <c r="C39" s="15" t="s">
        <v>36</v>
      </c>
      <c r="D39" s="157">
        <v>90.683805684353302</v>
      </c>
      <c r="E39" s="157">
        <v>2814.0646285339071</v>
      </c>
      <c r="F39" s="157">
        <v>71.124265244201226</v>
      </c>
      <c r="G39" s="157">
        <v>83.141689933533314</v>
      </c>
      <c r="J39" s="157">
        <v>71.124265244201226</v>
      </c>
      <c r="K39" s="158">
        <v>83.141689933533314</v>
      </c>
      <c r="L39" s="158">
        <v>41.355246765094918</v>
      </c>
      <c r="M39" s="7"/>
      <c r="N39" s="7" t="s">
        <v>1060</v>
      </c>
    </row>
    <row r="40" spans="1:14" ht="18" customHeight="1">
      <c r="A40" s="15" t="s">
        <v>26</v>
      </c>
      <c r="B40" s="15">
        <v>2021</v>
      </c>
      <c r="C40" s="15" t="s">
        <v>36</v>
      </c>
      <c r="D40" s="157">
        <v>88.787479460670994</v>
      </c>
      <c r="E40" s="157">
        <v>2718.0305458343264</v>
      </c>
      <c r="F40" s="157">
        <v>70.014437573581333</v>
      </c>
      <c r="G40" s="157">
        <v>81.410087812712149</v>
      </c>
      <c r="J40" s="157">
        <v>70.014437573581333</v>
      </c>
      <c r="K40" s="158">
        <v>81.410087812712149</v>
      </c>
      <c r="L40" s="158">
        <v>40.672761972860293</v>
      </c>
      <c r="M40" s="7"/>
      <c r="N40" s="7" t="s">
        <v>1060</v>
      </c>
    </row>
    <row r="41" spans="1:14" ht="18" customHeight="1">
      <c r="A41" s="15" t="s">
        <v>26</v>
      </c>
      <c r="B41" s="15">
        <v>2022</v>
      </c>
      <c r="C41" s="15" t="s">
        <v>36</v>
      </c>
      <c r="D41" s="157">
        <v>86.692514865996287</v>
      </c>
      <c r="E41" s="157">
        <v>2664.5502983449423</v>
      </c>
      <c r="F41" s="157">
        <v>69.24771980529097</v>
      </c>
      <c r="G41" s="157">
        <v>79.792432510174621</v>
      </c>
      <c r="J41" s="158">
        <v>69.24771980529097</v>
      </c>
      <c r="K41" s="158">
        <v>79.792432510174621</v>
      </c>
      <c r="L41" s="158">
        <v>38.046973251891373</v>
      </c>
      <c r="M41" s="7"/>
      <c r="N41" s="7" t="s">
        <v>1060</v>
      </c>
    </row>
    <row r="42" spans="1:14" ht="18" customHeight="1">
      <c r="A42" s="15" t="s">
        <v>26</v>
      </c>
      <c r="B42" s="15">
        <v>2023</v>
      </c>
      <c r="C42" s="15" t="s">
        <v>36</v>
      </c>
      <c r="D42" s="157">
        <v>87.431592717758647</v>
      </c>
      <c r="E42" s="157">
        <v>2833.4637400396678</v>
      </c>
      <c r="F42" s="157">
        <v>69.706384679675864</v>
      </c>
      <c r="G42" s="157">
        <v>80.733493222864212</v>
      </c>
      <c r="J42" s="158">
        <v>69.706384679675864</v>
      </c>
      <c r="K42" s="158">
        <v>80.733493222864212</v>
      </c>
      <c r="L42" s="158">
        <v>35.705385208162738</v>
      </c>
      <c r="M42" s="7"/>
      <c r="N42" s="7" t="s">
        <v>1060</v>
      </c>
    </row>
    <row r="43" spans="1:14" ht="18" hidden="1" customHeight="1">
      <c r="A43" s="15" t="s">
        <v>22</v>
      </c>
      <c r="B43" s="15">
        <v>2009</v>
      </c>
      <c r="C43" s="12" t="s">
        <v>893</v>
      </c>
      <c r="E43" s="157">
        <v>3294</v>
      </c>
      <c r="J43" s="158"/>
      <c r="K43" s="158"/>
      <c r="L43" s="158"/>
      <c r="M43" s="7"/>
      <c r="N43" s="7"/>
    </row>
    <row r="44" spans="1:14" ht="18" hidden="1" customHeight="1">
      <c r="A44" s="15" t="s">
        <v>22</v>
      </c>
      <c r="B44" s="15">
        <v>2011</v>
      </c>
      <c r="C44" s="12" t="s">
        <v>893</v>
      </c>
      <c r="E44" s="157">
        <v>3254</v>
      </c>
      <c r="J44" s="158"/>
      <c r="K44" s="158"/>
      <c r="L44" s="158"/>
      <c r="M44" s="7"/>
      <c r="N44" s="7"/>
    </row>
    <row r="45" spans="1:14" ht="18" hidden="1" customHeight="1">
      <c r="A45" s="15" t="s">
        <v>22</v>
      </c>
      <c r="B45" s="15">
        <v>2012</v>
      </c>
      <c r="C45" s="12" t="s">
        <v>893</v>
      </c>
      <c r="J45" s="158"/>
      <c r="K45" s="158"/>
      <c r="L45" s="158"/>
      <c r="M45" s="7"/>
      <c r="N45" s="7"/>
    </row>
    <row r="46" spans="1:14" ht="18" hidden="1" customHeight="1">
      <c r="A46" s="15" t="s">
        <v>22</v>
      </c>
      <c r="B46" s="15">
        <v>2013</v>
      </c>
      <c r="C46" s="12" t="s">
        <v>893</v>
      </c>
      <c r="J46" s="158"/>
      <c r="K46" s="158"/>
      <c r="L46" s="158"/>
      <c r="M46" s="7"/>
      <c r="N46" s="7"/>
    </row>
    <row r="47" spans="1:14" ht="18" hidden="1" customHeight="1">
      <c r="A47" s="15" t="s">
        <v>22</v>
      </c>
      <c r="B47" s="15">
        <v>2014</v>
      </c>
      <c r="C47" s="12" t="s">
        <v>893</v>
      </c>
      <c r="J47" s="158"/>
      <c r="K47" s="158"/>
      <c r="L47" s="158"/>
      <c r="M47" s="7"/>
      <c r="N47" s="7"/>
    </row>
    <row r="48" spans="1:14" ht="18" hidden="1" customHeight="1">
      <c r="A48" s="15" t="s">
        <v>22</v>
      </c>
      <c r="B48" s="15">
        <v>2015</v>
      </c>
      <c r="C48" s="12" t="s">
        <v>893</v>
      </c>
      <c r="J48" s="158"/>
      <c r="K48" s="158"/>
      <c r="L48" s="158"/>
      <c r="M48" s="7"/>
      <c r="N48" s="7"/>
    </row>
    <row r="49" spans="1:14" ht="18" hidden="1" customHeight="1">
      <c r="A49" s="15" t="s">
        <v>22</v>
      </c>
      <c r="B49" s="15">
        <v>2016</v>
      </c>
      <c r="C49" s="12" t="s">
        <v>893</v>
      </c>
      <c r="J49" s="158"/>
      <c r="K49" s="158"/>
      <c r="L49" s="158"/>
      <c r="M49" s="7"/>
      <c r="N49" s="7"/>
    </row>
    <row r="50" spans="1:14" ht="18" customHeight="1">
      <c r="A50" s="15" t="s">
        <v>22</v>
      </c>
      <c r="B50" s="15">
        <v>2019</v>
      </c>
      <c r="C50" s="12" t="s">
        <v>1061</v>
      </c>
      <c r="D50" s="157">
        <v>81.828863083615929</v>
      </c>
      <c r="E50" s="157">
        <v>1953.9168550337936</v>
      </c>
      <c r="F50" s="157">
        <v>56.321720960504223</v>
      </c>
      <c r="G50" s="157">
        <v>70.417737128763733</v>
      </c>
      <c r="J50" s="158">
        <v>56.321720960504223</v>
      </c>
      <c r="K50" s="158">
        <v>70.417737128763733</v>
      </c>
      <c r="L50" s="158">
        <v>28.678107765560235</v>
      </c>
      <c r="M50" s="7"/>
      <c r="N50" s="7" t="s">
        <v>1060</v>
      </c>
    </row>
    <row r="51" spans="1:14" ht="18" customHeight="1">
      <c r="A51" s="15" t="s">
        <v>22</v>
      </c>
      <c r="B51" s="15">
        <v>2020</v>
      </c>
      <c r="C51" s="12" t="s">
        <v>1061</v>
      </c>
      <c r="D51" s="157">
        <v>86.06265706148433</v>
      </c>
      <c r="E51" s="157">
        <v>2255.4956679869383</v>
      </c>
      <c r="F51" s="157">
        <v>56.860445635784885</v>
      </c>
      <c r="G51" s="157">
        <v>81.271067180432226</v>
      </c>
      <c r="J51" s="158">
        <v>56.860445635784885</v>
      </c>
      <c r="K51" s="158">
        <v>81.271067180432226</v>
      </c>
      <c r="L51" s="158">
        <v>29.770480817557381</v>
      </c>
      <c r="M51" s="7"/>
      <c r="N51" s="7" t="s">
        <v>1060</v>
      </c>
    </row>
    <row r="52" spans="1:14" ht="18" customHeight="1">
      <c r="A52" s="15" t="s">
        <v>22</v>
      </c>
      <c r="B52" s="15">
        <v>2021</v>
      </c>
      <c r="C52" s="12" t="s">
        <v>1061</v>
      </c>
      <c r="D52" s="157">
        <v>81.895999746418155</v>
      </c>
      <c r="E52" s="157">
        <v>2082.8822201893263</v>
      </c>
      <c r="F52" s="157">
        <v>55.39653860783568</v>
      </c>
      <c r="G52" s="157">
        <v>77.515531887916822</v>
      </c>
      <c r="J52" s="158">
        <v>55.39653860783568</v>
      </c>
      <c r="K52" s="158">
        <v>77.515531887916822</v>
      </c>
      <c r="L52" s="158">
        <v>31.190188182333216</v>
      </c>
      <c r="M52" s="7"/>
      <c r="N52" s="7" t="s">
        <v>1060</v>
      </c>
    </row>
    <row r="53" spans="1:14" ht="18" customHeight="1">
      <c r="A53" s="15" t="s">
        <v>22</v>
      </c>
      <c r="B53" s="15">
        <v>2022</v>
      </c>
      <c r="C53" s="12" t="s">
        <v>1061</v>
      </c>
      <c r="D53" s="157">
        <v>83.295257927697563</v>
      </c>
      <c r="E53" s="157">
        <v>2097.7463668573637</v>
      </c>
      <c r="F53" s="157">
        <v>56.454699964782804</v>
      </c>
      <c r="G53" s="157">
        <v>77.129032751994373</v>
      </c>
      <c r="J53" s="158">
        <v>56.454699964782804</v>
      </c>
      <c r="K53" s="158">
        <v>77.129032751994373</v>
      </c>
      <c r="L53" s="158">
        <v>31.190188182333216</v>
      </c>
      <c r="M53" s="7"/>
      <c r="N53" s="7" t="s">
        <v>1060</v>
      </c>
    </row>
    <row r="54" spans="1:14" ht="18" customHeight="1">
      <c r="A54" s="15" t="s">
        <v>22</v>
      </c>
      <c r="B54" s="15">
        <v>2023</v>
      </c>
      <c r="C54" s="12" t="s">
        <v>1061</v>
      </c>
      <c r="D54" s="157">
        <v>81.285054919373692</v>
      </c>
      <c r="E54" s="157">
        <v>2027.9390043925016</v>
      </c>
      <c r="F54" s="157">
        <v>56.175508296330918</v>
      </c>
      <c r="G54" s="157">
        <v>75.203026408039264</v>
      </c>
      <c r="J54" s="158">
        <v>56.175508296330918</v>
      </c>
      <c r="K54" s="158">
        <v>75.203026408039264</v>
      </c>
      <c r="L54" s="158">
        <v>32.075251226922177</v>
      </c>
      <c r="M54" s="7"/>
      <c r="N54" s="7" t="s">
        <v>1060</v>
      </c>
    </row>
    <row r="55" spans="1:14" ht="18" hidden="1" customHeight="1">
      <c r="A55" s="15" t="s">
        <v>22</v>
      </c>
      <c r="B55" s="15">
        <v>1984</v>
      </c>
      <c r="C55" s="12" t="s">
        <v>42</v>
      </c>
      <c r="E55" s="157">
        <v>560</v>
      </c>
      <c r="F55" s="160"/>
      <c r="G55" s="158"/>
      <c r="H55" s="158"/>
      <c r="I55" s="158"/>
      <c r="J55" s="158"/>
      <c r="K55" s="158"/>
      <c r="L55" s="158"/>
      <c r="M55" s="7"/>
      <c r="N55" s="7"/>
    </row>
    <row r="56" spans="1:14" ht="18" hidden="1" customHeight="1">
      <c r="A56" s="15" t="s">
        <v>22</v>
      </c>
      <c r="B56" s="15">
        <v>1989</v>
      </c>
      <c r="C56" s="12" t="s">
        <v>42</v>
      </c>
      <c r="E56" s="157">
        <v>721</v>
      </c>
      <c r="F56" s="158"/>
      <c r="G56" s="158"/>
      <c r="H56" s="158"/>
      <c r="I56" s="158"/>
      <c r="J56" s="158"/>
      <c r="K56" s="158"/>
      <c r="L56" s="158"/>
      <c r="M56" s="7"/>
      <c r="N56" s="7"/>
    </row>
    <row r="57" spans="1:14" ht="18" hidden="1" customHeight="1">
      <c r="A57" s="15" t="s">
        <v>22</v>
      </c>
      <c r="B57" s="15">
        <v>1992</v>
      </c>
      <c r="C57" s="12" t="s">
        <v>42</v>
      </c>
      <c r="E57" s="157">
        <v>766</v>
      </c>
      <c r="F57" s="158"/>
      <c r="G57" s="158"/>
      <c r="H57" s="158"/>
      <c r="I57" s="158"/>
      <c r="J57" s="158"/>
      <c r="K57" s="158"/>
      <c r="L57" s="158"/>
      <c r="M57" s="7"/>
      <c r="N57" s="7"/>
    </row>
    <row r="58" spans="1:14" ht="18" hidden="1" customHeight="1">
      <c r="A58" s="15" t="s">
        <v>22</v>
      </c>
      <c r="B58" s="15">
        <v>1996</v>
      </c>
      <c r="C58" s="12" t="s">
        <v>42</v>
      </c>
      <c r="E58" s="157">
        <v>903</v>
      </c>
      <c r="J58" s="158"/>
      <c r="K58" s="158"/>
      <c r="L58" s="158"/>
      <c r="M58" s="7"/>
      <c r="N58" s="7"/>
    </row>
    <row r="59" spans="1:14" ht="18" hidden="1" customHeight="1">
      <c r="A59" s="15" t="s">
        <v>22</v>
      </c>
      <c r="B59" s="15">
        <v>2000</v>
      </c>
      <c r="C59" s="12" t="s">
        <v>42</v>
      </c>
      <c r="E59" s="157">
        <v>748</v>
      </c>
      <c r="J59" s="158"/>
      <c r="K59" s="158"/>
      <c r="L59" s="158"/>
      <c r="M59" s="7"/>
      <c r="N59" s="7"/>
    </row>
    <row r="60" spans="1:14" ht="18" hidden="1" customHeight="1">
      <c r="A60" s="15" t="s">
        <v>22</v>
      </c>
      <c r="B60" s="15">
        <v>2004</v>
      </c>
      <c r="C60" s="12" t="s">
        <v>42</v>
      </c>
      <c r="E60" s="157">
        <v>843</v>
      </c>
      <c r="F60" s="158"/>
      <c r="G60" s="158"/>
      <c r="H60" s="158"/>
      <c r="I60" s="158"/>
      <c r="J60" s="158"/>
      <c r="K60" s="158"/>
      <c r="L60" s="158"/>
      <c r="M60" s="7"/>
      <c r="N60" s="7"/>
    </row>
    <row r="61" spans="1:14" ht="18" hidden="1" customHeight="1">
      <c r="A61" s="15" t="s">
        <v>22</v>
      </c>
      <c r="B61" s="15">
        <v>2008</v>
      </c>
      <c r="C61" s="12" t="s">
        <v>42</v>
      </c>
      <c r="E61" s="157">
        <v>933</v>
      </c>
      <c r="J61" s="158"/>
      <c r="K61" s="158"/>
      <c r="L61" s="158"/>
      <c r="M61" s="7"/>
      <c r="N61" s="7"/>
    </row>
    <row r="62" spans="1:14" ht="18" hidden="1" customHeight="1">
      <c r="A62" s="15" t="s">
        <v>22</v>
      </c>
      <c r="B62" s="15">
        <v>2010</v>
      </c>
      <c r="C62" s="12" t="s">
        <v>42</v>
      </c>
      <c r="E62" s="157">
        <v>856</v>
      </c>
      <c r="F62" s="158"/>
      <c r="G62" s="158"/>
      <c r="H62" s="158"/>
      <c r="I62" s="158"/>
      <c r="J62" s="158"/>
      <c r="K62" s="158"/>
      <c r="L62" s="158"/>
      <c r="M62" s="7"/>
      <c r="N62" s="7"/>
    </row>
    <row r="63" spans="1:14" ht="18" hidden="1" customHeight="1">
      <c r="A63" s="15" t="s">
        <v>22</v>
      </c>
      <c r="B63" s="15">
        <v>2011</v>
      </c>
      <c r="C63" s="12" t="s">
        <v>42</v>
      </c>
      <c r="F63" s="158"/>
      <c r="G63" s="158"/>
      <c r="H63" s="158"/>
      <c r="I63" s="158"/>
      <c r="J63" s="158"/>
      <c r="K63" s="158"/>
      <c r="L63" s="158"/>
      <c r="M63" s="7"/>
      <c r="N63" s="7"/>
    </row>
    <row r="64" spans="1:14" ht="18" hidden="1" customHeight="1">
      <c r="A64" s="15" t="s">
        <v>22</v>
      </c>
      <c r="B64" s="15">
        <v>2012</v>
      </c>
      <c r="C64" s="12" t="s">
        <v>42</v>
      </c>
      <c r="F64" s="158"/>
      <c r="G64" s="158"/>
      <c r="H64" s="158"/>
      <c r="I64" s="158"/>
      <c r="J64" s="158"/>
      <c r="K64" s="158"/>
      <c r="L64" s="158"/>
      <c r="M64" s="7"/>
      <c r="N64" s="7"/>
    </row>
    <row r="65" spans="1:14" ht="18" hidden="1" customHeight="1">
      <c r="A65" s="15" t="s">
        <v>22</v>
      </c>
      <c r="B65" s="15">
        <v>2013</v>
      </c>
      <c r="C65" s="12" t="s">
        <v>42</v>
      </c>
      <c r="F65" s="158"/>
      <c r="G65" s="158"/>
      <c r="H65" s="158"/>
      <c r="I65" s="158"/>
      <c r="J65" s="158"/>
      <c r="K65" s="158"/>
      <c r="L65" s="158"/>
      <c r="M65" s="7"/>
      <c r="N65" s="7"/>
    </row>
    <row r="66" spans="1:14" ht="18" hidden="1" customHeight="1">
      <c r="A66" s="15" t="s">
        <v>22</v>
      </c>
      <c r="B66" s="15">
        <v>2014</v>
      </c>
      <c r="C66" s="12" t="s">
        <v>42</v>
      </c>
      <c r="F66" s="158"/>
      <c r="G66" s="158"/>
      <c r="H66" s="158"/>
      <c r="I66" s="158"/>
      <c r="J66" s="158"/>
      <c r="K66" s="158"/>
      <c r="L66" s="158"/>
      <c r="M66" s="7"/>
      <c r="N66" s="7"/>
    </row>
    <row r="67" spans="1:14" ht="18" hidden="1" customHeight="1">
      <c r="A67" s="15" t="s">
        <v>22</v>
      </c>
      <c r="B67" s="15">
        <v>2015</v>
      </c>
      <c r="C67" s="12" t="s">
        <v>42</v>
      </c>
      <c r="F67" s="158"/>
      <c r="G67" s="158"/>
      <c r="H67" s="158"/>
      <c r="I67" s="158"/>
      <c r="J67" s="158"/>
      <c r="K67" s="158"/>
      <c r="L67" s="158"/>
      <c r="M67" s="7"/>
      <c r="N67" s="7"/>
    </row>
    <row r="68" spans="1:14" ht="18" hidden="1" customHeight="1">
      <c r="A68" s="15" t="s">
        <v>22</v>
      </c>
      <c r="B68" s="15">
        <v>2016</v>
      </c>
      <c r="C68" s="12" t="s">
        <v>42</v>
      </c>
      <c r="F68" s="158"/>
      <c r="G68" s="158"/>
      <c r="H68" s="158"/>
      <c r="I68" s="158"/>
      <c r="J68" s="158"/>
      <c r="K68" s="158"/>
      <c r="L68" s="158"/>
      <c r="M68" s="7"/>
      <c r="N68" s="7"/>
    </row>
    <row r="69" spans="1:14" ht="18" customHeight="1">
      <c r="A69" s="15" t="s">
        <v>22</v>
      </c>
      <c r="B69" s="15">
        <v>2019</v>
      </c>
      <c r="C69" s="12" t="s">
        <v>42</v>
      </c>
      <c r="D69" s="157">
        <v>87.106825558025406</v>
      </c>
      <c r="E69" s="157">
        <v>2637.7256161640325</v>
      </c>
      <c r="F69" s="158">
        <v>60.939996733163369</v>
      </c>
      <c r="G69" s="158">
        <v>78.737420903493387</v>
      </c>
      <c r="H69" s="158"/>
      <c r="I69" s="158"/>
      <c r="J69" s="158">
        <v>41.14367689565298</v>
      </c>
      <c r="K69" s="161">
        <v>78.737420903493387</v>
      </c>
      <c r="L69" s="158">
        <v>41.14367689565298</v>
      </c>
      <c r="M69" s="7"/>
      <c r="N69" s="7" t="s">
        <v>1060</v>
      </c>
    </row>
    <row r="70" spans="1:14" ht="18" customHeight="1">
      <c r="A70" s="15" t="s">
        <v>22</v>
      </c>
      <c r="B70" s="15">
        <v>2020</v>
      </c>
      <c r="C70" s="12" t="s">
        <v>42</v>
      </c>
      <c r="D70" s="157">
        <v>87.549483059464279</v>
      </c>
      <c r="E70" s="157">
        <v>2727.3397954433108</v>
      </c>
      <c r="F70" s="158">
        <v>63.116389304120645</v>
      </c>
      <c r="G70" s="158">
        <v>79.673563497360618</v>
      </c>
      <c r="H70" s="158"/>
      <c r="I70" s="158"/>
      <c r="J70" s="158">
        <v>42.610683008717118</v>
      </c>
      <c r="K70" s="158">
        <v>79.673563497360618</v>
      </c>
      <c r="L70" s="158">
        <v>42.610683008717118</v>
      </c>
      <c r="M70" s="7"/>
      <c r="N70" s="7" t="s">
        <v>1060</v>
      </c>
    </row>
    <row r="71" spans="1:14" ht="18" customHeight="1">
      <c r="A71" s="15" t="s">
        <v>22</v>
      </c>
      <c r="B71" s="15">
        <v>2021</v>
      </c>
      <c r="C71" s="12" t="s">
        <v>42</v>
      </c>
      <c r="D71" s="157">
        <v>89.19990653315908</v>
      </c>
      <c r="E71" s="157">
        <v>2682.6669299703058</v>
      </c>
      <c r="F71" s="158">
        <v>62.4323014478706</v>
      </c>
      <c r="G71" s="158">
        <v>80.257639616093599</v>
      </c>
      <c r="H71" s="158"/>
      <c r="I71" s="158"/>
      <c r="J71" s="158">
        <v>41.690451669854347</v>
      </c>
      <c r="K71" s="158">
        <v>80.257639616093599</v>
      </c>
      <c r="L71" s="158">
        <v>41.690451669854347</v>
      </c>
      <c r="M71" s="7"/>
      <c r="N71" s="7" t="s">
        <v>1060</v>
      </c>
    </row>
    <row r="72" spans="1:14" ht="18" customHeight="1">
      <c r="A72" s="15" t="s">
        <v>22</v>
      </c>
      <c r="B72" s="15">
        <v>2022</v>
      </c>
      <c r="C72" s="12" t="s">
        <v>42</v>
      </c>
      <c r="D72" s="157">
        <v>90.717624106016913</v>
      </c>
      <c r="E72" s="157">
        <v>2766.4861507224496</v>
      </c>
      <c r="F72" s="158">
        <v>64.64108234544554</v>
      </c>
      <c r="G72" s="158">
        <v>81.431728160500271</v>
      </c>
      <c r="H72" s="158"/>
      <c r="I72" s="158"/>
      <c r="J72" s="158">
        <v>42.878363739245145</v>
      </c>
      <c r="K72" s="158">
        <v>81.431728160500271</v>
      </c>
      <c r="L72" s="158">
        <v>42.878363739245145</v>
      </c>
      <c r="M72" s="7"/>
      <c r="N72" s="7" t="s">
        <v>1060</v>
      </c>
    </row>
    <row r="73" spans="1:14" ht="18" customHeight="1">
      <c r="A73" s="15" t="s">
        <v>22</v>
      </c>
      <c r="B73" s="15">
        <v>2023</v>
      </c>
      <c r="C73" s="12" t="s">
        <v>42</v>
      </c>
      <c r="D73" s="157">
        <v>89.761045567993804</v>
      </c>
      <c r="E73" s="157">
        <v>2870.2673937897075</v>
      </c>
      <c r="F73" s="158">
        <v>66.365383729330432</v>
      </c>
      <c r="G73" s="158">
        <v>81.79123239702929</v>
      </c>
      <c r="H73" s="158"/>
      <c r="I73" s="158"/>
      <c r="J73" s="158">
        <v>44.62328621241533</v>
      </c>
      <c r="K73" s="158">
        <v>81.79123239702929</v>
      </c>
      <c r="L73" s="158">
        <v>44.62328621241533</v>
      </c>
      <c r="M73" s="7"/>
      <c r="N73" s="7" t="s">
        <v>1060</v>
      </c>
    </row>
    <row r="74" spans="1:14" ht="18" hidden="1" customHeight="1">
      <c r="A74" s="15" t="s">
        <v>22</v>
      </c>
      <c r="B74" s="15">
        <v>1985</v>
      </c>
      <c r="C74" s="12" t="s">
        <v>49</v>
      </c>
      <c r="E74" s="157">
        <v>9255</v>
      </c>
      <c r="F74" s="158"/>
      <c r="G74" s="158"/>
      <c r="H74" s="158"/>
      <c r="I74" s="158"/>
      <c r="J74" s="158"/>
      <c r="K74" s="158"/>
      <c r="L74" s="158"/>
      <c r="M74" s="7"/>
      <c r="N74" s="7"/>
    </row>
    <row r="75" spans="1:14" ht="18" hidden="1" customHeight="1">
      <c r="A75" s="15" t="s">
        <v>22</v>
      </c>
      <c r="B75" s="15">
        <v>1988</v>
      </c>
      <c r="C75" s="12" t="s">
        <v>49</v>
      </c>
      <c r="E75" s="157">
        <v>7225</v>
      </c>
      <c r="F75" s="158"/>
      <c r="G75" s="158"/>
      <c r="H75" s="158"/>
      <c r="I75" s="158"/>
      <c r="J75" s="158"/>
      <c r="K75" s="158"/>
      <c r="L75" s="158"/>
      <c r="M75" s="7"/>
      <c r="N75" s="7"/>
    </row>
    <row r="76" spans="1:14" ht="18" hidden="1" customHeight="1">
      <c r="A76" s="15" t="s">
        <v>22</v>
      </c>
      <c r="B76" s="15">
        <v>1992</v>
      </c>
      <c r="C76" s="12" t="s">
        <v>49</v>
      </c>
      <c r="E76" s="157">
        <v>3525</v>
      </c>
      <c r="F76" s="158"/>
      <c r="G76" s="158"/>
      <c r="H76" s="158"/>
      <c r="I76" s="158"/>
      <c r="J76" s="158"/>
      <c r="K76" s="158"/>
      <c r="L76" s="158"/>
      <c r="M76" s="7"/>
      <c r="N76" s="7"/>
    </row>
    <row r="77" spans="1:14" ht="18" hidden="1" customHeight="1">
      <c r="A77" s="15" t="s">
        <v>22</v>
      </c>
      <c r="B77" s="15">
        <v>1996</v>
      </c>
      <c r="C77" s="12" t="s">
        <v>49</v>
      </c>
      <c r="E77" s="157">
        <v>3101</v>
      </c>
      <c r="F77" s="158"/>
      <c r="G77" s="158"/>
      <c r="H77" s="158"/>
      <c r="I77" s="158"/>
      <c r="J77" s="158"/>
      <c r="K77" s="158"/>
      <c r="L77" s="158"/>
      <c r="M77" s="7"/>
      <c r="N77" s="7"/>
    </row>
    <row r="78" spans="1:14" ht="18" hidden="1" customHeight="1">
      <c r="A78" s="15" t="s">
        <v>22</v>
      </c>
      <c r="B78" s="15">
        <v>2000</v>
      </c>
      <c r="C78" s="12" t="s">
        <v>49</v>
      </c>
      <c r="E78" s="157">
        <v>3157</v>
      </c>
      <c r="J78" s="158"/>
      <c r="K78" s="158"/>
      <c r="L78" s="158"/>
      <c r="M78" s="7"/>
      <c r="N78" s="7"/>
    </row>
    <row r="79" spans="1:14" ht="18" hidden="1" customHeight="1">
      <c r="A79" s="15" t="s">
        <v>22</v>
      </c>
      <c r="B79" s="15">
        <v>2004</v>
      </c>
      <c r="C79" s="12" t="s">
        <v>49</v>
      </c>
      <c r="E79" s="157">
        <v>3107</v>
      </c>
      <c r="J79" s="158"/>
      <c r="K79" s="158"/>
      <c r="L79" s="158"/>
      <c r="M79" s="7"/>
      <c r="N79" s="7"/>
    </row>
    <row r="80" spans="1:14" ht="18" hidden="1" customHeight="1">
      <c r="A80" s="15" t="s">
        <v>22</v>
      </c>
      <c r="B80" s="15">
        <v>2007</v>
      </c>
      <c r="C80" s="12" t="s">
        <v>49</v>
      </c>
      <c r="E80" s="157">
        <v>2981</v>
      </c>
      <c r="J80" s="158"/>
      <c r="K80" s="158"/>
      <c r="L80" s="158"/>
      <c r="M80" s="7"/>
      <c r="N80" s="7"/>
    </row>
    <row r="81" spans="1:14" ht="18" hidden="1" customHeight="1">
      <c r="A81" s="15" t="s">
        <v>22</v>
      </c>
      <c r="B81" s="15">
        <v>2012</v>
      </c>
      <c r="C81" s="12" t="s">
        <v>49</v>
      </c>
      <c r="E81" s="157">
        <v>2449</v>
      </c>
      <c r="J81" s="162"/>
      <c r="K81" s="162"/>
      <c r="L81" s="162"/>
      <c r="M81" s="7"/>
      <c r="N81" s="7"/>
    </row>
    <row r="82" spans="1:14" ht="18" hidden="1" customHeight="1">
      <c r="A82" s="15" t="s">
        <v>22</v>
      </c>
      <c r="B82" s="15">
        <v>2008</v>
      </c>
      <c r="C82" s="12" t="s">
        <v>52</v>
      </c>
      <c r="E82" s="157">
        <v>2718</v>
      </c>
      <c r="J82" s="158"/>
      <c r="K82" s="158"/>
      <c r="L82" s="158"/>
      <c r="M82" s="7"/>
      <c r="N82" s="7"/>
    </row>
    <row r="83" spans="1:14" ht="18" hidden="1" customHeight="1">
      <c r="A83" s="15" t="s">
        <v>22</v>
      </c>
      <c r="B83" s="15">
        <v>2010</v>
      </c>
      <c r="C83" s="12" t="s">
        <v>52</v>
      </c>
      <c r="E83" s="157">
        <v>2337</v>
      </c>
      <c r="J83" s="158"/>
      <c r="K83" s="158"/>
      <c r="L83" s="158"/>
      <c r="M83" s="7"/>
      <c r="N83" s="7"/>
    </row>
    <row r="84" spans="1:14" ht="18" hidden="1" customHeight="1">
      <c r="A84" s="15" t="s">
        <v>22</v>
      </c>
      <c r="B84" s="15">
        <v>2011</v>
      </c>
      <c r="C84" s="12" t="s">
        <v>52</v>
      </c>
      <c r="J84" s="158"/>
      <c r="K84" s="158"/>
      <c r="L84" s="158"/>
      <c r="M84" s="7"/>
      <c r="N84" s="7"/>
    </row>
    <row r="85" spans="1:14" ht="18" hidden="1" customHeight="1">
      <c r="A85" s="15" t="s">
        <v>22</v>
      </c>
      <c r="B85" s="15">
        <v>2012</v>
      </c>
      <c r="C85" s="12" t="s">
        <v>52</v>
      </c>
      <c r="J85" s="158"/>
      <c r="K85" s="158"/>
      <c r="L85" s="158"/>
      <c r="M85" s="7"/>
      <c r="N85" s="7"/>
    </row>
    <row r="86" spans="1:14" ht="18" hidden="1" customHeight="1">
      <c r="A86" s="15" t="s">
        <v>22</v>
      </c>
      <c r="B86" s="15">
        <v>2013</v>
      </c>
      <c r="C86" s="12" t="s">
        <v>52</v>
      </c>
      <c r="J86" s="158"/>
      <c r="K86" s="158"/>
      <c r="L86" s="158"/>
      <c r="M86" s="7"/>
      <c r="N86" s="7"/>
    </row>
    <row r="87" spans="1:14" ht="18" hidden="1" customHeight="1">
      <c r="A87" s="15" t="s">
        <v>22</v>
      </c>
      <c r="B87" s="15">
        <v>2014</v>
      </c>
      <c r="C87" s="12" t="s">
        <v>52</v>
      </c>
      <c r="J87" s="158"/>
      <c r="K87" s="158"/>
      <c r="L87" s="158"/>
      <c r="M87" s="7"/>
      <c r="N87" s="7"/>
    </row>
    <row r="88" spans="1:14" ht="18" hidden="1" customHeight="1">
      <c r="A88" s="15" t="s">
        <v>22</v>
      </c>
      <c r="B88" s="15">
        <v>2015</v>
      </c>
      <c r="C88" s="12" t="s">
        <v>52</v>
      </c>
      <c r="J88" s="158"/>
      <c r="K88" s="158"/>
      <c r="L88" s="158"/>
      <c r="M88" s="7"/>
      <c r="N88" s="7"/>
    </row>
    <row r="89" spans="1:14" ht="18" hidden="1" customHeight="1">
      <c r="A89" s="15" t="s">
        <v>22</v>
      </c>
      <c r="B89" s="15">
        <v>2016</v>
      </c>
      <c r="C89" s="12" t="s">
        <v>52</v>
      </c>
      <c r="J89" s="158"/>
      <c r="K89" s="158"/>
      <c r="L89" s="158"/>
      <c r="M89" s="7"/>
      <c r="N89" s="7"/>
    </row>
    <row r="90" spans="1:14" ht="18" customHeight="1">
      <c r="A90" s="15" t="s">
        <v>22</v>
      </c>
      <c r="B90" s="15">
        <v>2021</v>
      </c>
      <c r="C90" s="12" t="s">
        <v>52</v>
      </c>
      <c r="D90" s="157">
        <v>70.637016850859325</v>
      </c>
      <c r="E90" s="157">
        <v>1891.5100834474433</v>
      </c>
      <c r="F90" s="158">
        <v>54.041219329657309</v>
      </c>
      <c r="G90" s="158">
        <v>65.200173173539355</v>
      </c>
      <c r="H90" s="158"/>
      <c r="I90" s="158"/>
      <c r="J90" s="158">
        <v>54</v>
      </c>
      <c r="K90" s="158">
        <v>65</v>
      </c>
      <c r="L90" s="158">
        <v>38</v>
      </c>
      <c r="M90" s="7"/>
      <c r="N90" s="7" t="s">
        <v>1060</v>
      </c>
    </row>
    <row r="91" spans="1:14" ht="18" customHeight="1">
      <c r="A91" s="15" t="s">
        <v>22</v>
      </c>
      <c r="B91" s="15">
        <v>2022</v>
      </c>
      <c r="C91" s="12" t="s">
        <v>52</v>
      </c>
      <c r="D91" s="157">
        <v>78.772506617666338</v>
      </c>
      <c r="E91" s="157">
        <v>1970.3980663187369</v>
      </c>
      <c r="F91" s="158">
        <v>51.874350245632627</v>
      </c>
      <c r="G91" s="158">
        <v>68.049994321474429</v>
      </c>
      <c r="H91" s="158"/>
      <c r="I91" s="158"/>
      <c r="J91" s="158">
        <v>52</v>
      </c>
      <c r="K91" s="158">
        <v>68</v>
      </c>
      <c r="L91" s="158">
        <v>35</v>
      </c>
      <c r="M91" s="7"/>
      <c r="N91" s="7" t="s">
        <v>1060</v>
      </c>
    </row>
    <row r="92" spans="1:14" ht="18" customHeight="1">
      <c r="A92" s="15" t="s">
        <v>22</v>
      </c>
      <c r="B92" s="15">
        <v>2023</v>
      </c>
      <c r="C92" s="12" t="s">
        <v>52</v>
      </c>
      <c r="D92" s="157">
        <v>72.663462569581867</v>
      </c>
      <c r="E92" s="157">
        <v>1631.3951993918347</v>
      </c>
      <c r="F92" s="158">
        <v>46.459488969262111</v>
      </c>
      <c r="G92" s="158">
        <v>60.518196086842075</v>
      </c>
      <c r="H92" s="158"/>
      <c r="I92" s="158"/>
      <c r="J92" s="158">
        <v>46</v>
      </c>
      <c r="K92" s="158">
        <v>61</v>
      </c>
      <c r="L92" s="158">
        <v>32</v>
      </c>
      <c r="M92" s="7"/>
      <c r="N92" s="7" t="s">
        <v>1060</v>
      </c>
    </row>
    <row r="93" spans="1:14" ht="18" hidden="1" customHeight="1">
      <c r="A93" s="15" t="s">
        <v>22</v>
      </c>
      <c r="B93" s="15">
        <v>1996</v>
      </c>
      <c r="C93" s="12" t="s">
        <v>62</v>
      </c>
      <c r="J93" s="158"/>
      <c r="K93" s="158"/>
      <c r="L93" s="158"/>
      <c r="M93" s="7"/>
      <c r="N93" s="7"/>
    </row>
    <row r="94" spans="1:14" ht="18" hidden="1" customHeight="1">
      <c r="A94" s="15" t="s">
        <v>22</v>
      </c>
      <c r="B94" s="15">
        <v>2000</v>
      </c>
      <c r="C94" s="12" t="s">
        <v>62</v>
      </c>
      <c r="J94" s="158"/>
      <c r="K94" s="158"/>
      <c r="L94" s="158"/>
      <c r="M94" s="7"/>
      <c r="N94" s="7"/>
    </row>
    <row r="95" spans="1:14" ht="18" hidden="1" customHeight="1">
      <c r="A95" s="15" t="s">
        <v>22</v>
      </c>
      <c r="B95" s="15">
        <v>2003</v>
      </c>
      <c r="C95" s="12" t="s">
        <v>62</v>
      </c>
      <c r="E95" s="157">
        <v>2970</v>
      </c>
      <c r="J95" s="158"/>
      <c r="K95" s="158"/>
      <c r="L95" s="158"/>
      <c r="M95" s="7"/>
      <c r="N95" s="7"/>
    </row>
    <row r="96" spans="1:14" ht="18" hidden="1" customHeight="1">
      <c r="A96" s="15" t="s">
        <v>22</v>
      </c>
      <c r="B96" s="15">
        <v>2007</v>
      </c>
      <c r="C96" s="12" t="s">
        <v>62</v>
      </c>
      <c r="E96" s="157">
        <v>2987</v>
      </c>
      <c r="J96" s="158"/>
      <c r="K96" s="158"/>
      <c r="L96" s="158"/>
      <c r="M96" s="7"/>
      <c r="N96" s="7"/>
    </row>
    <row r="97" spans="1:14" ht="18" hidden="1" customHeight="1">
      <c r="A97" s="15" t="s">
        <v>22</v>
      </c>
      <c r="B97" s="15">
        <v>2009</v>
      </c>
      <c r="C97" s="12" t="s">
        <v>62</v>
      </c>
      <c r="E97" s="157">
        <v>3223</v>
      </c>
      <c r="F97" s="158"/>
      <c r="G97" s="158"/>
      <c r="H97" s="158"/>
      <c r="I97" s="158"/>
      <c r="J97" s="158"/>
      <c r="K97" s="158"/>
      <c r="L97" s="158"/>
      <c r="M97" s="7"/>
      <c r="N97" s="7"/>
    </row>
    <row r="98" spans="1:14" ht="18" customHeight="1">
      <c r="A98" s="15" t="s">
        <v>24</v>
      </c>
      <c r="B98" s="15">
        <v>2019</v>
      </c>
      <c r="C98" s="12" t="s">
        <v>62</v>
      </c>
      <c r="D98" s="157">
        <v>69</v>
      </c>
      <c r="E98" s="157">
        <v>3200</v>
      </c>
      <c r="F98" s="158"/>
      <c r="G98" s="158"/>
      <c r="H98" s="158"/>
      <c r="I98" s="158"/>
      <c r="J98" s="158">
        <v>65.657565629530993</v>
      </c>
      <c r="K98" s="158">
        <v>67.580566737775371</v>
      </c>
      <c r="L98" s="158">
        <v>55.561152749365938</v>
      </c>
      <c r="M98" s="7"/>
      <c r="N98" s="7" t="s">
        <v>1060</v>
      </c>
    </row>
    <row r="99" spans="1:14" ht="18" customHeight="1">
      <c r="A99" s="15" t="s">
        <v>24</v>
      </c>
      <c r="B99" s="15">
        <v>2020</v>
      </c>
      <c r="C99" s="12" t="s">
        <v>62</v>
      </c>
      <c r="D99" s="157">
        <v>71</v>
      </c>
      <c r="E99" s="157">
        <v>3418</v>
      </c>
      <c r="F99" s="158"/>
      <c r="G99" s="158"/>
      <c r="H99" s="158"/>
      <c r="I99" s="158"/>
      <c r="J99" s="158">
        <v>67.880712660765369</v>
      </c>
      <c r="K99" s="158">
        <v>69.743451134085632</v>
      </c>
      <c r="L99" s="158">
        <v>57.435412302633061</v>
      </c>
      <c r="M99" s="7"/>
      <c r="N99" s="7" t="s">
        <v>1060</v>
      </c>
    </row>
    <row r="100" spans="1:14" ht="18" customHeight="1">
      <c r="A100" s="15" t="s">
        <v>24</v>
      </c>
      <c r="B100" s="15">
        <v>2021</v>
      </c>
      <c r="C100" s="12" t="s">
        <v>62</v>
      </c>
      <c r="D100" s="157">
        <v>71</v>
      </c>
      <c r="E100" s="157">
        <v>3403</v>
      </c>
      <c r="F100" s="158"/>
      <c r="G100" s="158"/>
      <c r="H100" s="158"/>
      <c r="I100" s="158"/>
      <c r="J100" s="158">
        <v>67.856972130598962</v>
      </c>
      <c r="K100" s="158">
        <v>69.669721740566416</v>
      </c>
      <c r="L100" s="158">
        <v>57.292413595296132</v>
      </c>
      <c r="M100" s="7"/>
      <c r="N100" s="7" t="s">
        <v>1060</v>
      </c>
    </row>
    <row r="101" spans="1:14" ht="18" customHeight="1">
      <c r="A101" s="15" t="s">
        <v>24</v>
      </c>
      <c r="B101" s="15">
        <v>2022</v>
      </c>
      <c r="C101" s="12" t="s">
        <v>62</v>
      </c>
      <c r="D101" s="157">
        <v>72</v>
      </c>
      <c r="E101" s="157">
        <v>3486</v>
      </c>
      <c r="F101" s="158"/>
      <c r="G101" s="158"/>
      <c r="H101" s="158"/>
      <c r="I101" s="158"/>
      <c r="J101" s="158">
        <v>68.840853682385301</v>
      </c>
      <c r="K101" s="158">
        <v>70.492288437218875</v>
      </c>
      <c r="L101" s="158">
        <v>57.948624347591796</v>
      </c>
      <c r="M101" s="7"/>
      <c r="N101" s="7" t="s">
        <v>1060</v>
      </c>
    </row>
    <row r="102" spans="1:14" ht="18" customHeight="1">
      <c r="A102" s="15" t="s">
        <v>24</v>
      </c>
      <c r="B102" s="15">
        <v>2023</v>
      </c>
      <c r="C102" s="12" t="s">
        <v>62</v>
      </c>
      <c r="D102" s="157">
        <v>74</v>
      </c>
      <c r="E102" s="157">
        <v>3661</v>
      </c>
      <c r="F102" s="158"/>
      <c r="G102" s="158"/>
      <c r="H102" s="158"/>
      <c r="I102" s="158"/>
      <c r="J102" s="158">
        <v>70.512798879570724</v>
      </c>
      <c r="K102" s="158">
        <v>72.429466952398627</v>
      </c>
      <c r="L102" s="158">
        <v>59.386126250780421</v>
      </c>
      <c r="M102" s="7"/>
      <c r="N102" s="7" t="s">
        <v>1060</v>
      </c>
    </row>
    <row r="103" spans="1:14" ht="18" hidden="1" customHeight="1">
      <c r="A103" s="15" t="s">
        <v>22</v>
      </c>
      <c r="B103" s="15">
        <v>1989</v>
      </c>
      <c r="C103" s="12" t="s">
        <v>70</v>
      </c>
      <c r="D103" s="157">
        <v>39.6</v>
      </c>
      <c r="E103" s="157">
        <v>801.4</v>
      </c>
      <c r="F103" s="158"/>
      <c r="G103" s="158"/>
      <c r="H103" s="158"/>
      <c r="I103" s="158"/>
      <c r="J103" s="158"/>
      <c r="K103" s="158"/>
      <c r="L103" s="158"/>
      <c r="M103" s="7"/>
      <c r="N103" s="7"/>
    </row>
    <row r="104" spans="1:14" ht="18" hidden="1" customHeight="1">
      <c r="A104" s="15" t="s">
        <v>22</v>
      </c>
      <c r="B104" s="15">
        <v>1993</v>
      </c>
      <c r="C104" s="12" t="s">
        <v>70</v>
      </c>
      <c r="D104" s="157">
        <v>38.1</v>
      </c>
      <c r="E104" s="157">
        <v>651.4</v>
      </c>
      <c r="F104" s="158"/>
      <c r="G104" s="158"/>
      <c r="H104" s="158"/>
      <c r="I104" s="158"/>
      <c r="J104" s="158"/>
      <c r="K104" s="158"/>
      <c r="L104" s="158"/>
      <c r="M104" s="7"/>
      <c r="N104" s="7"/>
    </row>
    <row r="105" spans="1:14" ht="18" hidden="1" customHeight="1">
      <c r="A105" s="15" t="s">
        <v>22</v>
      </c>
      <c r="B105" s="15">
        <v>1997</v>
      </c>
      <c r="C105" s="12" t="s">
        <v>70</v>
      </c>
      <c r="D105" s="157">
        <v>38.6</v>
      </c>
      <c r="E105" s="157">
        <v>687.1</v>
      </c>
      <c r="J105" s="158"/>
      <c r="K105" s="158"/>
      <c r="L105" s="158"/>
      <c r="M105" s="7"/>
      <c r="N105" s="7"/>
    </row>
    <row r="106" spans="1:14" ht="18" hidden="1" customHeight="1">
      <c r="A106" s="15" t="s">
        <v>22</v>
      </c>
      <c r="B106" s="15">
        <v>2000</v>
      </c>
      <c r="C106" s="12" t="s">
        <v>70</v>
      </c>
      <c r="D106" s="157">
        <v>39</v>
      </c>
      <c r="E106" s="157">
        <v>685.5</v>
      </c>
      <c r="F106" s="158"/>
      <c r="G106" s="158"/>
      <c r="H106" s="158"/>
      <c r="I106" s="158"/>
      <c r="J106" s="158"/>
      <c r="K106" s="158"/>
      <c r="L106" s="158"/>
      <c r="M106" s="7"/>
      <c r="N106" s="7"/>
    </row>
    <row r="107" spans="1:14" ht="18" hidden="1" customHeight="1">
      <c r="A107" s="15" t="s">
        <v>22</v>
      </c>
      <c r="B107" s="15">
        <v>2004</v>
      </c>
      <c r="C107" s="12" t="s">
        <v>70</v>
      </c>
      <c r="D107" s="157">
        <v>37.700000000000003</v>
      </c>
      <c r="E107" s="157">
        <v>650.4</v>
      </c>
      <c r="F107" s="158"/>
      <c r="G107" s="158"/>
      <c r="H107" s="158"/>
      <c r="I107" s="158"/>
      <c r="J107" s="158"/>
      <c r="K107" s="158"/>
      <c r="L107" s="158"/>
      <c r="M107" s="7"/>
      <c r="N107" s="7"/>
    </row>
    <row r="108" spans="1:14" ht="18" hidden="1" customHeight="1">
      <c r="A108" s="15" t="s">
        <v>22</v>
      </c>
      <c r="B108" s="15">
        <v>2006</v>
      </c>
      <c r="C108" s="12" t="s">
        <v>70</v>
      </c>
      <c r="D108" s="157">
        <v>37.4</v>
      </c>
      <c r="E108" s="157">
        <v>637.20000000000005</v>
      </c>
      <c r="F108" s="158"/>
      <c r="G108" s="158"/>
      <c r="H108" s="158"/>
      <c r="I108" s="158"/>
      <c r="J108" s="158"/>
      <c r="K108" s="158"/>
      <c r="L108" s="158"/>
      <c r="M108" s="7"/>
      <c r="N108" s="7"/>
    </row>
    <row r="109" spans="1:14" ht="18" hidden="1" customHeight="1">
      <c r="A109" s="15" t="s">
        <v>22</v>
      </c>
      <c r="B109" s="15">
        <v>2008</v>
      </c>
      <c r="C109" s="12" t="s">
        <v>70</v>
      </c>
      <c r="D109" s="157">
        <v>40.800000000000004</v>
      </c>
      <c r="E109" s="157">
        <v>669.8</v>
      </c>
      <c r="F109" s="158"/>
      <c r="G109" s="158"/>
      <c r="H109" s="158"/>
      <c r="I109" s="158"/>
      <c r="J109" s="158"/>
      <c r="K109" s="158"/>
      <c r="L109" s="158"/>
      <c r="M109" s="7"/>
      <c r="N109" s="7"/>
    </row>
    <row r="110" spans="1:14" ht="18" hidden="1" customHeight="1">
      <c r="A110" s="15" t="s">
        <v>22</v>
      </c>
      <c r="B110" s="15">
        <v>2010</v>
      </c>
      <c r="C110" s="12" t="s">
        <v>70</v>
      </c>
      <c r="D110" s="157">
        <v>39.5</v>
      </c>
      <c r="E110" s="157">
        <v>39.5</v>
      </c>
      <c r="F110" s="158"/>
      <c r="G110" s="158"/>
      <c r="H110" s="158"/>
      <c r="I110" s="158"/>
      <c r="J110" s="158"/>
      <c r="K110" s="158"/>
      <c r="L110" s="158"/>
      <c r="M110" s="7"/>
      <c r="N110" s="7"/>
    </row>
    <row r="111" spans="1:14" ht="18" hidden="1" customHeight="1">
      <c r="A111" s="15" t="s">
        <v>22</v>
      </c>
      <c r="B111" s="15">
        <v>2012</v>
      </c>
      <c r="C111" s="12" t="s">
        <v>70</v>
      </c>
      <c r="D111" s="157">
        <v>39.200000000000003</v>
      </c>
      <c r="E111" s="157">
        <v>39.200000000000003</v>
      </c>
      <c r="F111" s="158">
        <v>558.29999999999995</v>
      </c>
      <c r="G111" s="158"/>
      <c r="H111" s="158"/>
      <c r="I111" s="158"/>
      <c r="J111" s="158"/>
      <c r="K111" s="158"/>
      <c r="L111" s="158"/>
      <c r="M111" s="7"/>
      <c r="N111" s="7"/>
    </row>
    <row r="112" spans="1:14" ht="18" hidden="1" customHeight="1">
      <c r="A112" s="15" t="s">
        <v>22</v>
      </c>
      <c r="B112" s="15">
        <v>2014</v>
      </c>
      <c r="C112" s="12" t="s">
        <v>70</v>
      </c>
      <c r="D112" s="157">
        <v>37.900000000000006</v>
      </c>
      <c r="E112" s="157">
        <v>37.900000000000006</v>
      </c>
      <c r="F112" s="158">
        <v>497.05</v>
      </c>
      <c r="G112" s="158"/>
      <c r="H112" s="158"/>
      <c r="I112" s="158"/>
      <c r="J112" s="158"/>
      <c r="K112" s="158"/>
      <c r="L112" s="158"/>
      <c r="M112" s="7"/>
      <c r="N112" s="7"/>
    </row>
    <row r="113" spans="1:14" ht="18" hidden="1" customHeight="1">
      <c r="A113" s="15" t="s">
        <v>22</v>
      </c>
      <c r="B113" s="15">
        <v>2016</v>
      </c>
      <c r="C113" s="12" t="s">
        <v>70</v>
      </c>
      <c r="D113" s="157">
        <v>26.4</v>
      </c>
      <c r="E113" s="157">
        <v>26.4</v>
      </c>
      <c r="F113" s="158">
        <v>473.73999999999995</v>
      </c>
      <c r="G113" s="158"/>
      <c r="H113" s="158"/>
      <c r="I113" s="158"/>
      <c r="J113" s="158"/>
      <c r="K113" s="158"/>
      <c r="L113" s="158"/>
      <c r="M113" s="7"/>
      <c r="N113" s="7"/>
    </row>
    <row r="114" spans="1:14" ht="18" customHeight="1">
      <c r="A114" s="15" t="s">
        <v>22</v>
      </c>
      <c r="B114" s="15">
        <v>2018</v>
      </c>
      <c r="C114" s="12" t="s">
        <v>70</v>
      </c>
      <c r="D114" s="157">
        <v>37</v>
      </c>
      <c r="E114" s="157">
        <v>37</v>
      </c>
      <c r="F114" s="158">
        <v>476.21000000000004</v>
      </c>
      <c r="G114" s="158">
        <v>23.4</v>
      </c>
      <c r="H114" s="158"/>
      <c r="I114" s="158"/>
      <c r="J114" s="158">
        <v>31.299999999999997</v>
      </c>
      <c r="K114" s="158">
        <v>12.7</v>
      </c>
      <c r="L114" s="158">
        <v>13</v>
      </c>
      <c r="M114" s="7"/>
      <c r="N114" s="7" t="s">
        <v>1062</v>
      </c>
    </row>
    <row r="115" spans="1:14" ht="18" customHeight="1">
      <c r="A115" s="15" t="s">
        <v>22</v>
      </c>
      <c r="B115" s="15">
        <v>2020</v>
      </c>
      <c r="C115" s="12" t="s">
        <v>70</v>
      </c>
      <c r="D115" s="157">
        <v>35.9</v>
      </c>
      <c r="E115" s="157">
        <v>35.9</v>
      </c>
      <c r="F115" s="158">
        <v>428.60999999999996</v>
      </c>
      <c r="G115" s="158">
        <v>22.6</v>
      </c>
      <c r="H115" s="158"/>
      <c r="I115" s="158"/>
      <c r="J115" s="158">
        <v>30.1</v>
      </c>
      <c r="K115" s="158">
        <v>11.5</v>
      </c>
      <c r="L115" s="158">
        <v>12</v>
      </c>
      <c r="M115" s="7"/>
      <c r="N115" s="7" t="s">
        <v>1060</v>
      </c>
    </row>
    <row r="116" spans="1:14" ht="18" customHeight="1">
      <c r="A116" s="15" t="s">
        <v>22</v>
      </c>
      <c r="B116" s="15">
        <v>2022</v>
      </c>
      <c r="C116" s="12" t="s">
        <v>70</v>
      </c>
      <c r="D116" s="157">
        <v>35.4</v>
      </c>
      <c r="E116" s="157">
        <v>35.4</v>
      </c>
      <c r="F116" s="158">
        <v>426.21</v>
      </c>
      <c r="G116" s="158">
        <v>22.4</v>
      </c>
      <c r="H116" s="158"/>
      <c r="I116" s="158"/>
      <c r="J116" s="158">
        <v>29.5</v>
      </c>
      <c r="K116" s="158">
        <v>11.8</v>
      </c>
      <c r="L116" s="158">
        <v>12</v>
      </c>
      <c r="M116" s="7"/>
      <c r="N116" s="7" t="s">
        <v>1060</v>
      </c>
    </row>
    <row r="117" spans="1:14" ht="18" hidden="1" customHeight="1">
      <c r="A117" s="15" t="s">
        <v>22</v>
      </c>
      <c r="B117" s="15">
        <v>2000</v>
      </c>
      <c r="C117" s="12" t="s">
        <v>71</v>
      </c>
      <c r="E117" s="157">
        <v>1315</v>
      </c>
      <c r="J117" s="158"/>
      <c r="K117" s="158"/>
      <c r="L117" s="158"/>
      <c r="M117" s="7"/>
      <c r="N117" s="7" t="s">
        <v>1062</v>
      </c>
    </row>
    <row r="118" spans="1:14" ht="18" hidden="1" customHeight="1">
      <c r="A118" s="15" t="s">
        <v>22</v>
      </c>
      <c r="B118" s="15">
        <v>2004</v>
      </c>
      <c r="C118" s="12" t="s">
        <v>71</v>
      </c>
      <c r="E118" s="157">
        <v>1341</v>
      </c>
      <c r="J118" s="158"/>
      <c r="K118" s="158"/>
      <c r="L118" s="158"/>
      <c r="M118" s="7"/>
      <c r="N118" s="7" t="s">
        <v>1062</v>
      </c>
    </row>
    <row r="119" spans="1:14" ht="18" hidden="1" customHeight="1">
      <c r="A119" s="15" t="s">
        <v>22</v>
      </c>
      <c r="B119" s="15">
        <v>2008</v>
      </c>
      <c r="C119" s="12" t="s">
        <v>71</v>
      </c>
      <c r="E119" s="157">
        <v>1313</v>
      </c>
      <c r="J119" s="158"/>
      <c r="K119" s="158"/>
      <c r="L119" s="158"/>
      <c r="M119" s="7"/>
      <c r="N119" s="7" t="s">
        <v>1062</v>
      </c>
    </row>
    <row r="120" spans="1:14" ht="18" hidden="1" customHeight="1">
      <c r="A120" s="15" t="s">
        <v>22</v>
      </c>
      <c r="B120" s="15">
        <v>2010</v>
      </c>
      <c r="C120" s="12" t="s">
        <v>71</v>
      </c>
      <c r="E120" s="157">
        <v>1428</v>
      </c>
      <c r="J120" s="158"/>
      <c r="K120" s="158"/>
      <c r="L120" s="158"/>
      <c r="M120" s="7"/>
      <c r="N120" s="7" t="s">
        <v>1062</v>
      </c>
    </row>
    <row r="121" spans="1:14" ht="18" hidden="1" customHeight="1">
      <c r="A121" s="15" t="s">
        <v>22</v>
      </c>
      <c r="B121" s="15">
        <v>2012</v>
      </c>
      <c r="C121" s="12" t="s">
        <v>71</v>
      </c>
      <c r="E121" s="157">
        <v>1521</v>
      </c>
      <c r="J121" s="158"/>
      <c r="K121" s="158"/>
      <c r="L121" s="158"/>
      <c r="M121" s="7"/>
      <c r="N121" s="7" t="s">
        <v>1062</v>
      </c>
    </row>
    <row r="122" spans="1:14" ht="18" hidden="1" customHeight="1">
      <c r="A122" s="15" t="s">
        <v>22</v>
      </c>
      <c r="B122" s="15">
        <v>1980</v>
      </c>
      <c r="C122" s="12" t="s">
        <v>72</v>
      </c>
      <c r="D122" s="157">
        <v>66.930000000000007</v>
      </c>
      <c r="E122" s="157">
        <v>1319</v>
      </c>
      <c r="J122" s="158"/>
      <c r="K122" s="158"/>
      <c r="L122" s="158"/>
      <c r="M122" s="7"/>
      <c r="N122" s="7" t="s">
        <v>1062</v>
      </c>
    </row>
    <row r="123" spans="1:14" ht="18" hidden="1" customHeight="1">
      <c r="A123" s="15" t="s">
        <v>22</v>
      </c>
      <c r="B123" s="15">
        <v>1985</v>
      </c>
      <c r="C123" s="12" t="s">
        <v>72</v>
      </c>
      <c r="D123" s="157">
        <v>64.87</v>
      </c>
      <c r="E123" s="157">
        <v>1266</v>
      </c>
      <c r="J123" s="158"/>
      <c r="K123" s="158"/>
      <c r="L123" s="158"/>
      <c r="M123" s="7"/>
      <c r="N123" s="7" t="s">
        <v>1062</v>
      </c>
    </row>
    <row r="124" spans="1:14" ht="18" hidden="1" customHeight="1">
      <c r="A124" s="15" t="s">
        <v>22</v>
      </c>
      <c r="B124" s="15">
        <v>1990</v>
      </c>
      <c r="C124" s="12" t="s">
        <v>72</v>
      </c>
      <c r="D124" s="157">
        <v>64.149999999999991</v>
      </c>
      <c r="E124" s="157">
        <v>1242</v>
      </c>
      <c r="J124" s="158"/>
      <c r="K124" s="158"/>
      <c r="L124" s="158"/>
      <c r="M124" s="7"/>
      <c r="N124" s="7" t="s">
        <v>1062</v>
      </c>
    </row>
    <row r="125" spans="1:14" ht="18" hidden="1" customHeight="1">
      <c r="A125" s="15" t="s">
        <v>22</v>
      </c>
      <c r="B125" s="15">
        <v>1995</v>
      </c>
      <c r="C125" s="12" t="s">
        <v>72</v>
      </c>
      <c r="D125" s="157">
        <v>59.629999999999995</v>
      </c>
      <c r="E125" s="157">
        <v>1051</v>
      </c>
      <c r="J125" s="158"/>
      <c r="K125" s="158"/>
      <c r="L125" s="158"/>
      <c r="M125" s="7"/>
      <c r="N125" s="7" t="s">
        <v>1062</v>
      </c>
    </row>
    <row r="126" spans="1:14" ht="18" hidden="1" customHeight="1">
      <c r="A126" s="15" t="s">
        <v>22</v>
      </c>
      <c r="B126" s="15">
        <v>2000</v>
      </c>
      <c r="C126" s="12" t="s">
        <v>72</v>
      </c>
      <c r="D126" s="157">
        <v>58.63</v>
      </c>
      <c r="E126" s="157">
        <v>951</v>
      </c>
      <c r="J126" s="158"/>
      <c r="K126" s="158"/>
      <c r="L126" s="158"/>
      <c r="M126" s="7"/>
      <c r="N126" s="7" t="s">
        <v>1062</v>
      </c>
    </row>
    <row r="127" spans="1:14" ht="18" hidden="1" customHeight="1">
      <c r="A127" s="15" t="s">
        <v>22</v>
      </c>
      <c r="B127" s="15">
        <v>2002</v>
      </c>
      <c r="C127" s="12" t="s">
        <v>72</v>
      </c>
      <c r="D127" s="157">
        <v>61.180000000000007</v>
      </c>
      <c r="E127" s="157">
        <v>1041</v>
      </c>
      <c r="F127" s="158"/>
      <c r="G127" s="158"/>
      <c r="H127" s="158"/>
      <c r="I127" s="158"/>
      <c r="J127" s="158"/>
      <c r="K127" s="158"/>
      <c r="L127" s="158"/>
      <c r="M127" s="7"/>
      <c r="N127" s="7" t="s">
        <v>1062</v>
      </c>
    </row>
    <row r="128" spans="1:14" ht="18" hidden="1" customHeight="1">
      <c r="A128" s="15" t="s">
        <v>22</v>
      </c>
      <c r="B128" s="15">
        <v>2004</v>
      </c>
      <c r="C128" s="12" t="s">
        <v>72</v>
      </c>
      <c r="D128" s="157">
        <v>60.400000000000006</v>
      </c>
      <c r="E128" s="157">
        <v>983</v>
      </c>
      <c r="F128" s="158"/>
      <c r="G128" s="158"/>
      <c r="H128" s="158"/>
      <c r="I128" s="158"/>
      <c r="J128" s="158"/>
      <c r="K128" s="158"/>
      <c r="L128" s="158"/>
      <c r="M128" s="7"/>
      <c r="N128" s="7" t="s">
        <v>1062</v>
      </c>
    </row>
    <row r="129" spans="1:14" ht="18" hidden="1" customHeight="1">
      <c r="A129" s="15" t="s">
        <v>22</v>
      </c>
      <c r="B129" s="15">
        <v>2006</v>
      </c>
      <c r="C129" s="12" t="s">
        <v>72</v>
      </c>
      <c r="D129" s="157">
        <v>62.900000000000006</v>
      </c>
      <c r="E129" s="157">
        <v>1040</v>
      </c>
      <c r="J129" s="158"/>
      <c r="K129" s="158"/>
      <c r="L129" s="158"/>
      <c r="M129" s="7"/>
      <c r="N129" s="7" t="s">
        <v>1062</v>
      </c>
    </row>
    <row r="130" spans="1:14" ht="18" hidden="1" customHeight="1">
      <c r="A130" s="15" t="s">
        <v>22</v>
      </c>
      <c r="B130" s="15">
        <v>2008</v>
      </c>
      <c r="C130" s="12" t="s">
        <v>72</v>
      </c>
      <c r="D130" s="157">
        <v>61.900000000000006</v>
      </c>
      <c r="E130" s="157">
        <v>997</v>
      </c>
      <c r="J130" s="158"/>
      <c r="K130" s="158"/>
      <c r="L130" s="158"/>
      <c r="M130" s="7"/>
      <c r="N130" s="7" t="s">
        <v>1062</v>
      </c>
    </row>
    <row r="131" spans="1:14" ht="18" hidden="1" customHeight="1">
      <c r="A131" s="15" t="s">
        <v>22</v>
      </c>
      <c r="B131" s="15">
        <v>2010</v>
      </c>
      <c r="C131" s="12" t="s">
        <v>72</v>
      </c>
      <c r="D131" s="157">
        <v>57.3</v>
      </c>
      <c r="E131" s="157">
        <v>868</v>
      </c>
      <c r="J131" s="158"/>
      <c r="K131" s="158"/>
      <c r="L131" s="158"/>
      <c r="M131" s="7"/>
      <c r="N131" s="7" t="s">
        <v>1062</v>
      </c>
    </row>
    <row r="132" spans="1:14" ht="18" hidden="1" customHeight="1">
      <c r="A132" s="15" t="s">
        <v>22</v>
      </c>
      <c r="B132" s="15">
        <v>2012</v>
      </c>
      <c r="C132" s="12" t="s">
        <v>72</v>
      </c>
      <c r="D132" s="157">
        <v>55.3</v>
      </c>
      <c r="E132" s="157">
        <v>809</v>
      </c>
      <c r="F132" s="163"/>
      <c r="G132" s="158"/>
      <c r="H132" s="158"/>
      <c r="I132" s="158"/>
      <c r="J132" s="158"/>
      <c r="K132" s="158"/>
      <c r="L132" s="158"/>
      <c r="M132" s="7"/>
      <c r="N132" s="7" t="s">
        <v>1062</v>
      </c>
    </row>
    <row r="133" spans="1:14" ht="18" hidden="1" customHeight="1">
      <c r="A133" s="15" t="s">
        <v>22</v>
      </c>
      <c r="B133" s="15">
        <v>2014</v>
      </c>
      <c r="C133" s="12" t="s">
        <v>72</v>
      </c>
      <c r="D133" s="157">
        <v>57</v>
      </c>
      <c r="E133" s="157">
        <v>953.66</v>
      </c>
      <c r="F133" s="163"/>
      <c r="G133" s="158"/>
      <c r="H133" s="158"/>
      <c r="I133" s="158"/>
      <c r="J133" s="158"/>
      <c r="K133" s="158"/>
      <c r="L133" s="158"/>
      <c r="M133" s="7"/>
      <c r="N133" s="7" t="s">
        <v>1062</v>
      </c>
    </row>
    <row r="134" spans="1:14" ht="18" hidden="1" customHeight="1">
      <c r="A134" s="15" t="s">
        <v>22</v>
      </c>
      <c r="B134" s="15">
        <v>2016</v>
      </c>
      <c r="C134" s="12" t="s">
        <v>72</v>
      </c>
      <c r="D134" s="157">
        <v>59.5</v>
      </c>
      <c r="E134" s="157">
        <v>969.35</v>
      </c>
      <c r="F134" s="163"/>
      <c r="G134" s="158"/>
      <c r="H134" s="158"/>
      <c r="I134" s="158"/>
      <c r="J134" s="158"/>
      <c r="K134" s="158"/>
      <c r="L134" s="158"/>
      <c r="M134" s="7"/>
      <c r="N134" s="7" t="s">
        <v>1062</v>
      </c>
    </row>
    <row r="135" spans="1:14" ht="18" customHeight="1">
      <c r="A135" s="15" t="s">
        <v>22</v>
      </c>
      <c r="B135" s="15">
        <v>2018</v>
      </c>
      <c r="C135" s="12" t="s">
        <v>72</v>
      </c>
      <c r="D135" s="157">
        <v>61</v>
      </c>
      <c r="E135" s="157">
        <v>1020.4700000000001</v>
      </c>
      <c r="F135" s="163"/>
      <c r="G135" s="158"/>
      <c r="H135" s="158"/>
      <c r="I135" s="158"/>
      <c r="J135" s="158">
        <v>36.1</v>
      </c>
      <c r="K135" s="158">
        <v>51.1</v>
      </c>
      <c r="L135" s="158">
        <v>20.6</v>
      </c>
      <c r="M135" s="7"/>
      <c r="N135" s="7" t="s">
        <v>1062</v>
      </c>
    </row>
    <row r="136" spans="1:14" ht="18" customHeight="1">
      <c r="A136" s="15" t="s">
        <v>22</v>
      </c>
      <c r="B136" s="15">
        <v>2020</v>
      </c>
      <c r="C136" s="12" t="s">
        <v>72</v>
      </c>
      <c r="D136" s="157">
        <v>59.3</v>
      </c>
      <c r="E136" s="157">
        <v>1024.96</v>
      </c>
      <c r="F136" s="163"/>
      <c r="G136" s="158"/>
      <c r="H136" s="158"/>
      <c r="I136" s="158"/>
      <c r="J136" s="158">
        <v>36.799999999999997</v>
      </c>
      <c r="K136" s="158">
        <v>51.5</v>
      </c>
      <c r="L136" s="158">
        <v>20.6</v>
      </c>
      <c r="M136" s="7"/>
      <c r="N136" s="7" t="s">
        <v>1060</v>
      </c>
    </row>
    <row r="137" spans="1:14" ht="18" customHeight="1">
      <c r="A137" s="15" t="s">
        <v>22</v>
      </c>
      <c r="B137" s="15">
        <v>2022</v>
      </c>
      <c r="C137" s="12" t="s">
        <v>72</v>
      </c>
      <c r="D137" s="157">
        <v>57.199999999999996</v>
      </c>
      <c r="E137" s="157">
        <v>961.54</v>
      </c>
      <c r="F137" s="163"/>
      <c r="G137" s="158"/>
      <c r="H137" s="158"/>
      <c r="I137" s="158"/>
      <c r="J137" s="158">
        <v>35.299999999999997</v>
      </c>
      <c r="K137" s="158">
        <v>49.699999999999996</v>
      </c>
      <c r="L137" s="158">
        <v>19.5</v>
      </c>
      <c r="M137" s="7"/>
      <c r="N137" s="7" t="s">
        <v>1060</v>
      </c>
    </row>
    <row r="138" spans="1:14" ht="18" hidden="1" customHeight="1">
      <c r="A138" s="15" t="s">
        <v>22</v>
      </c>
      <c r="B138" s="15">
        <v>1989</v>
      </c>
      <c r="C138" s="12" t="s">
        <v>73</v>
      </c>
      <c r="E138" s="157">
        <v>265</v>
      </c>
      <c r="J138" s="158"/>
      <c r="K138" s="158"/>
      <c r="L138" s="158"/>
      <c r="M138" s="7"/>
      <c r="N138" s="7"/>
    </row>
    <row r="139" spans="1:14" ht="18" hidden="1" customHeight="1">
      <c r="A139" s="15" t="s">
        <v>22</v>
      </c>
      <c r="B139" s="15">
        <v>1992</v>
      </c>
      <c r="C139" s="12" t="s">
        <v>73</v>
      </c>
      <c r="E139" s="157">
        <v>92</v>
      </c>
      <c r="F139" s="163"/>
      <c r="G139" s="158"/>
      <c r="H139" s="158"/>
      <c r="I139" s="158"/>
      <c r="J139" s="158"/>
      <c r="K139" s="158"/>
      <c r="L139" s="158"/>
      <c r="M139" s="7"/>
      <c r="N139" s="7"/>
    </row>
    <row r="140" spans="1:14" ht="18" hidden="1" customHeight="1">
      <c r="A140" s="15" t="s">
        <v>22</v>
      </c>
      <c r="B140" s="15">
        <v>1996</v>
      </c>
      <c r="C140" s="12" t="s">
        <v>73</v>
      </c>
      <c r="E140" s="157">
        <v>68</v>
      </c>
      <c r="F140" s="163"/>
      <c r="G140" s="158"/>
      <c r="H140" s="158"/>
      <c r="I140" s="158"/>
      <c r="J140" s="158"/>
      <c r="K140" s="158"/>
      <c r="L140" s="158"/>
      <c r="M140" s="7"/>
      <c r="N140" s="7"/>
    </row>
    <row r="141" spans="1:14" ht="18" hidden="1" customHeight="1">
      <c r="A141" s="15" t="s">
        <v>22</v>
      </c>
      <c r="B141" s="15">
        <v>2000</v>
      </c>
      <c r="C141" s="12" t="s">
        <v>73</v>
      </c>
      <c r="E141" s="157">
        <v>124</v>
      </c>
      <c r="F141" s="163"/>
      <c r="G141" s="158"/>
      <c r="H141" s="158"/>
      <c r="I141" s="158"/>
      <c r="J141" s="158"/>
      <c r="K141" s="158"/>
      <c r="L141" s="158"/>
      <c r="M141" s="7"/>
      <c r="N141" s="7"/>
    </row>
    <row r="142" spans="1:14" ht="18" hidden="1" customHeight="1">
      <c r="A142" s="15" t="s">
        <v>22</v>
      </c>
      <c r="B142" s="15">
        <v>2004</v>
      </c>
      <c r="C142" s="12" t="s">
        <v>73</v>
      </c>
      <c r="E142" s="157">
        <v>103</v>
      </c>
      <c r="F142" s="163"/>
      <c r="G142" s="158"/>
      <c r="H142" s="158"/>
      <c r="I142" s="158"/>
      <c r="J142" s="158"/>
      <c r="K142" s="158"/>
      <c r="L142" s="158"/>
      <c r="M142" s="7"/>
      <c r="N142" s="7"/>
    </row>
    <row r="143" spans="1:14" ht="18" hidden="1" customHeight="1">
      <c r="A143" s="15" t="s">
        <v>22</v>
      </c>
      <c r="B143" s="15">
        <v>2007</v>
      </c>
      <c r="C143" s="12" t="s">
        <v>73</v>
      </c>
      <c r="E143" s="157">
        <v>111</v>
      </c>
      <c r="F143" s="163"/>
      <c r="G143" s="158"/>
      <c r="H143" s="158"/>
      <c r="I143" s="158"/>
      <c r="J143" s="158"/>
      <c r="K143" s="158"/>
      <c r="L143" s="158"/>
      <c r="M143" s="7"/>
      <c r="N143" s="7"/>
    </row>
    <row r="144" spans="1:14" ht="18" hidden="1" customHeight="1">
      <c r="A144" s="15" t="s">
        <v>22</v>
      </c>
      <c r="B144" s="15">
        <v>2012</v>
      </c>
      <c r="C144" s="12" t="s">
        <v>73</v>
      </c>
      <c r="E144" s="157">
        <v>121</v>
      </c>
      <c r="J144" s="158"/>
      <c r="K144" s="158"/>
      <c r="L144" s="158"/>
      <c r="M144" s="7"/>
      <c r="N144" s="7"/>
    </row>
    <row r="145" spans="1:14" ht="18" hidden="1" customHeight="1">
      <c r="A145" s="15" t="s">
        <v>22</v>
      </c>
      <c r="B145" s="15">
        <v>2013</v>
      </c>
      <c r="C145" s="12" t="s">
        <v>73</v>
      </c>
      <c r="J145" s="158"/>
      <c r="K145" s="158"/>
      <c r="L145" s="158"/>
      <c r="M145" s="7"/>
      <c r="N145" s="7"/>
    </row>
    <row r="146" spans="1:14" ht="18" hidden="1" customHeight="1">
      <c r="A146" s="15" t="s">
        <v>22</v>
      </c>
      <c r="B146" s="15">
        <v>2014</v>
      </c>
      <c r="C146" s="12" t="s">
        <v>73</v>
      </c>
      <c r="J146" s="158"/>
      <c r="K146" s="158"/>
      <c r="L146" s="158"/>
      <c r="M146" s="7"/>
      <c r="N146" s="7"/>
    </row>
    <row r="147" spans="1:14" ht="18" hidden="1" customHeight="1">
      <c r="A147" s="15" t="s">
        <v>22</v>
      </c>
      <c r="B147" s="15">
        <v>2015</v>
      </c>
      <c r="C147" s="12" t="s">
        <v>73</v>
      </c>
      <c r="J147" s="158"/>
      <c r="K147" s="158"/>
      <c r="L147" s="158"/>
      <c r="M147" s="7"/>
      <c r="N147" s="7"/>
    </row>
    <row r="148" spans="1:14" ht="18" hidden="1" customHeight="1">
      <c r="A148" s="15" t="s">
        <v>22</v>
      </c>
      <c r="B148" s="15">
        <v>2016</v>
      </c>
      <c r="C148" s="12" t="s">
        <v>73</v>
      </c>
      <c r="J148" s="158"/>
      <c r="K148" s="158"/>
      <c r="L148" s="158"/>
      <c r="M148" s="7"/>
      <c r="N148" s="7"/>
    </row>
    <row r="149" spans="1:14" ht="18" customHeight="1">
      <c r="A149" s="15" t="s">
        <v>22</v>
      </c>
      <c r="B149" s="15">
        <v>2019</v>
      </c>
      <c r="C149" s="12" t="s">
        <v>73</v>
      </c>
      <c r="D149" s="157">
        <v>17.049833171886771</v>
      </c>
      <c r="E149" s="157">
        <v>126.28519959893276</v>
      </c>
      <c r="F149" s="157">
        <v>10.172209665267463</v>
      </c>
      <c r="G149" s="157">
        <v>13.724034011408889</v>
      </c>
      <c r="J149" s="158">
        <v>6.3513077171456249</v>
      </c>
      <c r="K149" s="158" cm="1">
        <f t="array" ref="K149">SUM(LARGE('Unified sheet'!$I$1429:$I$1443,{1;2;3}))</f>
        <v>13.54</v>
      </c>
      <c r="L149" s="158" cm="1">
        <f t="array" ref="L149">SUM(LARGE('Unified sheet'!$I$1429:$I$1443,{1}))</f>
        <v>6.31</v>
      </c>
      <c r="M149" s="7"/>
      <c r="N149" s="7" t="s">
        <v>1063</v>
      </c>
    </row>
    <row r="150" spans="1:14" ht="18" customHeight="1">
      <c r="A150" s="15" t="s">
        <v>22</v>
      </c>
      <c r="B150" s="15">
        <v>2021</v>
      </c>
      <c r="C150" s="12" t="s">
        <v>73</v>
      </c>
      <c r="D150" s="157">
        <v>16.536863966770508</v>
      </c>
      <c r="E150" s="157">
        <v>109.09716736272185</v>
      </c>
      <c r="F150" s="157">
        <v>9.6625129802699892</v>
      </c>
      <c r="G150" s="157">
        <v>13.110072689511941</v>
      </c>
      <c r="J150" s="158">
        <v>6.0695742471443408</v>
      </c>
      <c r="K150" s="158" cm="1">
        <f t="array" ref="K150">SUM(LARGE('Unified sheet'!$I$1445:$I$1454,{1;2;3}))</f>
        <v>56.919999999999995</v>
      </c>
      <c r="L150" s="158" cm="1">
        <f t="array" ref="L150">SUM(LARGE('Unified sheet'!$I$1445:$I$1454,{1}))</f>
        <v>52.1</v>
      </c>
      <c r="M150" s="7"/>
      <c r="N150" s="7" t="s">
        <v>1063</v>
      </c>
    </row>
    <row r="151" spans="1:14" ht="18" customHeight="1">
      <c r="A151" s="15" t="s">
        <v>22</v>
      </c>
      <c r="B151" s="15">
        <v>2022</v>
      </c>
      <c r="C151" s="12" t="s">
        <v>73</v>
      </c>
      <c r="D151" s="157">
        <v>16.424184667513764</v>
      </c>
      <c r="E151" s="157">
        <v>102.10555016476447</v>
      </c>
      <c r="F151" s="157">
        <v>9.4006776789495969</v>
      </c>
      <c r="G151" s="157">
        <v>13.10249894112664</v>
      </c>
      <c r="J151" s="158">
        <v>5.4828462515883096</v>
      </c>
      <c r="K151" s="158" cm="1">
        <f t="array" ref="K151">SUM(LARGE('Unified sheet'!$I$1456:$I$1463,{1;2;3}))</f>
        <v>94.299999999999983</v>
      </c>
      <c r="L151" s="158" cm="1">
        <f t="array" ref="L151">SUM(LARGE('Unified sheet'!$I$1456:$I$1463,{1}))</f>
        <v>48.3</v>
      </c>
      <c r="M151" s="7"/>
      <c r="N151" s="7" t="s">
        <v>1063</v>
      </c>
    </row>
    <row r="152" spans="1:14" ht="18" hidden="1" customHeight="1">
      <c r="A152" s="15" t="s">
        <v>22</v>
      </c>
      <c r="B152" s="15">
        <v>2000</v>
      </c>
      <c r="C152" s="15" t="s">
        <v>85</v>
      </c>
      <c r="E152" s="157">
        <v>1028</v>
      </c>
      <c r="J152" s="158"/>
      <c r="K152" s="158"/>
      <c r="L152" s="158"/>
      <c r="M152" s="7"/>
      <c r="N152" s="7"/>
    </row>
    <row r="153" spans="1:14" ht="18" hidden="1" customHeight="1">
      <c r="A153" s="15" t="s">
        <v>22</v>
      </c>
      <c r="B153" s="15">
        <v>2004</v>
      </c>
      <c r="C153" s="15" t="s">
        <v>85</v>
      </c>
      <c r="E153" s="157">
        <v>6262</v>
      </c>
      <c r="J153" s="158"/>
      <c r="K153" s="158"/>
      <c r="L153" s="158"/>
      <c r="M153" s="7"/>
      <c r="N153" s="7"/>
    </row>
    <row r="154" spans="1:14" ht="18" hidden="1" customHeight="1">
      <c r="A154" s="15" t="s">
        <v>22</v>
      </c>
      <c r="B154" s="15">
        <v>2008</v>
      </c>
      <c r="C154" s="15" t="s">
        <v>85</v>
      </c>
      <c r="E154" s="157">
        <v>7586</v>
      </c>
      <c r="J154" s="158"/>
      <c r="K154" s="158"/>
      <c r="L154" s="158"/>
      <c r="M154" s="7"/>
      <c r="N154" s="7"/>
    </row>
    <row r="155" spans="1:14" ht="18" hidden="1" customHeight="1">
      <c r="A155" s="15" t="s">
        <v>22</v>
      </c>
      <c r="B155" s="15">
        <v>2010</v>
      </c>
      <c r="C155" s="15" t="s">
        <v>85</v>
      </c>
      <c r="E155" s="157">
        <v>7959</v>
      </c>
      <c r="J155" s="158"/>
      <c r="K155" s="158"/>
      <c r="L155" s="158"/>
      <c r="M155" s="7"/>
      <c r="N155" s="7"/>
    </row>
    <row r="156" spans="1:14" ht="18" hidden="1" customHeight="1">
      <c r="A156" s="15" t="s">
        <v>22</v>
      </c>
      <c r="B156" s="15">
        <v>2013</v>
      </c>
      <c r="C156" s="15" t="s">
        <v>85</v>
      </c>
      <c r="E156" s="157">
        <v>8204</v>
      </c>
      <c r="J156" s="158"/>
      <c r="K156" s="158"/>
      <c r="L156" s="158"/>
      <c r="M156" s="7"/>
      <c r="N156" s="7"/>
    </row>
    <row r="157" spans="1:14" ht="18" hidden="1" customHeight="1">
      <c r="A157" s="15" t="s">
        <v>22</v>
      </c>
      <c r="B157" s="15">
        <v>2000</v>
      </c>
      <c r="C157" s="12" t="s">
        <v>87</v>
      </c>
      <c r="E157" s="157">
        <v>1470</v>
      </c>
      <c r="J157" s="158"/>
      <c r="K157" s="158"/>
      <c r="L157" s="158"/>
      <c r="M157" s="7"/>
      <c r="N157" s="7"/>
    </row>
    <row r="158" spans="1:14" ht="18" hidden="1" customHeight="1">
      <c r="A158" s="15" t="s">
        <v>22</v>
      </c>
      <c r="B158" s="15">
        <v>2004</v>
      </c>
      <c r="C158" s="12" t="s">
        <v>87</v>
      </c>
      <c r="E158" s="157">
        <v>1150</v>
      </c>
      <c r="J158" s="158"/>
      <c r="K158" s="158"/>
      <c r="L158" s="158"/>
      <c r="M158" s="7"/>
      <c r="N158" s="7"/>
    </row>
    <row r="159" spans="1:14" ht="18" hidden="1" customHeight="1">
      <c r="A159" s="15" t="s">
        <v>22</v>
      </c>
      <c r="B159" s="15">
        <v>2008</v>
      </c>
      <c r="C159" s="12" t="s">
        <v>87</v>
      </c>
      <c r="E159" s="157">
        <v>1294</v>
      </c>
      <c r="J159" s="158"/>
      <c r="K159" s="158"/>
      <c r="L159" s="158"/>
      <c r="M159" s="7"/>
      <c r="N159" s="7"/>
    </row>
    <row r="160" spans="1:14" ht="18" hidden="1" customHeight="1">
      <c r="A160" s="15" t="s">
        <v>22</v>
      </c>
      <c r="B160" s="15">
        <v>2010</v>
      </c>
      <c r="C160" s="12" t="s">
        <v>87</v>
      </c>
      <c r="E160" s="157">
        <v>1722</v>
      </c>
      <c r="J160" s="158"/>
      <c r="K160" s="158"/>
      <c r="L160" s="158"/>
      <c r="M160" s="7"/>
      <c r="N160" s="7"/>
    </row>
    <row r="161" spans="1:14" ht="18" customHeight="1">
      <c r="A161" s="24" t="s">
        <v>26</v>
      </c>
      <c r="B161" s="3">
        <v>2019</v>
      </c>
      <c r="C161" s="24" t="s">
        <v>1064</v>
      </c>
      <c r="D161" s="163">
        <v>84.51133096833604</v>
      </c>
      <c r="E161" s="158">
        <v>3137.2520971467375</v>
      </c>
      <c r="F161" s="158">
        <v>72.53828791799755</v>
      </c>
      <c r="G161" s="158">
        <v>78.902510713806208</v>
      </c>
      <c r="H161" s="158"/>
      <c r="I161" s="158"/>
      <c r="J161" s="158">
        <v>72.53828791799755</v>
      </c>
      <c r="K161" s="158">
        <v>78.902510713806208</v>
      </c>
      <c r="L161" s="158">
        <v>50.236397380954841</v>
      </c>
      <c r="M161" s="7"/>
      <c r="N161" s="7" t="s">
        <v>1065</v>
      </c>
    </row>
    <row r="162" spans="1:14" ht="18" customHeight="1">
      <c r="A162" s="24" t="s">
        <v>26</v>
      </c>
      <c r="B162" s="3">
        <v>2020</v>
      </c>
      <c r="C162" s="24" t="s">
        <v>1064</v>
      </c>
      <c r="D162" s="158">
        <v>79.435869696401838</v>
      </c>
      <c r="E162" s="158">
        <v>2996.0754202423527</v>
      </c>
      <c r="F162" s="157">
        <v>70.683177674015454</v>
      </c>
      <c r="G162" s="157">
        <v>53.884717489619078</v>
      </c>
      <c r="J162" s="158">
        <v>70.683177674015454</v>
      </c>
      <c r="K162" s="158">
        <v>53.884717489619078</v>
      </c>
      <c r="L162" s="158">
        <v>49.483056389424043</v>
      </c>
      <c r="M162" s="7"/>
      <c r="N162" s="7" t="s">
        <v>1065</v>
      </c>
    </row>
    <row r="163" spans="1:14" ht="18" customHeight="1">
      <c r="A163" s="24" t="s">
        <v>26</v>
      </c>
      <c r="B163" s="3">
        <v>2021</v>
      </c>
      <c r="C163" s="24" t="s">
        <v>1064</v>
      </c>
      <c r="D163" s="158">
        <v>76.743760715271236</v>
      </c>
      <c r="E163" s="158">
        <v>2746.0451538107964</v>
      </c>
      <c r="F163" s="157">
        <v>67.410498986560754</v>
      </c>
      <c r="G163" s="157">
        <v>72.226715523656267</v>
      </c>
      <c r="J163" s="158">
        <v>67.410498986560754</v>
      </c>
      <c r="K163" s="158">
        <v>72.226715523656267</v>
      </c>
      <c r="L163" s="158">
        <v>46.984317467544898</v>
      </c>
      <c r="M163" s="7"/>
      <c r="N163" s="7" t="s">
        <v>1065</v>
      </c>
    </row>
    <row r="164" spans="1:14" ht="18" customHeight="1">
      <c r="A164" s="24" t="s">
        <v>26</v>
      </c>
      <c r="B164" s="3">
        <v>2022</v>
      </c>
      <c r="C164" s="24" t="s">
        <v>1064</v>
      </c>
      <c r="D164" s="158">
        <v>73.728534566789648</v>
      </c>
      <c r="E164" s="158">
        <v>2514.891823566601</v>
      </c>
      <c r="F164" s="157">
        <v>64.28791961085301</v>
      </c>
      <c r="G164" s="157">
        <v>69.464853569790293</v>
      </c>
      <c r="J164" s="158">
        <v>64.28791961085301</v>
      </c>
      <c r="K164" s="158">
        <v>69.464853569790293</v>
      </c>
      <c r="L164" s="158">
        <v>44.551202737646307</v>
      </c>
      <c r="M164" s="7"/>
      <c r="N164" s="7" t="s">
        <v>1065</v>
      </c>
    </row>
    <row r="165" spans="1:14" ht="18" customHeight="1">
      <c r="A165" s="24" t="s">
        <v>26</v>
      </c>
      <c r="B165" s="3">
        <v>2023</v>
      </c>
      <c r="C165" s="24" t="s">
        <v>1064</v>
      </c>
      <c r="D165" s="158">
        <v>71.113600145685339</v>
      </c>
      <c r="E165" s="158">
        <v>2312.5459990939744</v>
      </c>
      <c r="F165" s="158">
        <v>60.798925246920767</v>
      </c>
      <c r="G165" s="158">
        <v>66.572687937150974</v>
      </c>
      <c r="H165" s="158"/>
      <c r="I165" s="158"/>
      <c r="J165" s="158">
        <v>60.798925246920767</v>
      </c>
      <c r="K165" s="158">
        <v>66.572687937150974</v>
      </c>
      <c r="L165" s="158">
        <v>42.684903868614299</v>
      </c>
      <c r="M165" s="7"/>
      <c r="N165" s="7" t="s">
        <v>1065</v>
      </c>
    </row>
    <row r="166" spans="1:14" ht="18" customHeight="1">
      <c r="A166" s="24" t="s">
        <v>26</v>
      </c>
      <c r="B166" s="3">
        <v>2018</v>
      </c>
      <c r="C166" s="24" t="s">
        <v>1066</v>
      </c>
      <c r="D166" s="157">
        <v>98</v>
      </c>
      <c r="E166" s="158">
        <v>7979.0941000000003</v>
      </c>
      <c r="F166" s="158">
        <v>96.39</v>
      </c>
      <c r="G166" s="158">
        <v>97.75</v>
      </c>
      <c r="H166" s="158"/>
      <c r="I166" s="158"/>
      <c r="J166" s="158">
        <v>96.39</v>
      </c>
      <c r="K166" s="158">
        <v>97.75</v>
      </c>
      <c r="L166" s="158">
        <v>89.01</v>
      </c>
      <c r="M166" s="7"/>
      <c r="N166" s="7" t="s">
        <v>1067</v>
      </c>
    </row>
    <row r="167" spans="1:14" ht="18" customHeight="1">
      <c r="A167" s="24" t="s">
        <v>26</v>
      </c>
      <c r="B167" s="3">
        <v>2019</v>
      </c>
      <c r="C167" s="24" t="s">
        <v>1066</v>
      </c>
      <c r="D167" s="158">
        <v>97</v>
      </c>
      <c r="E167" s="158">
        <v>8128.3929999999991</v>
      </c>
      <c r="F167" s="158">
        <v>95.809999999999988</v>
      </c>
      <c r="G167" s="158">
        <v>96.97999999999999</v>
      </c>
      <c r="H167" s="158"/>
      <c r="I167" s="158"/>
      <c r="J167" s="158">
        <v>95.809999999999988</v>
      </c>
      <c r="K167" s="158">
        <v>96.97999999999999</v>
      </c>
      <c r="L167" s="158">
        <v>89.96</v>
      </c>
      <c r="M167" s="7"/>
      <c r="N167" s="7" t="s">
        <v>1068</v>
      </c>
    </row>
    <row r="168" spans="1:14" ht="18" customHeight="1">
      <c r="A168" s="24" t="s">
        <v>26</v>
      </c>
      <c r="B168" s="3">
        <v>2020</v>
      </c>
      <c r="C168" s="24" t="s">
        <v>1066</v>
      </c>
      <c r="D168" s="158">
        <v>97.66</v>
      </c>
      <c r="E168" s="158">
        <v>7591.5277999999998</v>
      </c>
      <c r="F168" s="158">
        <v>95.57</v>
      </c>
      <c r="G168" s="158">
        <v>96.61999999999999</v>
      </c>
      <c r="H168" s="158"/>
      <c r="I168" s="158"/>
      <c r="J168" s="158">
        <v>95.57</v>
      </c>
      <c r="K168" s="158">
        <v>96.61999999999999</v>
      </c>
      <c r="L168" s="158">
        <v>86.66</v>
      </c>
      <c r="M168" s="7"/>
      <c r="N168" s="7" t="s">
        <v>1068</v>
      </c>
    </row>
    <row r="169" spans="1:14" ht="18" customHeight="1">
      <c r="A169" s="24" t="s">
        <v>26</v>
      </c>
      <c r="B169" s="3">
        <v>2021</v>
      </c>
      <c r="C169" s="24" t="s">
        <v>1066</v>
      </c>
      <c r="D169" s="158">
        <v>97.45</v>
      </c>
      <c r="E169" s="158">
        <v>7132.2402000000011</v>
      </c>
      <c r="F169" s="158">
        <v>94.72</v>
      </c>
      <c r="G169" s="158">
        <v>96.17</v>
      </c>
      <c r="H169" s="158"/>
      <c r="I169" s="158"/>
      <c r="J169" s="158">
        <v>94.72</v>
      </c>
      <c r="K169" s="158">
        <v>96.17</v>
      </c>
      <c r="L169" s="158">
        <v>83.7</v>
      </c>
      <c r="M169" s="7"/>
      <c r="N169" s="7" t="s">
        <v>1069</v>
      </c>
    </row>
    <row r="170" spans="1:14" ht="18" customHeight="1">
      <c r="A170" s="24" t="s">
        <v>26</v>
      </c>
      <c r="B170" s="3">
        <v>2022</v>
      </c>
      <c r="C170" s="24" t="s">
        <v>1066</v>
      </c>
      <c r="D170" s="158">
        <v>97.08</v>
      </c>
      <c r="E170" s="158">
        <v>6789.097600000001</v>
      </c>
      <c r="F170" s="158">
        <v>94.28</v>
      </c>
      <c r="G170" s="158">
        <v>95.7</v>
      </c>
      <c r="H170" s="158"/>
      <c r="I170" s="158"/>
      <c r="J170" s="158">
        <v>94.28</v>
      </c>
      <c r="K170" s="158">
        <v>95.7</v>
      </c>
      <c r="L170" s="158">
        <v>81.34</v>
      </c>
      <c r="M170" s="7"/>
      <c r="N170" s="7" t="s">
        <v>1069</v>
      </c>
    </row>
    <row r="171" spans="1:14" ht="18" customHeight="1">
      <c r="A171" s="24" t="s">
        <v>26</v>
      </c>
      <c r="B171" s="3">
        <v>2023</v>
      </c>
      <c r="C171" s="24" t="s">
        <v>1066</v>
      </c>
      <c r="D171" s="158">
        <v>97.05</v>
      </c>
      <c r="E171" s="158">
        <v>6652.6733000000004</v>
      </c>
      <c r="F171" s="157">
        <v>93.3</v>
      </c>
      <c r="G171" s="157">
        <v>95.66</v>
      </c>
      <c r="J171" s="158">
        <v>93.3</v>
      </c>
      <c r="K171" s="158">
        <v>95.66</v>
      </c>
      <c r="L171" s="158">
        <v>80.5</v>
      </c>
      <c r="M171" s="7"/>
      <c r="N171" s="7" t="s">
        <v>1069</v>
      </c>
    </row>
    <row r="172" spans="1:14" ht="18" customHeight="1">
      <c r="A172" s="24" t="s">
        <v>26</v>
      </c>
      <c r="B172" s="3">
        <v>2018</v>
      </c>
      <c r="C172" s="24" t="s">
        <v>1070</v>
      </c>
      <c r="D172" s="158">
        <v>99</v>
      </c>
      <c r="E172" s="158">
        <v>9706.1903999999995</v>
      </c>
      <c r="J172" s="158">
        <v>99</v>
      </c>
      <c r="K172" s="158">
        <v>99</v>
      </c>
      <c r="L172" s="158">
        <v>98.52</v>
      </c>
      <c r="M172" s="7"/>
      <c r="N172" s="7" t="s">
        <v>1071</v>
      </c>
    </row>
    <row r="173" spans="1:14" ht="18" customHeight="1">
      <c r="A173" s="24" t="s">
        <v>26</v>
      </c>
      <c r="B173" s="3">
        <v>2019</v>
      </c>
      <c r="C173" s="24" t="s">
        <v>1070</v>
      </c>
      <c r="D173" s="158">
        <v>99</v>
      </c>
      <c r="E173" s="158">
        <v>9664.8561000000009</v>
      </c>
      <c r="J173" s="158">
        <v>99</v>
      </c>
      <c r="K173" s="158">
        <v>99</v>
      </c>
      <c r="L173" s="158">
        <v>98.31</v>
      </c>
      <c r="M173" s="7"/>
      <c r="N173" s="7" t="s">
        <v>1072</v>
      </c>
    </row>
    <row r="174" spans="1:14" ht="18" customHeight="1">
      <c r="A174" s="24" t="s">
        <v>26</v>
      </c>
      <c r="B174" s="3">
        <v>2020</v>
      </c>
      <c r="C174" s="24" t="s">
        <v>1070</v>
      </c>
      <c r="D174" s="158">
        <v>99</v>
      </c>
      <c r="E174" s="158">
        <v>9574.6224999999995</v>
      </c>
      <c r="J174" s="158">
        <v>99</v>
      </c>
      <c r="K174" s="158">
        <v>99</v>
      </c>
      <c r="L174" s="158">
        <v>97.85</v>
      </c>
      <c r="M174" s="7"/>
      <c r="N174" s="7" t="s">
        <v>1072</v>
      </c>
    </row>
    <row r="175" spans="1:14" ht="18" customHeight="1">
      <c r="A175" s="24" t="s">
        <v>26</v>
      </c>
      <c r="B175" s="3">
        <v>2021</v>
      </c>
      <c r="C175" s="24" t="s">
        <v>1070</v>
      </c>
      <c r="D175" s="158">
        <v>98</v>
      </c>
      <c r="E175" s="158">
        <v>9366.3683999999994</v>
      </c>
      <c r="J175" s="158">
        <v>98</v>
      </c>
      <c r="K175" s="158">
        <v>98</v>
      </c>
      <c r="L175" s="158">
        <v>96.78</v>
      </c>
      <c r="M175" s="7"/>
      <c r="N175" s="7" t="s">
        <v>1072</v>
      </c>
    </row>
    <row r="176" spans="1:14" ht="18" customHeight="1">
      <c r="A176" s="24" t="s">
        <v>26</v>
      </c>
      <c r="B176" s="3">
        <v>2022</v>
      </c>
      <c r="C176" s="24" t="s">
        <v>1070</v>
      </c>
      <c r="D176" s="158">
        <v>98</v>
      </c>
      <c r="E176" s="158">
        <v>9318.0409</v>
      </c>
      <c r="J176" s="158">
        <v>98</v>
      </c>
      <c r="K176" s="158">
        <v>98</v>
      </c>
      <c r="L176" s="158">
        <v>96.53</v>
      </c>
      <c r="M176" s="7"/>
      <c r="N176" s="7" t="s">
        <v>1072</v>
      </c>
    </row>
    <row r="177" spans="1:14" ht="18" customHeight="1">
      <c r="A177" s="24" t="s">
        <v>26</v>
      </c>
      <c r="B177" s="3">
        <v>2023</v>
      </c>
      <c r="C177" s="24" t="s">
        <v>1070</v>
      </c>
      <c r="D177" s="158">
        <v>98</v>
      </c>
      <c r="E177" s="158">
        <v>9299.9113000000016</v>
      </c>
      <c r="J177" s="158">
        <v>98</v>
      </c>
      <c r="K177" s="158">
        <v>98</v>
      </c>
      <c r="L177" s="158">
        <v>96.43</v>
      </c>
      <c r="M177" s="7"/>
      <c r="N177" s="7" t="s">
        <v>1072</v>
      </c>
    </row>
    <row r="178" spans="1:14" ht="18" customHeight="1">
      <c r="A178" s="24" t="s">
        <v>26</v>
      </c>
      <c r="B178" s="3">
        <v>2018</v>
      </c>
      <c r="C178" s="24" t="s">
        <v>85</v>
      </c>
      <c r="D178" s="158">
        <v>98</v>
      </c>
      <c r="E178" s="158">
        <v>8806.3040000000019</v>
      </c>
      <c r="F178" s="158">
        <v>97.68</v>
      </c>
      <c r="G178" s="158">
        <v>8806.3040000000019</v>
      </c>
      <c r="H178" s="158"/>
      <c r="I178" s="158"/>
      <c r="J178" s="158">
        <v>97.68</v>
      </c>
      <c r="K178" s="158">
        <v>98</v>
      </c>
      <c r="L178" s="158">
        <v>93.76</v>
      </c>
      <c r="M178" s="7"/>
      <c r="N178" s="7" t="s">
        <v>1073</v>
      </c>
    </row>
    <row r="179" spans="1:14" ht="18" customHeight="1">
      <c r="A179" s="24" t="s">
        <v>26</v>
      </c>
      <c r="B179" s="3">
        <v>2019</v>
      </c>
      <c r="C179" s="24" t="s">
        <v>85</v>
      </c>
      <c r="D179" s="158">
        <v>98</v>
      </c>
      <c r="E179" s="158">
        <v>8959.6370000000006</v>
      </c>
      <c r="F179" s="158">
        <v>97.54</v>
      </c>
      <c r="G179" s="158">
        <v>8959.6370000000006</v>
      </c>
      <c r="H179" s="158"/>
      <c r="I179" s="158"/>
      <c r="J179" s="158">
        <v>97.54</v>
      </c>
      <c r="K179" s="158">
        <v>98</v>
      </c>
      <c r="L179" s="158">
        <v>94.61</v>
      </c>
      <c r="M179" s="7"/>
      <c r="N179" s="7" t="s">
        <v>1073</v>
      </c>
    </row>
    <row r="180" spans="1:14" ht="18" customHeight="1">
      <c r="A180" s="24" t="s">
        <v>26</v>
      </c>
      <c r="B180" s="3">
        <v>2020</v>
      </c>
      <c r="C180" s="24" t="s">
        <v>85</v>
      </c>
      <c r="D180" s="158">
        <v>98</v>
      </c>
      <c r="E180" s="158">
        <v>8673.6641000000018</v>
      </c>
      <c r="F180" s="157">
        <v>97.190000000000012</v>
      </c>
      <c r="G180" s="157">
        <v>8673.6641000000018</v>
      </c>
      <c r="J180" s="158">
        <v>97.190000000000012</v>
      </c>
      <c r="K180" s="158">
        <v>97</v>
      </c>
      <c r="L180" s="158">
        <v>93.04</v>
      </c>
      <c r="M180" s="7"/>
      <c r="N180" s="7" t="s">
        <v>1073</v>
      </c>
    </row>
    <row r="181" spans="1:14" ht="18" customHeight="1">
      <c r="A181" s="24" t="s">
        <v>26</v>
      </c>
      <c r="B181" s="3">
        <v>2021</v>
      </c>
      <c r="C181" s="24" t="s">
        <v>85</v>
      </c>
      <c r="D181" s="158">
        <v>97</v>
      </c>
      <c r="E181" s="158">
        <v>8336.9249999999993</v>
      </c>
      <c r="F181" s="157">
        <v>96.39</v>
      </c>
      <c r="G181" s="157">
        <v>8336.9249999999993</v>
      </c>
      <c r="J181" s="158">
        <v>96.39</v>
      </c>
      <c r="K181" s="158">
        <v>97</v>
      </c>
      <c r="L181" s="158">
        <v>91.15</v>
      </c>
      <c r="M181" s="7"/>
      <c r="N181" s="7" t="s">
        <v>1073</v>
      </c>
    </row>
    <row r="182" spans="1:14" ht="18" customHeight="1">
      <c r="A182" s="24" t="s">
        <v>26</v>
      </c>
      <c r="B182" s="3">
        <v>2022</v>
      </c>
      <c r="C182" s="24" t="s">
        <v>85</v>
      </c>
      <c r="D182" s="158">
        <v>97</v>
      </c>
      <c r="E182" s="158">
        <v>8208.4948000000004</v>
      </c>
      <c r="F182" s="158">
        <v>96.14</v>
      </c>
      <c r="G182" s="158">
        <v>8208.4948000000004</v>
      </c>
      <c r="H182" s="158"/>
      <c r="I182" s="158"/>
      <c r="J182" s="158">
        <v>96.14</v>
      </c>
      <c r="K182" s="158">
        <v>96</v>
      </c>
      <c r="L182" s="158">
        <v>90.42</v>
      </c>
      <c r="M182" s="7"/>
      <c r="N182" s="7" t="s">
        <v>1073</v>
      </c>
    </row>
    <row r="183" spans="1:14" ht="18" customHeight="1">
      <c r="A183" s="24" t="s">
        <v>26</v>
      </c>
      <c r="B183" s="3">
        <v>2023</v>
      </c>
      <c r="C183" s="24" t="s">
        <v>85</v>
      </c>
      <c r="D183" s="158">
        <v>97</v>
      </c>
      <c r="E183" s="158">
        <v>8213.7386999999999</v>
      </c>
      <c r="F183" s="157">
        <v>95.74</v>
      </c>
      <c r="G183" s="157">
        <v>8213.7386999999999</v>
      </c>
      <c r="J183" s="158">
        <v>95.74</v>
      </c>
      <c r="K183" s="158">
        <v>97</v>
      </c>
      <c r="L183" s="158">
        <v>90.47</v>
      </c>
      <c r="M183" s="7"/>
      <c r="N183" s="7" t="s">
        <v>1073</v>
      </c>
    </row>
    <row r="184" spans="1:14" ht="18" customHeight="1">
      <c r="A184" s="24" t="s">
        <v>26</v>
      </c>
      <c r="B184" s="3">
        <v>2018</v>
      </c>
      <c r="C184" s="24" t="s">
        <v>802</v>
      </c>
      <c r="D184" s="158">
        <v>99</v>
      </c>
      <c r="E184" s="164">
        <v>5564.1697000000004</v>
      </c>
      <c r="F184" s="164">
        <v>98.65</v>
      </c>
      <c r="G184" s="164">
        <v>5564.1697000000004</v>
      </c>
      <c r="H184" s="164"/>
      <c r="I184" s="164"/>
      <c r="J184" s="158">
        <v>98.65</v>
      </c>
      <c r="K184" s="158">
        <v>99</v>
      </c>
      <c r="L184" s="158">
        <v>68.010000000000005</v>
      </c>
      <c r="M184" s="7"/>
      <c r="N184" s="7" t="s">
        <v>1074</v>
      </c>
    </row>
    <row r="185" spans="1:14" ht="18" customHeight="1">
      <c r="A185" s="24" t="s">
        <v>26</v>
      </c>
      <c r="B185" s="3">
        <v>2019</v>
      </c>
      <c r="C185" s="24" t="s">
        <v>802</v>
      </c>
      <c r="D185" s="158">
        <v>99</v>
      </c>
      <c r="E185" s="158">
        <v>5826.304900000001</v>
      </c>
      <c r="F185" s="157">
        <v>99.13000000000001</v>
      </c>
      <c r="G185" s="157">
        <v>5826.304900000001</v>
      </c>
      <c r="J185" s="158">
        <v>99.13000000000001</v>
      </c>
      <c r="K185" s="158">
        <v>99</v>
      </c>
      <c r="L185" s="158">
        <v>70.930000000000007</v>
      </c>
      <c r="M185" s="7"/>
      <c r="N185" s="7" t="s">
        <v>1074</v>
      </c>
    </row>
    <row r="186" spans="1:14" ht="18" customHeight="1">
      <c r="A186" s="24" t="s">
        <v>26</v>
      </c>
      <c r="B186" s="3">
        <v>2020</v>
      </c>
      <c r="C186" s="24" t="s">
        <v>802</v>
      </c>
      <c r="D186" s="158">
        <v>99</v>
      </c>
      <c r="E186" s="158">
        <v>5679.033699999999</v>
      </c>
      <c r="F186" s="158">
        <v>99.35</v>
      </c>
      <c r="G186" s="158">
        <v>5679.033699999999</v>
      </c>
      <c r="H186" s="158"/>
      <c r="I186" s="158"/>
      <c r="J186" s="158">
        <v>99.35</v>
      </c>
      <c r="K186" s="158">
        <v>99</v>
      </c>
      <c r="L186" s="158">
        <v>68.959999999999994</v>
      </c>
      <c r="M186" s="7"/>
      <c r="N186" s="7" t="s">
        <v>1074</v>
      </c>
    </row>
    <row r="187" spans="1:14" ht="18" customHeight="1">
      <c r="A187" s="24" t="s">
        <v>26</v>
      </c>
      <c r="B187" s="3">
        <v>2021</v>
      </c>
      <c r="C187" s="24" t="s">
        <v>802</v>
      </c>
      <c r="D187" s="158">
        <v>99</v>
      </c>
      <c r="E187" s="158">
        <v>5270.7088999999996</v>
      </c>
      <c r="F187" s="158">
        <v>98.889999999999986</v>
      </c>
      <c r="G187" s="158">
        <v>5270.7088999999996</v>
      </c>
      <c r="H187" s="158"/>
      <c r="I187" s="158"/>
      <c r="J187" s="158">
        <v>98.889999999999986</v>
      </c>
      <c r="K187" s="158">
        <v>99</v>
      </c>
      <c r="L187" s="158">
        <v>63.23</v>
      </c>
      <c r="M187" s="7"/>
      <c r="N187" s="7" t="s">
        <v>1074</v>
      </c>
    </row>
    <row r="188" spans="1:14" ht="18" customHeight="1">
      <c r="A188" s="24" t="s">
        <v>26</v>
      </c>
      <c r="B188" s="3">
        <v>2022</v>
      </c>
      <c r="C188" s="24" t="s">
        <v>802</v>
      </c>
      <c r="D188" s="158">
        <v>97</v>
      </c>
      <c r="E188" s="158">
        <v>5000.0730999999996</v>
      </c>
      <c r="F188" s="158">
        <v>97.460000000000008</v>
      </c>
      <c r="G188" s="158">
        <v>5000.0730999999996</v>
      </c>
      <c r="H188" s="158"/>
      <c r="I188" s="158"/>
      <c r="J188" s="158">
        <v>97.460000000000008</v>
      </c>
      <c r="K188" s="158">
        <v>97</v>
      </c>
      <c r="L188" s="158">
        <v>59.79</v>
      </c>
      <c r="M188" s="7"/>
      <c r="N188" s="7" t="s">
        <v>1074</v>
      </c>
    </row>
    <row r="189" spans="1:14" ht="18" customHeight="1">
      <c r="A189" s="24" t="s">
        <v>26</v>
      </c>
      <c r="B189" s="3">
        <v>2023</v>
      </c>
      <c r="C189" s="24" t="s">
        <v>802</v>
      </c>
      <c r="D189" s="158">
        <v>99</v>
      </c>
      <c r="E189" s="158">
        <v>5125.5074000000004</v>
      </c>
      <c r="F189" s="158">
        <v>99.02000000000001</v>
      </c>
      <c r="G189" s="158">
        <v>5125.5074000000004</v>
      </c>
      <c r="H189" s="158"/>
      <c r="I189" s="158"/>
      <c r="J189" s="158">
        <v>99.02000000000001</v>
      </c>
      <c r="K189" s="158">
        <v>99</v>
      </c>
      <c r="L189" s="158">
        <v>60.07</v>
      </c>
      <c r="M189" s="7"/>
      <c r="N189" s="7" t="s">
        <v>1074</v>
      </c>
    </row>
    <row r="190" spans="1:14" ht="18" customHeight="1">
      <c r="A190" s="24" t="s">
        <v>26</v>
      </c>
      <c r="B190" s="3">
        <v>2018</v>
      </c>
      <c r="C190" s="24" t="s">
        <v>813</v>
      </c>
      <c r="D190" s="158">
        <v>97</v>
      </c>
      <c r="E190" s="158">
        <v>6518.9058000000014</v>
      </c>
      <c r="F190" s="157">
        <v>93.12</v>
      </c>
      <c r="G190" s="157">
        <v>6518.9058000000014</v>
      </c>
      <c r="J190" s="158">
        <v>93.12</v>
      </c>
      <c r="K190" s="158">
        <v>96.56</v>
      </c>
      <c r="L190" s="158">
        <v>79.510000000000005</v>
      </c>
      <c r="M190" s="7"/>
      <c r="N190" s="7" t="s">
        <v>1075</v>
      </c>
    </row>
    <row r="191" spans="1:14" ht="18" customHeight="1">
      <c r="A191" s="24" t="s">
        <v>26</v>
      </c>
      <c r="B191" s="3">
        <v>2019</v>
      </c>
      <c r="C191" s="24" t="s">
        <v>813</v>
      </c>
      <c r="D191" s="158">
        <v>97</v>
      </c>
      <c r="E191" s="158">
        <v>6417.1234999999997</v>
      </c>
      <c r="F191" s="157">
        <v>93.039999999999992</v>
      </c>
      <c r="G191" s="157">
        <v>6417.1234999999997</v>
      </c>
      <c r="J191" s="158">
        <v>93.039999999999992</v>
      </c>
      <c r="K191" s="158">
        <v>96.52</v>
      </c>
      <c r="L191" s="158">
        <v>78.75</v>
      </c>
      <c r="M191" s="7"/>
      <c r="N191" s="7" t="s">
        <v>1075</v>
      </c>
    </row>
    <row r="192" spans="1:14" ht="18" customHeight="1">
      <c r="A192" s="24" t="s">
        <v>26</v>
      </c>
      <c r="B192" s="3">
        <v>2020</v>
      </c>
      <c r="C192" s="24" t="s">
        <v>813</v>
      </c>
      <c r="D192" s="158">
        <v>98</v>
      </c>
      <c r="E192" s="158">
        <v>6337.2128999999986</v>
      </c>
      <c r="F192" s="157">
        <v>95.289999999999992</v>
      </c>
      <c r="G192" s="157">
        <v>6337.2128999999986</v>
      </c>
      <c r="J192" s="158">
        <v>95.289999999999992</v>
      </c>
      <c r="K192" s="158">
        <v>98.49</v>
      </c>
      <c r="L192" s="158">
        <v>77.52</v>
      </c>
      <c r="M192" s="7"/>
      <c r="N192" s="7" t="s">
        <v>1075</v>
      </c>
    </row>
    <row r="193" spans="1:17" ht="18" customHeight="1">
      <c r="A193" s="24" t="s">
        <v>26</v>
      </c>
      <c r="B193" s="3">
        <v>2021</v>
      </c>
      <c r="C193" s="24" t="s">
        <v>813</v>
      </c>
      <c r="D193" s="158">
        <v>98</v>
      </c>
      <c r="E193" s="158">
        <v>6357.4642999999996</v>
      </c>
      <c r="F193" s="157">
        <v>95.47999999999999</v>
      </c>
      <c r="G193" s="157">
        <v>6357.4642999999996</v>
      </c>
      <c r="J193" s="158">
        <v>95.47999999999999</v>
      </c>
      <c r="K193" s="158">
        <v>97.77</v>
      </c>
      <c r="L193" s="158">
        <v>77.69</v>
      </c>
      <c r="M193" s="7"/>
      <c r="N193" s="7" t="s">
        <v>1065</v>
      </c>
      <c r="O193" s="7"/>
      <c r="P193" s="7"/>
      <c r="Q193" s="7"/>
    </row>
    <row r="194" spans="1:17" ht="18" customHeight="1">
      <c r="A194" s="24" t="s">
        <v>26</v>
      </c>
      <c r="B194" s="3">
        <v>2022</v>
      </c>
      <c r="C194" s="24" t="s">
        <v>813</v>
      </c>
      <c r="D194" s="158">
        <v>98</v>
      </c>
      <c r="E194" s="158">
        <v>6229.0385999999999</v>
      </c>
      <c r="F194" s="157">
        <v>94.95</v>
      </c>
      <c r="G194" s="157">
        <v>6229.0385999999999</v>
      </c>
      <c r="J194" s="158">
        <v>94.95</v>
      </c>
      <c r="K194" s="158">
        <v>97.64</v>
      </c>
      <c r="L194" s="158">
        <v>76.75</v>
      </c>
      <c r="M194" s="7"/>
      <c r="N194" s="7" t="s">
        <v>1065</v>
      </c>
    </row>
    <row r="195" spans="1:17" ht="18" customHeight="1">
      <c r="A195" s="24" t="s">
        <v>26</v>
      </c>
      <c r="B195" s="3">
        <v>2023</v>
      </c>
      <c r="C195" s="24" t="s">
        <v>813</v>
      </c>
      <c r="D195" s="158">
        <v>97</v>
      </c>
      <c r="E195" s="158">
        <v>6180.6691999999985</v>
      </c>
      <c r="F195" s="157">
        <v>92.74</v>
      </c>
      <c r="G195" s="157">
        <v>6180.6691999999985</v>
      </c>
      <c r="J195" s="158">
        <v>92.74</v>
      </c>
      <c r="K195" s="158">
        <v>95.97</v>
      </c>
      <c r="L195" s="158">
        <v>76.959999999999994</v>
      </c>
      <c r="M195" s="7"/>
      <c r="N195" s="7" t="s">
        <v>1065</v>
      </c>
      <c r="O195" s="165"/>
      <c r="P195" s="165"/>
      <c r="Q195" s="165"/>
    </row>
    <row r="196" spans="1:17" ht="18" customHeight="1">
      <c r="A196" s="24" t="s">
        <v>26</v>
      </c>
      <c r="B196" s="3">
        <v>2018</v>
      </c>
      <c r="C196" s="24" t="s">
        <v>107</v>
      </c>
      <c r="D196" s="158">
        <v>96.080000000000013</v>
      </c>
      <c r="E196" s="158">
        <v>3713.7252000000008</v>
      </c>
      <c r="F196" s="157">
        <v>80.98</v>
      </c>
      <c r="G196" s="157">
        <v>94.63000000000001</v>
      </c>
      <c r="J196" s="158">
        <v>51.59</v>
      </c>
      <c r="K196" s="158">
        <v>80.98</v>
      </c>
      <c r="L196" s="158">
        <v>94.63000000000001</v>
      </c>
      <c r="M196" s="7">
        <v>51.59</v>
      </c>
      <c r="N196" s="7" t="s">
        <v>1065</v>
      </c>
    </row>
    <row r="197" spans="1:17" ht="18" customHeight="1">
      <c r="A197" s="24" t="s">
        <v>26</v>
      </c>
      <c r="B197" s="3">
        <v>2019</v>
      </c>
      <c r="C197" s="24" t="s">
        <v>107</v>
      </c>
      <c r="D197" s="158">
        <v>97.23</v>
      </c>
      <c r="E197" s="158">
        <v>3769.1937000000007</v>
      </c>
      <c r="F197" s="157">
        <v>79.64</v>
      </c>
      <c r="G197" s="157">
        <v>95.83</v>
      </c>
      <c r="J197" s="158">
        <v>52.74</v>
      </c>
      <c r="K197" s="158">
        <v>79.64</v>
      </c>
      <c r="L197" s="158">
        <v>95.83</v>
      </c>
      <c r="M197" s="7">
        <v>52.74</v>
      </c>
      <c r="N197" s="7" t="s">
        <v>1065</v>
      </c>
    </row>
    <row r="198" spans="1:17" ht="18" customHeight="1">
      <c r="A198" s="24" t="s">
        <v>26</v>
      </c>
      <c r="B198" s="3">
        <v>2020</v>
      </c>
      <c r="C198" s="24" t="s">
        <v>107</v>
      </c>
      <c r="D198" s="158">
        <v>97.76</v>
      </c>
      <c r="E198" s="158">
        <v>3933.2007999999996</v>
      </c>
      <c r="F198" s="157">
        <v>82.86</v>
      </c>
      <c r="G198" s="157">
        <v>96.28</v>
      </c>
      <c r="J198" s="158">
        <v>54.04</v>
      </c>
      <c r="K198" s="158">
        <v>82.86</v>
      </c>
      <c r="L198" s="158">
        <v>96.28</v>
      </c>
      <c r="M198" s="7">
        <v>54.04</v>
      </c>
      <c r="N198" s="7" t="s">
        <v>1065</v>
      </c>
    </row>
    <row r="199" spans="1:17" ht="18" customHeight="1">
      <c r="A199" s="24" t="s">
        <v>26</v>
      </c>
      <c r="B199" s="3">
        <v>2021</v>
      </c>
      <c r="C199" s="24" t="s">
        <v>107</v>
      </c>
      <c r="D199" s="158">
        <v>97.94</v>
      </c>
      <c r="E199" s="158">
        <v>3852.3482000000004</v>
      </c>
      <c r="F199" s="158">
        <v>84.39</v>
      </c>
      <c r="G199" s="158">
        <v>96.07</v>
      </c>
      <c r="H199" s="158"/>
      <c r="I199" s="158"/>
      <c r="J199" s="158">
        <v>50.87</v>
      </c>
      <c r="K199" s="158">
        <v>84.39</v>
      </c>
      <c r="L199" s="158">
        <v>96.07</v>
      </c>
      <c r="M199" s="7">
        <v>50.87</v>
      </c>
      <c r="N199" s="7" t="s">
        <v>1065</v>
      </c>
    </row>
    <row r="200" spans="1:17" ht="18" customHeight="1">
      <c r="A200" s="24" t="s">
        <v>26</v>
      </c>
      <c r="B200" s="3">
        <v>2022</v>
      </c>
      <c r="C200" s="24" t="s">
        <v>107</v>
      </c>
      <c r="D200" s="158">
        <v>96.31</v>
      </c>
      <c r="E200" s="158">
        <v>3661.5948999999996</v>
      </c>
      <c r="F200" s="158">
        <v>82.960000000000008</v>
      </c>
      <c r="G200" s="158">
        <v>94.4</v>
      </c>
      <c r="H200" s="158"/>
      <c r="I200" s="158"/>
      <c r="J200" s="158">
        <v>47.9</v>
      </c>
      <c r="K200" s="158">
        <v>82.960000000000008</v>
      </c>
      <c r="L200" s="158">
        <v>94.4</v>
      </c>
      <c r="M200" s="7">
        <v>47.9</v>
      </c>
      <c r="N200" s="7" t="s">
        <v>1065</v>
      </c>
    </row>
    <row r="201" spans="1:17" ht="18" customHeight="1">
      <c r="A201" s="24" t="s">
        <v>26</v>
      </c>
      <c r="B201" s="3">
        <v>2023</v>
      </c>
      <c r="C201" s="24" t="s">
        <v>107</v>
      </c>
      <c r="D201" s="158">
        <v>97.429999999999993</v>
      </c>
      <c r="E201" s="158">
        <v>3868.7452000000003</v>
      </c>
      <c r="F201" s="157">
        <v>85.57</v>
      </c>
      <c r="G201" s="157">
        <v>95.399999999999991</v>
      </c>
      <c r="J201" s="158">
        <v>50.04</v>
      </c>
      <c r="K201" s="158">
        <v>85.57</v>
      </c>
      <c r="L201" s="158">
        <v>95.399999999999991</v>
      </c>
      <c r="M201" s="7">
        <v>50.04</v>
      </c>
      <c r="N201" s="7" t="s">
        <v>1065</v>
      </c>
    </row>
    <row r="202" spans="1:17" ht="18" customHeight="1">
      <c r="A202" s="24" t="s">
        <v>26</v>
      </c>
      <c r="B202" s="3">
        <v>2018</v>
      </c>
      <c r="C202" s="24" t="s">
        <v>90</v>
      </c>
      <c r="D202" s="158">
        <v>95.27</v>
      </c>
      <c r="E202" s="158">
        <v>2924.8695000000002</v>
      </c>
      <c r="F202" s="157">
        <v>70.36</v>
      </c>
      <c r="G202" s="157">
        <v>87.78</v>
      </c>
      <c r="J202" s="158">
        <v>70.36</v>
      </c>
      <c r="K202" s="158">
        <v>87.78</v>
      </c>
      <c r="L202" s="158">
        <v>41.89</v>
      </c>
      <c r="M202" s="7"/>
      <c r="N202" s="7" t="s">
        <v>1065</v>
      </c>
    </row>
    <row r="203" spans="1:17" ht="18" customHeight="1">
      <c r="A203" s="24" t="s">
        <v>26</v>
      </c>
      <c r="B203" s="3">
        <v>2019</v>
      </c>
      <c r="C203" s="24" t="s">
        <v>90</v>
      </c>
      <c r="D203" s="158">
        <v>95.13</v>
      </c>
      <c r="E203" s="158">
        <v>3059.6026999999999</v>
      </c>
      <c r="F203" s="157">
        <v>71.429999999999993</v>
      </c>
      <c r="G203" s="157">
        <v>86.759999999999991</v>
      </c>
      <c r="J203" s="158">
        <v>71.429999999999993</v>
      </c>
      <c r="K203" s="158">
        <v>86.759999999999991</v>
      </c>
      <c r="L203" s="158">
        <v>45.8</v>
      </c>
      <c r="M203" s="7"/>
      <c r="N203" s="7" t="s">
        <v>1065</v>
      </c>
    </row>
    <row r="204" spans="1:17" ht="18" customHeight="1">
      <c r="A204" s="24" t="s">
        <v>26</v>
      </c>
      <c r="B204" s="3">
        <v>2020</v>
      </c>
      <c r="C204" s="24" t="s">
        <v>90</v>
      </c>
      <c r="D204" s="158">
        <v>86.03</v>
      </c>
      <c r="E204" s="158">
        <v>2923.9920999999995</v>
      </c>
      <c r="F204" s="157">
        <v>70.16</v>
      </c>
      <c r="G204" s="157">
        <v>81.06</v>
      </c>
      <c r="J204" s="158">
        <v>70.16</v>
      </c>
      <c r="K204" s="158">
        <v>81.06</v>
      </c>
      <c r="L204" s="158">
        <v>47.3</v>
      </c>
      <c r="M204" s="7"/>
      <c r="N204" s="7" t="s">
        <v>1065</v>
      </c>
    </row>
    <row r="205" spans="1:17" ht="18" customHeight="1">
      <c r="A205" s="24" t="s">
        <v>26</v>
      </c>
      <c r="B205" s="3">
        <v>2021</v>
      </c>
      <c r="C205" s="24" t="s">
        <v>90</v>
      </c>
      <c r="D205" s="158">
        <v>90.910000000000011</v>
      </c>
      <c r="E205" s="158">
        <v>2984.8694</v>
      </c>
      <c r="F205" s="157">
        <v>67.990000000000009</v>
      </c>
      <c r="G205" s="157">
        <v>80.150000000000006</v>
      </c>
      <c r="J205" s="158">
        <v>67.990000000000009</v>
      </c>
      <c r="K205" s="158">
        <v>80.150000000000006</v>
      </c>
      <c r="L205" s="158">
        <v>47.57</v>
      </c>
      <c r="M205" s="7"/>
      <c r="N205" s="7" t="s">
        <v>1065</v>
      </c>
    </row>
    <row r="206" spans="1:17" ht="18" customHeight="1">
      <c r="A206" s="24" t="s">
        <v>26</v>
      </c>
      <c r="B206" s="3">
        <v>2022</v>
      </c>
      <c r="C206" s="24" t="s">
        <v>90</v>
      </c>
      <c r="D206" s="158">
        <v>91.3</v>
      </c>
      <c r="E206" s="158">
        <v>2857.4718000000007</v>
      </c>
      <c r="F206" s="157">
        <v>66.09</v>
      </c>
      <c r="G206" s="157">
        <v>80.03</v>
      </c>
      <c r="J206" s="158">
        <v>66.09</v>
      </c>
      <c r="K206" s="158">
        <v>80.03</v>
      </c>
      <c r="L206" s="158">
        <v>45.27</v>
      </c>
      <c r="M206" s="7"/>
      <c r="N206" s="7" t="s">
        <v>1065</v>
      </c>
    </row>
    <row r="207" spans="1:17" ht="18" customHeight="1">
      <c r="A207" s="24" t="s">
        <v>26</v>
      </c>
      <c r="B207" s="3">
        <v>2023</v>
      </c>
      <c r="C207" s="24" t="s">
        <v>90</v>
      </c>
      <c r="D207" s="158">
        <v>92.22999999999999</v>
      </c>
      <c r="E207" s="158">
        <v>3056.1905000000002</v>
      </c>
      <c r="F207" s="157">
        <v>66.39</v>
      </c>
      <c r="G207" s="157">
        <v>82.35</v>
      </c>
      <c r="J207" s="158">
        <v>66.39</v>
      </c>
      <c r="K207" s="158">
        <v>82.35</v>
      </c>
      <c r="L207" s="158">
        <v>48.24</v>
      </c>
      <c r="M207" s="7"/>
      <c r="N207" s="7" t="s">
        <v>1065</v>
      </c>
    </row>
    <row r="208" spans="1:17" ht="18" customHeight="1">
      <c r="A208" s="24" t="s">
        <v>26</v>
      </c>
      <c r="B208" s="3">
        <v>2019</v>
      </c>
      <c r="C208" s="24" t="s">
        <v>88</v>
      </c>
      <c r="D208" s="158">
        <v>100</v>
      </c>
      <c r="E208" s="158">
        <v>5141.12</v>
      </c>
      <c r="F208" s="158"/>
      <c r="G208" s="158"/>
      <c r="H208" s="158"/>
      <c r="I208" s="158"/>
      <c r="J208" s="166">
        <v>100</v>
      </c>
      <c r="K208" s="158">
        <v>100</v>
      </c>
      <c r="L208" s="158">
        <v>58.4</v>
      </c>
      <c r="M208" s="7"/>
      <c r="N208" s="7" t="s">
        <v>1060</v>
      </c>
    </row>
    <row r="209" spans="1:14" ht="18" customHeight="1">
      <c r="A209" s="24" t="s">
        <v>26</v>
      </c>
      <c r="B209" s="3">
        <v>2020</v>
      </c>
      <c r="C209" s="24" t="s">
        <v>88</v>
      </c>
      <c r="D209" s="158">
        <v>100</v>
      </c>
      <c r="E209" s="158">
        <v>5016.82</v>
      </c>
      <c r="F209" s="158"/>
      <c r="G209" s="158"/>
      <c r="H209" s="158"/>
      <c r="I209" s="158"/>
      <c r="J209" s="158">
        <v>100</v>
      </c>
      <c r="K209" s="158">
        <v>100</v>
      </c>
      <c r="L209" s="158">
        <v>52.9</v>
      </c>
      <c r="M209" s="7"/>
      <c r="N209" s="7" t="s">
        <v>1060</v>
      </c>
    </row>
    <row r="210" spans="1:14" ht="18" customHeight="1">
      <c r="A210" s="24" t="s">
        <v>26</v>
      </c>
      <c r="B210" s="3">
        <v>2021</v>
      </c>
      <c r="C210" s="24" t="s">
        <v>88</v>
      </c>
      <c r="D210" s="158">
        <v>100</v>
      </c>
      <c r="E210" s="158">
        <v>5017.1443508344964</v>
      </c>
      <c r="F210" s="158"/>
      <c r="G210" s="158"/>
      <c r="H210" s="158"/>
      <c r="I210" s="158"/>
      <c r="J210" s="158">
        <v>100</v>
      </c>
      <c r="K210" s="158">
        <v>100</v>
      </c>
      <c r="L210" s="158">
        <v>52.922229256381179</v>
      </c>
      <c r="M210" s="7"/>
      <c r="N210" s="7" t="s">
        <v>1060</v>
      </c>
    </row>
    <row r="211" spans="1:14" ht="18" customHeight="1">
      <c r="A211" s="24" t="s">
        <v>26</v>
      </c>
      <c r="B211" s="3">
        <v>2022</v>
      </c>
      <c r="C211" s="24" t="s">
        <v>88</v>
      </c>
      <c r="D211" s="158">
        <v>100</v>
      </c>
      <c r="E211" s="158">
        <v>5030.42</v>
      </c>
      <c r="F211" s="158"/>
      <c r="G211" s="158"/>
      <c r="H211" s="158"/>
      <c r="I211" s="158"/>
      <c r="J211" s="158">
        <v>100</v>
      </c>
      <c r="K211" s="158">
        <v>100</v>
      </c>
      <c r="L211" s="158">
        <v>53.9</v>
      </c>
      <c r="M211" s="7"/>
      <c r="N211" s="7" t="s">
        <v>1060</v>
      </c>
    </row>
    <row r="212" spans="1:14" ht="18" customHeight="1">
      <c r="A212" s="24" t="s">
        <v>26</v>
      </c>
      <c r="B212" s="3">
        <v>2023</v>
      </c>
      <c r="C212" s="24" t="s">
        <v>88</v>
      </c>
      <c r="D212" s="158">
        <v>100</v>
      </c>
      <c r="E212" s="158">
        <v>5023.12</v>
      </c>
      <c r="F212" s="158"/>
      <c r="G212" s="158"/>
      <c r="H212" s="158"/>
      <c r="I212" s="158"/>
      <c r="J212" s="158">
        <v>100</v>
      </c>
      <c r="K212" s="158">
        <v>100</v>
      </c>
      <c r="L212" s="158">
        <v>53.4</v>
      </c>
      <c r="M212" s="7"/>
      <c r="N212" s="7" t="s">
        <v>1060</v>
      </c>
    </row>
    <row r="213" spans="1:14" ht="18" hidden="1" customHeight="1">
      <c r="A213" s="15" t="s">
        <v>26</v>
      </c>
      <c r="B213" s="140">
        <v>2015</v>
      </c>
      <c r="C213" s="167" t="s">
        <v>662</v>
      </c>
      <c r="D213" s="158"/>
      <c r="E213" s="158">
        <v>4293.9614785503254</v>
      </c>
      <c r="F213" s="158"/>
      <c r="G213" s="158"/>
      <c r="H213" s="158"/>
      <c r="I213" s="158"/>
      <c r="J213" s="158">
        <v>53.051879927004606</v>
      </c>
      <c r="K213" s="158"/>
      <c r="L213" s="158">
        <v>45.000036940990469</v>
      </c>
      <c r="M213" s="7"/>
      <c r="N213" s="7" t="s">
        <v>1060</v>
      </c>
    </row>
    <row r="214" spans="1:14" ht="18" hidden="1" customHeight="1">
      <c r="A214" s="15" t="s">
        <v>26</v>
      </c>
      <c r="B214" s="140">
        <v>2016</v>
      </c>
      <c r="C214" s="167" t="s">
        <v>662</v>
      </c>
      <c r="D214" s="158"/>
      <c r="E214" s="158">
        <v>3941.6925201169738</v>
      </c>
      <c r="F214" s="158"/>
      <c r="G214" s="158"/>
      <c r="H214" s="158"/>
      <c r="I214" s="158"/>
      <c r="J214" s="158">
        <v>58.284452334009245</v>
      </c>
      <c r="K214" s="158"/>
      <c r="L214" s="158">
        <v>45.000456066740107</v>
      </c>
      <c r="M214" s="7"/>
      <c r="N214" s="7" t="s">
        <v>1060</v>
      </c>
    </row>
    <row r="215" spans="1:14" ht="18" customHeight="1">
      <c r="A215" s="15" t="s">
        <v>26</v>
      </c>
      <c r="B215" s="140">
        <v>2017</v>
      </c>
      <c r="C215" s="167" t="s">
        <v>662</v>
      </c>
      <c r="D215" s="158"/>
      <c r="E215" s="158">
        <v>3708.6247437956554</v>
      </c>
      <c r="F215" s="158"/>
      <c r="G215" s="158"/>
      <c r="H215" s="158"/>
      <c r="I215" s="158"/>
      <c r="J215" s="158">
        <v>64.46884907572128</v>
      </c>
      <c r="K215" s="158"/>
      <c r="L215" s="158">
        <v>45.799928716064251</v>
      </c>
      <c r="M215" s="7"/>
      <c r="N215" s="7" t="s">
        <v>1060</v>
      </c>
    </row>
    <row r="216" spans="1:14" ht="18" customHeight="1">
      <c r="A216" s="15" t="s">
        <v>26</v>
      </c>
      <c r="B216" s="140">
        <v>2018</v>
      </c>
      <c r="C216" s="167" t="s">
        <v>662</v>
      </c>
      <c r="D216" s="158"/>
      <c r="E216" s="158">
        <v>3592.2319634172627</v>
      </c>
      <c r="F216" s="158"/>
      <c r="G216" s="158"/>
      <c r="H216" s="158"/>
      <c r="I216" s="158"/>
      <c r="J216" s="158">
        <v>66.255899318301005</v>
      </c>
      <c r="K216" s="158"/>
      <c r="L216" s="158">
        <v>44.499966528690493</v>
      </c>
      <c r="M216" s="7"/>
      <c r="N216" s="7" t="s">
        <v>1060</v>
      </c>
    </row>
    <row r="217" spans="1:14" ht="18" customHeight="1">
      <c r="A217" s="15" t="s">
        <v>26</v>
      </c>
      <c r="B217" s="140">
        <v>2019</v>
      </c>
      <c r="C217" s="167" t="s">
        <v>662</v>
      </c>
      <c r="D217" s="158"/>
      <c r="E217" s="158">
        <v>3181.9700107565855</v>
      </c>
      <c r="F217" s="158"/>
      <c r="G217" s="158"/>
      <c r="H217" s="158"/>
      <c r="I217" s="158"/>
      <c r="J217" s="158">
        <v>68.72387419224556</v>
      </c>
      <c r="K217" s="158">
        <v>75.608844911147017</v>
      </c>
      <c r="L217" s="158">
        <v>43.799979806138936</v>
      </c>
      <c r="M217" s="7"/>
      <c r="N217" s="7" t="s">
        <v>1060</v>
      </c>
    </row>
    <row r="218" spans="1:14" ht="18" customHeight="1">
      <c r="A218" s="15" t="s">
        <v>26</v>
      </c>
      <c r="B218" s="140">
        <v>2020</v>
      </c>
      <c r="C218" s="167" t="s">
        <v>662</v>
      </c>
      <c r="D218" s="158"/>
      <c r="E218" s="158">
        <v>3089.3353095014654</v>
      </c>
      <c r="F218" s="158"/>
      <c r="G218" s="158"/>
      <c r="H218" s="158"/>
      <c r="I218" s="158"/>
      <c r="J218" s="158">
        <v>70.35754285226983</v>
      </c>
      <c r="K218" s="158">
        <v>78.781545808578997</v>
      </c>
      <c r="L218" s="158">
        <v>41.999943147900737</v>
      </c>
      <c r="M218" s="7"/>
      <c r="N218" s="7" t="s">
        <v>1060</v>
      </c>
    </row>
    <row r="219" spans="1:14" ht="18" customHeight="1">
      <c r="A219" s="15" t="s">
        <v>26</v>
      </c>
      <c r="B219" s="140">
        <v>2021</v>
      </c>
      <c r="C219" s="167" t="s">
        <v>662</v>
      </c>
      <c r="D219" s="158"/>
      <c r="E219" s="158">
        <v>3021.6379951369186</v>
      </c>
      <c r="F219" s="158"/>
      <c r="G219" s="158"/>
      <c r="H219" s="158"/>
      <c r="I219" s="158"/>
      <c r="J219" s="158">
        <v>70.940605405540381</v>
      </c>
      <c r="K219" s="158">
        <v>81.725288964632213</v>
      </c>
      <c r="L219" s="158">
        <v>40.899966200880918</v>
      </c>
      <c r="M219" s="7"/>
      <c r="N219" s="7" t="s">
        <v>1060</v>
      </c>
    </row>
    <row r="220" spans="1:14" ht="18" customHeight="1">
      <c r="A220" s="15" t="s">
        <v>26</v>
      </c>
      <c r="B220" s="140">
        <v>2022</v>
      </c>
      <c r="C220" s="167" t="s">
        <v>662</v>
      </c>
      <c r="D220" s="158"/>
      <c r="E220" s="158">
        <v>2980.3799672152013</v>
      </c>
      <c r="F220" s="158"/>
      <c r="G220" s="158"/>
      <c r="H220" s="158"/>
      <c r="I220" s="158"/>
      <c r="J220" s="158">
        <v>70.058351504426639</v>
      </c>
      <c r="K220" s="158">
        <v>82.561433450082973</v>
      </c>
      <c r="L220" s="158">
        <v>40.999931803755686</v>
      </c>
      <c r="M220" s="7"/>
      <c r="N220" s="7" t="s">
        <v>1060</v>
      </c>
    </row>
    <row r="221" spans="1:14" ht="18" customHeight="1">
      <c r="A221" s="15" t="s">
        <v>26</v>
      </c>
      <c r="B221" s="3">
        <v>2023</v>
      </c>
      <c r="C221" s="167" t="s">
        <v>662</v>
      </c>
      <c r="D221" s="158"/>
      <c r="E221" s="158">
        <v>2853.7031226576746</v>
      </c>
      <c r="F221" s="158"/>
      <c r="G221" s="158"/>
      <c r="H221" s="158"/>
      <c r="I221" s="158"/>
      <c r="J221" s="158">
        <v>67.537331344951468</v>
      </c>
      <c r="K221" s="158">
        <v>81.314928996667234</v>
      </c>
      <c r="L221" s="158">
        <v>38.299933502004777</v>
      </c>
      <c r="M221" s="7"/>
      <c r="N221" s="7" t="s">
        <v>1060</v>
      </c>
    </row>
    <row r="1240" spans="32:32" ht="18" customHeight="1">
      <c r="AF1240" s="9" cm="1">
        <f t="array" aca="1" ref="AF1240" ca="1">SUM(LARGE('Unified sheet'!AD1625:AD1628+AF1240:AF1241,{1;2}))</f>
        <v>0</v>
      </c>
    </row>
  </sheetData>
  <autoFilter ref="A1:N221" xr:uid="{E9E77017-D0FF-47B3-B372-F128DE07E14B}">
    <filterColumn colId="1">
      <filters>
        <filter val="2017"/>
        <filter val="2018"/>
        <filter val="2019"/>
        <filter val="2020"/>
        <filter val="2021"/>
        <filter val="2022"/>
        <filter val="2023"/>
      </filters>
    </filterColumn>
  </autoFilter>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C3BB-74A9-4899-9736-3EC479195A62}">
  <dimension ref="A1:I135"/>
  <sheetViews>
    <sheetView workbookViewId="0">
      <selection activeCell="D18" sqref="D18"/>
    </sheetView>
  </sheetViews>
  <sheetFormatPr defaultColWidth="10.28515625" defaultRowHeight="15.6"/>
  <cols>
    <col min="1" max="1" width="10.7109375" style="15" customWidth="1"/>
    <col min="2" max="2" width="10.28515625" style="15"/>
    <col min="3" max="3" width="49.140625" style="9" bestFit="1" customWidth="1"/>
    <col min="4" max="4" width="41.85546875" style="17" bestFit="1" customWidth="1"/>
    <col min="5" max="5" width="60.7109375" style="17" bestFit="1" customWidth="1"/>
    <col min="6" max="6" width="41" style="9" customWidth="1"/>
    <col min="7" max="7" width="40.140625" style="9" customWidth="1"/>
    <col min="8" max="8" width="29.85546875" style="9" bestFit="1" customWidth="1"/>
    <col min="9" max="9" width="257.85546875" style="9" bestFit="1" customWidth="1"/>
    <col min="10" max="16384" width="10.28515625" style="9"/>
  </cols>
  <sheetData>
    <row r="1" spans="1:9" s="22" customFormat="1" ht="15">
      <c r="A1" s="21" t="s">
        <v>0</v>
      </c>
      <c r="B1" s="21" t="s">
        <v>1</v>
      </c>
      <c r="C1" s="21" t="s">
        <v>2</v>
      </c>
      <c r="D1" s="2" t="s">
        <v>1076</v>
      </c>
      <c r="E1" s="2" t="s">
        <v>1077</v>
      </c>
      <c r="F1" s="21" t="s">
        <v>1078</v>
      </c>
      <c r="G1" s="22" t="s">
        <v>1079</v>
      </c>
      <c r="H1" s="21" t="s">
        <v>1080</v>
      </c>
      <c r="I1" s="23" t="s">
        <v>21</v>
      </c>
    </row>
    <row r="2" spans="1:9">
      <c r="A2" s="15" t="s">
        <v>22</v>
      </c>
      <c r="B2" s="15">
        <v>1998</v>
      </c>
      <c r="C2" s="15" t="s">
        <v>73</v>
      </c>
      <c r="D2" s="17" t="s">
        <v>601</v>
      </c>
      <c r="E2" s="17" t="s">
        <v>618</v>
      </c>
      <c r="I2" s="9" t="s">
        <v>1081</v>
      </c>
    </row>
    <row r="3" spans="1:9">
      <c r="A3" s="15" t="s">
        <v>22</v>
      </c>
      <c r="B3" s="15">
        <v>1998</v>
      </c>
      <c r="C3" s="15" t="s">
        <v>73</v>
      </c>
      <c r="D3" s="17" t="s">
        <v>1082</v>
      </c>
      <c r="E3" s="17" t="s">
        <v>618</v>
      </c>
      <c r="I3" s="9" t="s">
        <v>1083</v>
      </c>
    </row>
    <row r="4" spans="1:9">
      <c r="A4" s="15" t="s">
        <v>22</v>
      </c>
      <c r="B4" s="15">
        <v>2000</v>
      </c>
      <c r="C4" s="15" t="s">
        <v>23</v>
      </c>
      <c r="D4" s="17" t="s">
        <v>1084</v>
      </c>
      <c r="E4" s="17" t="s">
        <v>1085</v>
      </c>
      <c r="F4" s="9" t="s">
        <v>1086</v>
      </c>
      <c r="I4" s="9" t="s">
        <v>1087</v>
      </c>
    </row>
    <row r="5" spans="1:9">
      <c r="A5" s="15" t="s">
        <v>22</v>
      </c>
      <c r="B5" s="15">
        <v>2001</v>
      </c>
      <c r="C5" s="15" t="s">
        <v>23</v>
      </c>
      <c r="D5" s="17" t="s">
        <v>1088</v>
      </c>
      <c r="E5" s="67" t="s">
        <v>1089</v>
      </c>
      <c r="I5" s="69" t="s">
        <v>1090</v>
      </c>
    </row>
    <row r="6" spans="1:9">
      <c r="A6" s="15" t="s">
        <v>22</v>
      </c>
      <c r="B6" s="15">
        <v>2002</v>
      </c>
      <c r="C6" s="15" t="s">
        <v>23</v>
      </c>
      <c r="D6" s="17" t="s">
        <v>1091</v>
      </c>
      <c r="E6" s="67" t="s">
        <v>1089</v>
      </c>
      <c r="I6" s="9" t="s">
        <v>1092</v>
      </c>
    </row>
    <row r="7" spans="1:9">
      <c r="A7" s="15" t="s">
        <v>22</v>
      </c>
      <c r="B7" s="15">
        <v>2002</v>
      </c>
      <c r="C7" s="15" t="s">
        <v>23</v>
      </c>
      <c r="D7" s="17" t="s">
        <v>1093</v>
      </c>
      <c r="E7" s="67" t="s">
        <v>1089</v>
      </c>
      <c r="I7" s="9" t="s">
        <v>1092</v>
      </c>
    </row>
    <row r="8" spans="1:9">
      <c r="A8" s="15" t="s">
        <v>22</v>
      </c>
      <c r="B8" s="15">
        <v>2002</v>
      </c>
      <c r="C8" s="15" t="s">
        <v>23</v>
      </c>
      <c r="D8" s="17" t="s">
        <v>1094</v>
      </c>
      <c r="E8" s="17" t="s">
        <v>1095</v>
      </c>
      <c r="I8" t="s">
        <v>1096</v>
      </c>
    </row>
    <row r="9" spans="1:9">
      <c r="A9" s="15" t="s">
        <v>22</v>
      </c>
      <c r="B9" s="15">
        <v>2003</v>
      </c>
      <c r="C9" s="15" t="s">
        <v>73</v>
      </c>
      <c r="D9" s="17" t="s">
        <v>1082</v>
      </c>
      <c r="E9" s="17" t="s">
        <v>1097</v>
      </c>
      <c r="I9" s="9" t="s">
        <v>1098</v>
      </c>
    </row>
    <row r="10" spans="1:9">
      <c r="A10" s="15" t="s">
        <v>22</v>
      </c>
      <c r="B10" s="68"/>
      <c r="C10" s="68"/>
      <c r="D10" s="17" t="s">
        <v>1099</v>
      </c>
      <c r="E10" s="17" t="s">
        <v>1100</v>
      </c>
    </row>
    <row r="11" spans="1:9">
      <c r="A11" s="15" t="s">
        <v>22</v>
      </c>
      <c r="B11" s="15">
        <v>2003</v>
      </c>
      <c r="C11" s="15" t="s">
        <v>23</v>
      </c>
      <c r="D11" s="16" t="s">
        <v>1089</v>
      </c>
      <c r="E11" s="17" t="s">
        <v>1101</v>
      </c>
      <c r="I11" s="69" t="s">
        <v>1102</v>
      </c>
    </row>
    <row r="12" spans="1:9">
      <c r="A12" s="15" t="s">
        <v>22</v>
      </c>
      <c r="B12" s="15">
        <v>2003</v>
      </c>
      <c r="C12" s="15" t="s">
        <v>23</v>
      </c>
      <c r="D12" s="17" t="s">
        <v>1084</v>
      </c>
      <c r="E12" s="17" t="s">
        <v>1103</v>
      </c>
      <c r="I12" s="9" t="s">
        <v>1104</v>
      </c>
    </row>
    <row r="13" spans="1:9">
      <c r="A13" s="15" t="s">
        <v>22</v>
      </c>
      <c r="B13" s="15">
        <v>2004</v>
      </c>
      <c r="C13" s="15" t="s">
        <v>23</v>
      </c>
      <c r="D13" s="17" t="s">
        <v>1094</v>
      </c>
      <c r="E13" s="17" t="s">
        <v>1105</v>
      </c>
      <c r="I13" s="9" t="s">
        <v>1106</v>
      </c>
    </row>
    <row r="14" spans="1:9">
      <c r="A14" s="15" t="s">
        <v>22</v>
      </c>
      <c r="B14" s="15">
        <v>2005</v>
      </c>
      <c r="C14" s="15" t="s">
        <v>23</v>
      </c>
      <c r="D14" s="17" t="s">
        <v>1094</v>
      </c>
      <c r="E14" s="17" t="s">
        <v>294</v>
      </c>
      <c r="I14" s="9" t="s">
        <v>1107</v>
      </c>
    </row>
    <row r="15" spans="1:9">
      <c r="A15" s="15" t="s">
        <v>22</v>
      </c>
      <c r="B15" s="15">
        <v>2006</v>
      </c>
      <c r="C15" s="15" t="s">
        <v>23</v>
      </c>
      <c r="D15" s="17" t="s">
        <v>1108</v>
      </c>
      <c r="E15" s="35" t="s">
        <v>1089</v>
      </c>
      <c r="I15" s="69" t="s">
        <v>1109</v>
      </c>
    </row>
    <row r="16" spans="1:9">
      <c r="A16" s="15" t="s">
        <v>22</v>
      </c>
      <c r="B16" s="15">
        <v>2007</v>
      </c>
      <c r="C16" s="15" t="s">
        <v>23</v>
      </c>
      <c r="D16" s="69" t="s">
        <v>1110</v>
      </c>
      <c r="E16" s="35" t="s">
        <v>1089</v>
      </c>
      <c r="I16" s="69" t="s">
        <v>1111</v>
      </c>
    </row>
    <row r="17" spans="1:9">
      <c r="A17" s="15" t="s">
        <v>22</v>
      </c>
      <c r="B17" s="15">
        <v>2008</v>
      </c>
      <c r="C17" s="15" t="s">
        <v>70</v>
      </c>
      <c r="D17" s="17" t="s">
        <v>1112</v>
      </c>
      <c r="E17" s="17" t="s">
        <v>500</v>
      </c>
    </row>
    <row r="18" spans="1:9">
      <c r="A18" s="15" t="s">
        <v>22</v>
      </c>
      <c r="B18" s="15">
        <v>2008</v>
      </c>
      <c r="C18" s="15" t="s">
        <v>23</v>
      </c>
      <c r="D18" s="70" t="s">
        <v>294</v>
      </c>
      <c r="E18" s="17" t="s">
        <v>1113</v>
      </c>
      <c r="I18" s="9" t="s">
        <v>1114</v>
      </c>
    </row>
    <row r="19" spans="1:9">
      <c r="A19" s="15" t="s">
        <v>22</v>
      </c>
      <c r="B19" s="68"/>
      <c r="C19" s="15" t="s">
        <v>73</v>
      </c>
      <c r="D19" s="17" t="s">
        <v>1115</v>
      </c>
      <c r="E19" s="17" t="s">
        <v>1116</v>
      </c>
      <c r="I19" s="9" t="s">
        <v>1117</v>
      </c>
    </row>
    <row r="20" spans="1:9">
      <c r="A20" s="15" t="s">
        <v>22</v>
      </c>
      <c r="B20" s="15">
        <v>2009</v>
      </c>
      <c r="C20" s="15" t="s">
        <v>23</v>
      </c>
      <c r="D20" s="16" t="s">
        <v>1089</v>
      </c>
      <c r="E20" s="71" t="s">
        <v>1118</v>
      </c>
      <c r="I20" s="69" t="s">
        <v>1119</v>
      </c>
    </row>
    <row r="21" spans="1:9">
      <c r="A21" s="15" t="s">
        <v>22</v>
      </c>
      <c r="B21" s="15">
        <v>2010</v>
      </c>
      <c r="C21" s="15" t="s">
        <v>23</v>
      </c>
      <c r="D21" s="17" t="s">
        <v>1084</v>
      </c>
      <c r="E21" s="17" t="s">
        <v>1120</v>
      </c>
      <c r="I21" s="9" t="s">
        <v>1121</v>
      </c>
    </row>
    <row r="22" spans="1:9">
      <c r="A22" s="15" t="s">
        <v>22</v>
      </c>
      <c r="B22" s="15">
        <v>2013</v>
      </c>
      <c r="C22" s="15" t="s">
        <v>73</v>
      </c>
      <c r="D22" s="17" t="s">
        <v>1122</v>
      </c>
      <c r="E22" s="17" t="s">
        <v>1123</v>
      </c>
      <c r="I22" s="9" t="s">
        <v>1124</v>
      </c>
    </row>
    <row r="23" spans="1:9">
      <c r="A23" s="15" t="s">
        <v>22</v>
      </c>
      <c r="B23" s="15">
        <v>2014</v>
      </c>
      <c r="C23" s="15" t="s">
        <v>23</v>
      </c>
      <c r="D23" s="70" t="s">
        <v>294</v>
      </c>
      <c r="E23" s="17" t="s">
        <v>1113</v>
      </c>
      <c r="I23" s="9" t="s">
        <v>1125</v>
      </c>
    </row>
    <row r="24" spans="1:9">
      <c r="A24" s="15" t="s">
        <v>22</v>
      </c>
      <c r="B24" s="15">
        <v>2015</v>
      </c>
      <c r="C24" s="15" t="s">
        <v>73</v>
      </c>
      <c r="D24" s="17" t="s">
        <v>1126</v>
      </c>
      <c r="E24" s="17" t="s">
        <v>1127</v>
      </c>
      <c r="I24" s="9" t="s">
        <v>1128</v>
      </c>
    </row>
    <row r="25" spans="1:9">
      <c r="A25" s="15" t="s">
        <v>22</v>
      </c>
      <c r="B25" s="15">
        <v>2016</v>
      </c>
      <c r="C25" s="15" t="s">
        <v>23</v>
      </c>
      <c r="D25" s="17" t="s">
        <v>1129</v>
      </c>
      <c r="E25" s="35" t="s">
        <v>1089</v>
      </c>
      <c r="I25" s="69" t="s">
        <v>1130</v>
      </c>
    </row>
    <row r="26" spans="1:9">
      <c r="A26" s="15" t="s">
        <v>22</v>
      </c>
      <c r="B26" s="72">
        <v>2019</v>
      </c>
      <c r="C26" s="72" t="s">
        <v>23</v>
      </c>
      <c r="D26" s="73" t="s">
        <v>1129</v>
      </c>
      <c r="E26" s="73" t="s">
        <v>1131</v>
      </c>
      <c r="F26" s="74"/>
      <c r="G26" s="74"/>
      <c r="H26" s="74"/>
      <c r="I26" s="75" t="s">
        <v>1132</v>
      </c>
    </row>
    <row r="27" spans="1:9">
      <c r="A27" s="15" t="s">
        <v>22</v>
      </c>
      <c r="B27" s="15">
        <v>2017</v>
      </c>
      <c r="C27" s="15" t="s">
        <v>73</v>
      </c>
      <c r="D27" s="17" t="s">
        <v>1133</v>
      </c>
      <c r="E27" s="17" t="s">
        <v>618</v>
      </c>
      <c r="I27" s="9" t="s">
        <v>1134</v>
      </c>
    </row>
    <row r="28" spans="1:9" ht="18" customHeight="1">
      <c r="A28" s="15" t="s">
        <v>22</v>
      </c>
      <c r="B28" s="15">
        <v>2019</v>
      </c>
      <c r="C28" s="15" t="s">
        <v>23</v>
      </c>
      <c r="D28" s="17" t="s">
        <v>167</v>
      </c>
      <c r="E28" s="17" t="s">
        <v>1135</v>
      </c>
      <c r="I28" s="9" t="s">
        <v>1136</v>
      </c>
    </row>
    <row r="29" spans="1:9">
      <c r="A29" s="15" t="s">
        <v>22</v>
      </c>
      <c r="B29" s="15">
        <v>2019</v>
      </c>
      <c r="C29" s="15" t="s">
        <v>23</v>
      </c>
      <c r="D29" s="17" t="s">
        <v>1137</v>
      </c>
      <c r="E29" s="17" t="s">
        <v>221</v>
      </c>
      <c r="I29" s="9" t="s">
        <v>1138</v>
      </c>
    </row>
    <row r="30" spans="1:9">
      <c r="A30" s="15" t="s">
        <v>22</v>
      </c>
      <c r="B30" s="15">
        <v>2019</v>
      </c>
      <c r="C30" s="15" t="s">
        <v>73</v>
      </c>
      <c r="D30" s="17" t="s">
        <v>1133</v>
      </c>
      <c r="E30" s="17" t="s">
        <v>618</v>
      </c>
      <c r="F30" s="9" t="s">
        <v>1139</v>
      </c>
      <c r="H30" s="9" t="s">
        <v>1140</v>
      </c>
      <c r="I30" s="9" t="s">
        <v>1141</v>
      </c>
    </row>
    <row r="31" spans="1:9">
      <c r="A31" s="15" t="s">
        <v>22</v>
      </c>
      <c r="B31" s="15">
        <v>2020</v>
      </c>
      <c r="C31" s="15" t="s">
        <v>73</v>
      </c>
      <c r="D31" s="17" t="s">
        <v>1142</v>
      </c>
      <c r="E31" s="17" t="s">
        <v>657</v>
      </c>
      <c r="I31" s="9" t="s">
        <v>1143</v>
      </c>
    </row>
    <row r="32" spans="1:9">
      <c r="A32" s="15" t="s">
        <v>22</v>
      </c>
      <c r="B32" s="15">
        <v>2021</v>
      </c>
      <c r="C32" s="15" t="s">
        <v>73</v>
      </c>
      <c r="D32" s="17" t="s">
        <v>1144</v>
      </c>
      <c r="E32" s="17" t="s">
        <v>1145</v>
      </c>
    </row>
    <row r="33" spans="3:6">
      <c r="C33" s="15"/>
      <c r="F33" s="17"/>
    </row>
    <row r="34" spans="3:6">
      <c r="C34" s="15"/>
      <c r="F34" s="17"/>
    </row>
    <row r="35" spans="3:6">
      <c r="C35" s="15"/>
      <c r="F35" s="17"/>
    </row>
    <row r="36" spans="3:6">
      <c r="C36" s="15"/>
      <c r="F36" s="17"/>
    </row>
    <row r="37" spans="3:6">
      <c r="C37" s="15"/>
      <c r="F37" s="17"/>
    </row>
    <row r="38" spans="3:6">
      <c r="C38" s="15"/>
      <c r="F38" s="17"/>
    </row>
    <row r="39" spans="3:6">
      <c r="C39" s="15"/>
      <c r="F39" s="17"/>
    </row>
    <row r="40" spans="3:6">
      <c r="C40" s="15"/>
      <c r="F40" s="17"/>
    </row>
    <row r="41" spans="3:6">
      <c r="C41" s="15"/>
      <c r="F41" s="17"/>
    </row>
    <row r="42" spans="3:6">
      <c r="C42" s="15"/>
      <c r="F42" s="17"/>
    </row>
    <row r="43" spans="3:6">
      <c r="C43" s="15"/>
      <c r="F43" s="17"/>
    </row>
    <row r="44" spans="3:6">
      <c r="C44" s="15"/>
      <c r="F44" s="17"/>
    </row>
    <row r="45" spans="3:6">
      <c r="C45" s="15"/>
      <c r="F45" s="17"/>
    </row>
    <row r="46" spans="3:6">
      <c r="C46" s="15"/>
      <c r="F46" s="17"/>
    </row>
    <row r="47" spans="3:6">
      <c r="C47" s="15"/>
      <c r="F47" s="17"/>
    </row>
    <row r="48" spans="3:6">
      <c r="C48" s="15"/>
      <c r="F48" s="17"/>
    </row>
    <row r="49" spans="3:6">
      <c r="C49" s="15"/>
      <c r="F49" s="17"/>
    </row>
    <row r="50" spans="3:6">
      <c r="C50" s="15"/>
      <c r="F50" s="17"/>
    </row>
    <row r="51" spans="3:6">
      <c r="C51" s="15"/>
      <c r="F51" s="17"/>
    </row>
    <row r="52" spans="3:6">
      <c r="C52" s="15"/>
      <c r="F52" s="17"/>
    </row>
    <row r="53" spans="3:6">
      <c r="C53" s="15"/>
      <c r="F53" s="17"/>
    </row>
    <row r="54" spans="3:6">
      <c r="C54" s="15"/>
      <c r="F54" s="17"/>
    </row>
    <row r="55" spans="3:6">
      <c r="C55" s="15"/>
      <c r="F55" s="17"/>
    </row>
    <row r="56" spans="3:6">
      <c r="C56" s="15"/>
      <c r="F56" s="17"/>
    </row>
    <row r="57" spans="3:6">
      <c r="C57" s="15"/>
      <c r="F57" s="17"/>
    </row>
    <row r="58" spans="3:6">
      <c r="C58" s="15"/>
      <c r="F58" s="17"/>
    </row>
    <row r="59" spans="3:6">
      <c r="C59" s="15"/>
      <c r="F59" s="17"/>
    </row>
    <row r="60" spans="3:6">
      <c r="C60" s="15"/>
      <c r="F60" s="17"/>
    </row>
    <row r="61" spans="3:6">
      <c r="C61" s="15"/>
      <c r="F61" s="17"/>
    </row>
    <row r="62" spans="3:6">
      <c r="C62" s="15"/>
      <c r="F62" s="17"/>
    </row>
    <row r="63" spans="3:6">
      <c r="C63" s="15"/>
      <c r="F63" s="17"/>
    </row>
    <row r="64" spans="3:6">
      <c r="C64" s="15"/>
      <c r="F64" s="17"/>
    </row>
    <row r="65" spans="3:6">
      <c r="C65" s="15"/>
      <c r="F65" s="17"/>
    </row>
    <row r="66" spans="3:6">
      <c r="C66" s="15"/>
      <c r="F66" s="17"/>
    </row>
    <row r="67" spans="3:6">
      <c r="C67" s="15"/>
      <c r="F67" s="17"/>
    </row>
    <row r="68" spans="3:6">
      <c r="C68" s="15"/>
      <c r="F68" s="17"/>
    </row>
    <row r="69" spans="3:6">
      <c r="C69" s="15"/>
      <c r="F69" s="17"/>
    </row>
    <row r="70" spans="3:6">
      <c r="C70" s="15"/>
      <c r="F70" s="17"/>
    </row>
    <row r="71" spans="3:6">
      <c r="C71" s="15"/>
      <c r="F71" s="17"/>
    </row>
    <row r="72" spans="3:6">
      <c r="C72" s="15"/>
      <c r="F72" s="17"/>
    </row>
    <row r="73" spans="3:6">
      <c r="C73" s="15"/>
      <c r="F73" s="17"/>
    </row>
    <row r="74" spans="3:6">
      <c r="C74" s="15"/>
      <c r="F74" s="17"/>
    </row>
    <row r="75" spans="3:6">
      <c r="C75" s="15"/>
      <c r="F75" s="17"/>
    </row>
    <row r="76" spans="3:6">
      <c r="C76" s="15"/>
      <c r="F76" s="17"/>
    </row>
    <row r="77" spans="3:6">
      <c r="C77" s="15"/>
      <c r="F77" s="17"/>
    </row>
    <row r="78" spans="3:6">
      <c r="C78" s="15"/>
      <c r="F78" s="17"/>
    </row>
    <row r="79" spans="3:6">
      <c r="C79" s="15"/>
      <c r="F79" s="17"/>
    </row>
    <row r="80" spans="3:6">
      <c r="C80" s="15"/>
      <c r="F80" s="17"/>
    </row>
    <row r="81" spans="3:6">
      <c r="C81" s="15"/>
      <c r="F81" s="17"/>
    </row>
    <row r="82" spans="3:6">
      <c r="C82" s="15"/>
      <c r="F82" s="17"/>
    </row>
    <row r="83" spans="3:6">
      <c r="C83" s="15"/>
      <c r="F83" s="17"/>
    </row>
    <row r="84" spans="3:6">
      <c r="C84" s="15"/>
      <c r="F84" s="17"/>
    </row>
    <row r="85" spans="3:6">
      <c r="C85" s="15"/>
      <c r="F85" s="17"/>
    </row>
    <row r="86" spans="3:6">
      <c r="C86" s="15"/>
      <c r="F86" s="17"/>
    </row>
    <row r="87" spans="3:6">
      <c r="C87" s="15"/>
      <c r="F87" s="17"/>
    </row>
    <row r="88" spans="3:6">
      <c r="C88" s="15"/>
      <c r="F88" s="17"/>
    </row>
    <row r="89" spans="3:6">
      <c r="C89" s="15"/>
      <c r="F89" s="17"/>
    </row>
    <row r="90" spans="3:6">
      <c r="C90" s="15"/>
      <c r="F90" s="17"/>
    </row>
    <row r="91" spans="3:6">
      <c r="C91" s="15"/>
      <c r="F91" s="17"/>
    </row>
    <row r="92" spans="3:6">
      <c r="C92" s="15"/>
      <c r="F92" s="17"/>
    </row>
    <row r="93" spans="3:6">
      <c r="C93" s="15"/>
      <c r="F93" s="17"/>
    </row>
    <row r="94" spans="3:6">
      <c r="C94" s="15"/>
      <c r="F94" s="17"/>
    </row>
    <row r="95" spans="3:6">
      <c r="C95" s="15"/>
      <c r="F95" s="17"/>
    </row>
    <row r="96" spans="3:6">
      <c r="C96" s="15"/>
      <c r="F96" s="17"/>
    </row>
    <row r="97" spans="3:6">
      <c r="C97" s="15"/>
      <c r="F97" s="17"/>
    </row>
    <row r="98" spans="3:6">
      <c r="C98" s="15"/>
      <c r="F98" s="17"/>
    </row>
    <row r="99" spans="3:6">
      <c r="C99" s="15"/>
      <c r="F99" s="17"/>
    </row>
    <row r="100" spans="3:6">
      <c r="C100" s="15"/>
      <c r="F100" s="17"/>
    </row>
    <row r="101" spans="3:6">
      <c r="C101" s="15"/>
      <c r="F101" s="17"/>
    </row>
    <row r="102" spans="3:6">
      <c r="C102" s="15"/>
      <c r="F102" s="17"/>
    </row>
    <row r="103" spans="3:6">
      <c r="C103" s="15"/>
      <c r="F103" s="17"/>
    </row>
    <row r="104" spans="3:6">
      <c r="C104" s="15"/>
      <c r="F104" s="17"/>
    </row>
    <row r="105" spans="3:6">
      <c r="C105" s="15"/>
      <c r="F105" s="17"/>
    </row>
    <row r="106" spans="3:6">
      <c r="C106" s="15"/>
      <c r="F106" s="17"/>
    </row>
    <row r="107" spans="3:6">
      <c r="C107" s="15"/>
      <c r="F107" s="17"/>
    </row>
    <row r="108" spans="3:6">
      <c r="C108" s="15"/>
      <c r="F108" s="17"/>
    </row>
    <row r="109" spans="3:6">
      <c r="C109" s="15"/>
      <c r="F109" s="17"/>
    </row>
    <row r="110" spans="3:6">
      <c r="C110" s="15"/>
      <c r="F110" s="17"/>
    </row>
    <row r="111" spans="3:6">
      <c r="C111" s="15"/>
      <c r="F111" s="17"/>
    </row>
    <row r="112" spans="3:6">
      <c r="C112" s="15"/>
      <c r="F112" s="17"/>
    </row>
    <row r="113" spans="3:6">
      <c r="C113" s="15"/>
      <c r="F113" s="17"/>
    </row>
    <row r="114" spans="3:6">
      <c r="C114" s="15"/>
      <c r="F114" s="17"/>
    </row>
    <row r="115" spans="3:6">
      <c r="C115" s="15"/>
      <c r="F115" s="17"/>
    </row>
    <row r="116" spans="3:6">
      <c r="C116" s="15"/>
      <c r="F116" s="17"/>
    </row>
    <row r="117" spans="3:6">
      <c r="C117" s="15"/>
      <c r="F117" s="17"/>
    </row>
    <row r="118" spans="3:6">
      <c r="C118" s="15"/>
      <c r="F118" s="17"/>
    </row>
    <row r="119" spans="3:6">
      <c r="C119" s="15"/>
      <c r="F119" s="17"/>
    </row>
    <row r="120" spans="3:6">
      <c r="C120" s="15"/>
      <c r="F120" s="17"/>
    </row>
    <row r="121" spans="3:6">
      <c r="C121" s="15"/>
      <c r="F121" s="17"/>
    </row>
    <row r="122" spans="3:6">
      <c r="C122" s="15"/>
      <c r="F122" s="17"/>
    </row>
    <row r="123" spans="3:6">
      <c r="C123" s="15"/>
      <c r="F123" s="17"/>
    </row>
    <row r="124" spans="3:6">
      <c r="C124" s="15"/>
      <c r="F124" s="17"/>
    </row>
    <row r="125" spans="3:6">
      <c r="C125" s="15"/>
      <c r="F125" s="17"/>
    </row>
    <row r="126" spans="3:6">
      <c r="C126" s="15"/>
      <c r="F126" s="17"/>
    </row>
    <row r="127" spans="3:6">
      <c r="C127" s="15"/>
      <c r="F127" s="17"/>
    </row>
    <row r="128" spans="3:6">
      <c r="C128" s="15"/>
      <c r="F128" s="17"/>
    </row>
    <row r="129" spans="3:6">
      <c r="C129" s="15"/>
      <c r="F129" s="17"/>
    </row>
    <row r="130" spans="3:6">
      <c r="C130" s="15"/>
      <c r="F130" s="17"/>
    </row>
    <row r="131" spans="3:6">
      <c r="C131" s="15"/>
      <c r="F131" s="17"/>
    </row>
    <row r="132" spans="3:6">
      <c r="C132" s="15"/>
      <c r="F132" s="17"/>
    </row>
    <row r="133" spans="3:6">
      <c r="C133" s="15"/>
      <c r="F133" s="17"/>
    </row>
    <row r="134" spans="3:6">
      <c r="C134" s="15"/>
      <c r="F134" s="17"/>
    </row>
    <row r="135" spans="3:6">
      <c r="C135" s="15"/>
      <c r="F135" s="17"/>
    </row>
  </sheetData>
  <conditionalFormatting sqref="D96:D99">
    <cfRule type="cellIs" dxfId="10" priority="1" operator="equal">
      <formula>0</formula>
    </cfRule>
  </conditionalFormatting>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711ED7D1A26046AC814D07D89ABFF1" ma:contentTypeVersion="11" ma:contentTypeDescription="Create a new document." ma:contentTypeScope="" ma:versionID="c5971721d9d4c159a17d8ff88acfd3bd">
  <xsd:schema xmlns:xsd="http://www.w3.org/2001/XMLSchema" xmlns:xs="http://www.w3.org/2001/XMLSchema" xmlns:p="http://schemas.microsoft.com/office/2006/metadata/properties" xmlns:ns2="b9dbf7df-a516-4db8-aaeb-66783b09db73" xmlns:ns3="109a6d28-da74-407d-a009-d6fc2725ed2d" targetNamespace="http://schemas.microsoft.com/office/2006/metadata/properties" ma:root="true" ma:fieldsID="1ef56bd3f5fdf9a6be96c2fc97ef22d2" ns2:_="" ns3:_="">
    <xsd:import namespace="b9dbf7df-a516-4db8-aaeb-66783b09db73"/>
    <xsd:import namespace="109a6d28-da74-407d-a009-d6fc2725ed2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bf7df-a516-4db8-aaeb-66783b09d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f643bf9-c92d-4565-8aae-71318312e3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9a6d28-da74-407d-a009-d6fc2725ed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114cd9-ed65-4418-a1da-b24c39fa7032}" ma:internalName="TaxCatchAll" ma:showField="CatchAllData" ma:web="109a6d28-da74-407d-a009-d6fc2725ed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dbf7df-a516-4db8-aaeb-66783b09db73">
      <Terms xmlns="http://schemas.microsoft.com/office/infopath/2007/PartnerControls"/>
    </lcf76f155ced4ddcb4097134ff3c332f>
    <TaxCatchAll xmlns="109a6d28-da74-407d-a009-d6fc2725ed2d" xsi:nil="true"/>
  </documentManagement>
</p:properties>
</file>

<file path=customXml/itemProps1.xml><?xml version="1.0" encoding="utf-8"?>
<ds:datastoreItem xmlns:ds="http://schemas.openxmlformats.org/officeDocument/2006/customXml" ds:itemID="{9727562A-37A5-41C6-B9F4-35E52F62E048}"/>
</file>

<file path=customXml/itemProps2.xml><?xml version="1.0" encoding="utf-8"?>
<ds:datastoreItem xmlns:ds="http://schemas.openxmlformats.org/officeDocument/2006/customXml" ds:itemID="{D3E82A7F-4D33-4339-BCB0-5BA1832E4575}"/>
</file>

<file path=customXml/itemProps3.xml><?xml version="1.0" encoding="utf-8"?>
<ds:datastoreItem xmlns:ds="http://schemas.openxmlformats.org/officeDocument/2006/customXml" ds:itemID="{4FB9F5CA-04A8-4731-90ED-0AEA1B4496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Dong Blue</dc:creator>
  <cp:keywords/>
  <dc:description/>
  <cp:lastModifiedBy>Lukas Barbutev</cp:lastModifiedBy>
  <cp:revision/>
  <dcterms:created xsi:type="dcterms:W3CDTF">2015-06-05T18:17:20Z</dcterms:created>
  <dcterms:modified xsi:type="dcterms:W3CDTF">2025-10-27T11:33:43Z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694e0f-943f-4e6f-bf55-6e34fbc91307_Enabled">
    <vt:lpwstr>true</vt:lpwstr>
  </property>
  <property fmtid="{D5CDD505-2E9C-101B-9397-08002B2CF9AE}" pid="3" name="MSIP_Label_a9694e0f-943f-4e6f-bf55-6e34fbc91307_SetDate">
    <vt:lpwstr>2024-08-22T20:35:32Z</vt:lpwstr>
  </property>
  <property fmtid="{D5CDD505-2E9C-101B-9397-08002B2CF9AE}" pid="4" name="MSIP_Label_a9694e0f-943f-4e6f-bf55-6e34fbc91307_Method">
    <vt:lpwstr>Standard</vt:lpwstr>
  </property>
  <property fmtid="{D5CDD505-2E9C-101B-9397-08002B2CF9AE}" pid="5" name="MSIP_Label_a9694e0f-943f-4e6f-bf55-6e34fbc91307_Name">
    <vt:lpwstr>Usage interne</vt:lpwstr>
  </property>
  <property fmtid="{D5CDD505-2E9C-101B-9397-08002B2CF9AE}" pid="6" name="MSIP_Label_a9694e0f-943f-4e6f-bf55-6e34fbc91307_SiteId">
    <vt:lpwstr>728d20a5-0b44-47dd-9470-20f37cbf2d9a</vt:lpwstr>
  </property>
  <property fmtid="{D5CDD505-2E9C-101B-9397-08002B2CF9AE}" pid="7" name="MSIP_Label_a9694e0f-943f-4e6f-bf55-6e34fbc91307_ActionId">
    <vt:lpwstr>96de0413-7fa4-4702-a64b-1689daa7c6f8</vt:lpwstr>
  </property>
  <property fmtid="{D5CDD505-2E9C-101B-9397-08002B2CF9AE}" pid="8" name="MSIP_Label_a9694e0f-943f-4e6f-bf55-6e34fbc91307_ContentBits">
    <vt:lpwstr>0</vt:lpwstr>
  </property>
  <property fmtid="{D5CDD505-2E9C-101B-9397-08002B2CF9AE}" pid="9" name="ContentTypeId">
    <vt:lpwstr>0x010100DE711ED7D1A26046AC814D07D89ABFF1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MediaServiceImageTags">
    <vt:lpwstr/>
  </property>
</Properties>
</file>