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7.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ml.chartshapes+xml"/>
  <Override PartName="/xl/comments8.xml" ContentType="application/vnd.openxmlformats-officedocument.spreadsheetml.comments+xml"/>
  <Override PartName="/xl/comments9.xml" ContentType="application/vnd.openxmlformats-officedocument.spreadsheetml.comments+xml"/>
  <Override PartName="/xl/drawings/drawing5.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omments10.xml" ContentType="application/vnd.openxmlformats-officedocument.spreadsheetml.comments+xml"/>
  <Override PartName="/xl/drawings/drawing6.xml" ContentType="application/vnd.openxmlformats-officedocument.drawing+xml"/>
  <Override PartName="/xl/comments11.xml" ContentType="application/vnd.openxmlformats-officedocument.spreadsheetml.comments+xml"/>
  <Override PartName="/xl/drawings/drawing7.xml" ContentType="application/vnd.openxmlformats-officedocument.drawing+xml"/>
  <Override PartName="/xl/comments12.xml" ContentType="application/vnd.openxmlformats-officedocument.spreadsheetml.comments+xml"/>
  <Override PartName="/xl/drawings/drawing8.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omments13.xml" ContentType="application/vnd.openxmlformats-officedocument.spreadsheetml.comments+xml"/>
  <Override PartName="/xl/drawings/drawing9.xml" ContentType="application/vnd.openxmlformats-officedocument.drawing+xml"/>
  <Override PartName="/xl/comments14.xml" ContentType="application/vnd.openxmlformats-officedocument.spreadsheetml.comments+xml"/>
  <Override PartName="/xl/threadedComments/threadedComment1.xml" ContentType="application/vnd.ms-excel.threadedcomment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persons/person.xml" ContentType="application/vnd.ms-excel.person+xml"/>
  <Override PartName="/xl/featurePropertyBag/featurePropertyBag.xml" ContentType="application/vnd.ms-excel.featurepropertyba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30"/>
  <workbookPr/>
  <mc:AlternateContent xmlns:mc="http://schemas.openxmlformats.org/markup-compatibility/2006">
    <mc:Choice Requires="x15">
      <x15ac:absPath xmlns:x15ac="http://schemas.microsoft.com/office/spreadsheetml/2010/11/ac" url="/Users/agnesmalkinson/Documents/GMCIP/Canada 2024/"/>
    </mc:Choice>
  </mc:AlternateContent>
  <xr:revisionPtr revIDLastSave="0" documentId="8_{003DAD75-E7B1-9847-8615-852D026972D6}" xr6:coauthVersionLast="47" xr6:coauthVersionMax="47" xr10:uidLastSave="{00000000-0000-0000-0000-000000000000}"/>
  <bookViews>
    <workbookView xWindow="0" yWindow="500" windowWidth="28800" windowHeight="15940" tabRatio="925" xr2:uid="{8E7B4D7A-D990-F640-A0FA-53CBD5DE621B}"/>
  </bookViews>
  <sheets>
    <sheet name="Figure 1 Sectors Covered" sheetId="2" r:id="rId1"/>
    <sheet name="Figure 2 World BiggestMediaEcon" sheetId="126" r:id="rId2"/>
    <sheet name="Figure 3 Development" sheetId="4" r:id="rId3"/>
    <sheet name="Figure 4 GSDR" sheetId="3" r:id="rId4"/>
    <sheet name="Figure 5 Household Spending " sheetId="5" r:id="rId5"/>
    <sheet name="Figure 6 Leading Cos (w  cloud)" sheetId="118" r:id="rId6"/>
    <sheet name="Figure 6 Leading Cos (wo cloud)" sheetId="125" r:id="rId7"/>
    <sheet name="Figure 7 Conc RankingsHHI" sheetId="62" r:id="rId8"/>
    <sheet name="Figure 8  HHI Guidelines USEUCH" sheetId="127" r:id="rId9"/>
    <sheet name="Figure 9 1969 Media Economy" sheetId="6" r:id="rId10"/>
    <sheet name="Figure 10 Leading BC&amp;Pubs" sheetId="11" r:id="rId11"/>
    <sheet name="Figure 11 Leading Mediacos" sheetId="10" r:id="rId12"/>
    <sheet name="Fig 12 MediaEcon 1969v84v96" sheetId="8" r:id="rId13"/>
    <sheet name="Figure 13 Comms+Media M&amp;A" sheetId="9" r:id="rId14"/>
    <sheet name="Figure 14 Can vs US VI" sheetId="13" r:id="rId15"/>
    <sheet name="Figure 15 Com vs Content" sheetId="14" r:id="rId16"/>
    <sheet name="Figure 16 NME All Sector $" sheetId="7" r:id="rId17"/>
    <sheet name="Figure 17  Telecom+ISP $" sheetId="21" r:id="rId18"/>
    <sheet name="Figure 18 Network Conn Subs" sheetId="16" r:id="rId19"/>
    <sheet name="Figure 19 Network Conn $" sheetId="15" r:id="rId20"/>
    <sheet name="Figure 20 CR4 Telecom+Internet" sheetId="17" r:id="rId21"/>
    <sheet name="Figure 21 HHI Telecom+Internet" sheetId="18" r:id="rId22"/>
    <sheet name="Figure 22 Biggest Mobile Mrkts" sheetId="20" r:id="rId23"/>
    <sheet name="Figure 23 Comm Serv vs CPI" sheetId="23" r:id="rId24"/>
    <sheet name="Figure 24 ICT Income" sheetId="22" r:id="rId25"/>
    <sheet name="Figure 25 ARPU" sheetId="24" r:id="rId26"/>
    <sheet name="Fig 26 OECD Mobile Adoption" sheetId="25" r:id="rId27"/>
    <sheet name="Figure 27 Mobile Data Usage" sheetId="28" r:id="rId28"/>
    <sheet name="Figure 28 Nat'l Wireless Mrkt " sheetId="27" r:id="rId29"/>
    <sheet name="Figure 29 Prov Wireless Subs" sheetId="130" r:id="rId30"/>
    <sheet name="Figure 30 Prov Wireless $" sheetId="131" r:id="rId31"/>
    <sheet name="Figure 31 IPTV Subs" sheetId="35" r:id="rId32"/>
    <sheet name="Figure 32 IPTV $" sheetId="36" r:id="rId33"/>
    <sheet name="Figure 33 BDU $" sheetId="37" r:id="rId34"/>
    <sheet name="Fig 34 Cable vs Telcos" sheetId="40" r:id="rId35"/>
    <sheet name="Figure 35 BDU R2 Before After" sheetId="41" r:id="rId36"/>
    <sheet name="Figure 36 ISP MS Subs" sheetId="31" r:id="rId37"/>
    <sheet name="Figure 37 ISP MS $" sheetId="30" r:id="rId38"/>
    <sheet name="Fig38 RS ISP Before-After" sheetId="42" r:id="rId39"/>
    <sheet name="Figure 39 Fibre Broadband" sheetId="39" r:id="rId40"/>
    <sheet name="Figure 40 VI vs Big Tech" sheetId="12" r:id="rId41"/>
    <sheet name="Figure 41 App Store &amp; Game $" sheetId="88" r:id="rId42"/>
    <sheet name="Figure 42  Cloud computing $" sheetId="115" r:id="rId43"/>
    <sheet name="Figure 43 Trad+online media$" sheetId="87" r:id="rId44"/>
    <sheet name="Figure 44 OnlineVsLegacymedia" sheetId="57" r:id="rId45"/>
    <sheet name="Figure 45 Rise &amp; Fall of Ad Med" sheetId="60" r:id="rId46"/>
    <sheet name="Figure 46 Internet ad$vsallad$" sheetId="43" r:id="rId47"/>
    <sheet name="Figure 47 Ad $ vs GDI" sheetId="44" r:id="rId48"/>
    <sheet name="Figure 48 Adv % Media Economy" sheetId="45" r:id="rId49"/>
    <sheet name="Figure 49 Adv per Capita " sheetId="46" r:id="rId50"/>
    <sheet name="Fig 50 Internet Ad$ " sheetId="47" r:id="rId51"/>
    <sheet name="Figure 51 Search Engine DT MS" sheetId="48" r:id="rId52"/>
    <sheet name="Figure 52 Google Ad Tech Stack" sheetId="52" r:id="rId53"/>
    <sheet name="Figure 53  X-DigMrktDom" sheetId="133" r:id="rId54"/>
    <sheet name="Figure 54 Social Media " sheetId="53" r:id="rId55"/>
    <sheet name="Figure 55 Facebook Growth" sheetId="55" r:id="rId56"/>
    <sheet name="Figure 56 Total Ad$ ConMetrics " sheetId="49" r:id="rId57"/>
    <sheet name="Figure 57 CR1, 4 &amp; 10" sheetId="67" r:id="rId58"/>
    <sheet name="Figure 58 Radio Recomposed" sheetId="69" r:id="rId59"/>
    <sheet name="Figure 59 Online Video $" sheetId="70" r:id="rId60"/>
    <sheet name="Figure 60 OVS Conc $" sheetId="73" r:id="rId61"/>
    <sheet name="Figure 61 OVS Conc Subs MS" sheetId="71" r:id="rId62"/>
    <sheet name="Figure 62 OVD MrktShare $ w YT" sheetId="72" r:id="rId63"/>
    <sheet name="Figure 63 GrowthUpheavaTV Mrkt" sheetId="74" r:id="rId64"/>
    <sheet name="Figure 64 TV ownership, 84-23" sheetId="77" r:id="rId65"/>
    <sheet name="Figure 65 CR ScoresTV" sheetId="79" r:id="rId66"/>
    <sheet name="Figure 66 HHI ScoresTV" sheetId="80" r:id="rId67"/>
    <sheet name="Figure 67 TV+Film Prod" sheetId="75" r:id="rId68"/>
    <sheet name="Figure 68 PayingforTV" sheetId="78" r:id="rId69"/>
    <sheet name="Figure 69 Newspaper $" sheetId="81" r:id="rId70"/>
    <sheet name="Figure 70 Journos vs PR  " sheetId="82" r:id="rId71"/>
    <sheet name="Figure 71 Internet News" sheetId="83" r:id="rId72"/>
    <sheet name="Figure 72 Gaming Industry $" sheetId="89" r:id="rId73"/>
    <sheet name="Figure 73 GameCos" sheetId="90" r:id="rId74"/>
    <sheet name="Figure 74 Games ConcMetric" sheetId="91" r:id="rId75"/>
    <sheet name="Figure 75 Total Music $" sheetId="93" r:id="rId76"/>
    <sheet name="Figure76 StreamingMusic+Publish" sheetId="132" r:id="rId77"/>
    <sheet name="Figure 77  Leading Music Cos" sheetId="94" r:id="rId78"/>
    <sheet name="Figure 78 Online Media Economy" sheetId="85" r:id="rId79"/>
    <sheet name="Figure 79 Top InternetCos" sheetId="97" r:id="rId80"/>
    <sheet name="Figure 80 Top internetcos ranke" sheetId="96" r:id="rId81"/>
    <sheet name="Figure 81 Leading Content Cos" sheetId="98" r:id="rId82"/>
    <sheet name="Figure 82 Online digital media" sheetId="111" r:id="rId83"/>
    <sheet name="Figure 83 Dig+Legacy HHI&amp;CR4" sheetId="84" r:id="rId84"/>
    <sheet name="Figure 84 CR1, 4 &amp; 10" sheetId="100" r:id="rId85"/>
    <sheet name="Figure 85 NME CR4&amp;HHI" sheetId="107" r:id="rId86"/>
    <sheet name="Figure 86 Select Intl Compari" sheetId="114" r:id="rId87"/>
    <sheet name="Figure X Infrastructure" sheetId="119" r:id="rId88"/>
    <sheet name="Figure X Infrastructure CR4 " sheetId="120" r:id="rId89"/>
    <sheet name="Figure X Infrastructure HHI " sheetId="121" r:id="rId90"/>
    <sheet name="All Advertising $" sheetId="51" r:id="rId91"/>
    <sheet name="Pay TV ownership groups" sheetId="50" r:id="rId92"/>
    <sheet name="Sheet1 (2)" sheetId="117" r:id="rId93"/>
  </sheets>
  <definedNames>
    <definedName name="_xlnm.Print_Area" localSheetId="90">'All Advertising $'!$A$71:$V$138</definedName>
    <definedName name="_xlnm.Print_Area" localSheetId="11">'Figure 11 Leading Mediacos'!$A$1:$K$28</definedName>
    <definedName name="_xlnm.Print_Area" localSheetId="9">'Figure 9 1969 Media Economy'!$A$1:$B$13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40" i="51" l="1"/>
  <c r="D140" i="51"/>
  <c r="E140" i="51"/>
  <c r="F140" i="51"/>
  <c r="G140" i="51"/>
  <c r="H140" i="51"/>
  <c r="I140" i="51"/>
  <c r="J140" i="51"/>
  <c r="K140" i="51"/>
  <c r="L140" i="51"/>
  <c r="M140" i="51"/>
  <c r="N140" i="51"/>
  <c r="O140" i="51"/>
  <c r="P140" i="51"/>
  <c r="Q140" i="51"/>
  <c r="R140" i="51"/>
  <c r="S140" i="51"/>
  <c r="T140" i="51"/>
  <c r="U140" i="51"/>
  <c r="V140" i="51"/>
  <c r="W140" i="51"/>
  <c r="U6" i="22"/>
  <c r="V6" i="114"/>
  <c r="W6" i="114"/>
  <c r="X6" i="114"/>
  <c r="Y6" i="114"/>
  <c r="Y7" i="114"/>
  <c r="Y8" i="114"/>
  <c r="Y9" i="114"/>
  <c r="Y4" i="114"/>
  <c r="Y5" i="114"/>
  <c r="Y3" i="114"/>
  <c r="X8" i="114"/>
  <c r="X4" i="114"/>
  <c r="X5" i="114"/>
  <c r="X7" i="114"/>
  <c r="X9" i="114"/>
  <c r="X3" i="114"/>
  <c r="V7" i="114"/>
  <c r="W7" i="114"/>
  <c r="V8" i="114"/>
  <c r="W8" i="114"/>
  <c r="V9" i="114"/>
  <c r="W9" i="114"/>
  <c r="V4" i="114"/>
  <c r="V5" i="114"/>
  <c r="V3" i="114"/>
  <c r="W4" i="114"/>
  <c r="W5" i="114"/>
  <c r="W3" i="114"/>
  <c r="Y153" i="51" l="1"/>
  <c r="X153" i="51"/>
  <c r="X152" i="51"/>
  <c r="C152" i="51"/>
  <c r="D152" i="51"/>
  <c r="E152" i="51"/>
  <c r="F152" i="51"/>
  <c r="G152" i="51"/>
  <c r="H152" i="51"/>
  <c r="I152" i="51"/>
  <c r="J152" i="51"/>
  <c r="K152" i="51"/>
  <c r="L152" i="51"/>
  <c r="M152" i="51"/>
  <c r="N152" i="51"/>
  <c r="O152" i="51"/>
  <c r="P152" i="51"/>
  <c r="Q152" i="51"/>
  <c r="R152" i="51"/>
  <c r="S152" i="51"/>
  <c r="T152" i="51"/>
  <c r="U152" i="51"/>
  <c r="V152" i="51"/>
  <c r="W152" i="51"/>
  <c r="X151" i="51"/>
  <c r="I151" i="51"/>
  <c r="J151" i="51"/>
  <c r="K151" i="51"/>
  <c r="L151" i="51"/>
  <c r="M151" i="51"/>
  <c r="N151" i="51"/>
  <c r="O151" i="51"/>
  <c r="P151" i="51"/>
  <c r="Q151" i="51"/>
  <c r="R151" i="51"/>
  <c r="S151" i="51"/>
  <c r="T151" i="51"/>
  <c r="U151" i="51"/>
  <c r="V151" i="51"/>
  <c r="W151" i="51"/>
  <c r="F15" i="97"/>
  <c r="E15" i="97"/>
  <c r="B15" i="97" l="1"/>
  <c r="D15" i="97"/>
  <c r="C16" i="132" l="1"/>
  <c r="B16" i="132"/>
  <c r="C15" i="132" l="1"/>
  <c r="B15" i="132"/>
  <c r="C14" i="132"/>
  <c r="B14" i="132"/>
  <c r="B12" i="132"/>
  <c r="B15" i="93"/>
  <c r="C15" i="93"/>
  <c r="D15" i="93"/>
  <c r="E15" i="93"/>
  <c r="F15" i="93"/>
  <c r="G15" i="93"/>
  <c r="H15" i="93"/>
  <c r="I15" i="93"/>
  <c r="J15" i="93"/>
  <c r="K15" i="93"/>
  <c r="L15" i="93"/>
  <c r="M15" i="93"/>
  <c r="N15" i="93"/>
  <c r="O15" i="93"/>
  <c r="P15" i="93"/>
  <c r="Q15" i="93"/>
  <c r="R15" i="93"/>
  <c r="S15" i="93"/>
  <c r="T15" i="93"/>
  <c r="U15" i="93"/>
  <c r="V15" i="93"/>
  <c r="W15" i="93"/>
  <c r="R7" i="89" l="1"/>
  <c r="X13" i="87"/>
  <c r="AO4" i="82" l="1"/>
  <c r="Z21" i="81" l="1"/>
  <c r="Z17" i="81"/>
  <c r="Z16" i="81"/>
  <c r="W17" i="87"/>
  <c r="W19" i="87"/>
  <c r="W18" i="87"/>
  <c r="Y10" i="81" l="1"/>
  <c r="Z108" i="51"/>
  <c r="X5" i="78"/>
  <c r="Y109" i="51"/>
  <c r="Y107" i="51"/>
  <c r="B9" i="75" l="1"/>
  <c r="C9" i="75"/>
  <c r="U13" i="75" l="1"/>
  <c r="L31" i="77"/>
  <c r="M31" i="77"/>
  <c r="N31" i="77"/>
  <c r="O31" i="77"/>
  <c r="P31" i="77"/>
  <c r="Q31" i="77"/>
  <c r="R31" i="77"/>
  <c r="S31" i="77"/>
  <c r="T31" i="77"/>
  <c r="U31" i="77"/>
  <c r="V31" i="77"/>
  <c r="W31" i="77"/>
  <c r="B30" i="77"/>
  <c r="C30" i="77"/>
  <c r="D30" i="77"/>
  <c r="E30" i="77"/>
  <c r="F30" i="77"/>
  <c r="G30" i="77"/>
  <c r="H30" i="77"/>
  <c r="I30" i="77"/>
  <c r="J30" i="77"/>
  <c r="K30" i="77"/>
  <c r="L30" i="77"/>
  <c r="M30" i="77"/>
  <c r="N30" i="77"/>
  <c r="O30" i="77"/>
  <c r="P30" i="77"/>
  <c r="Q30" i="77"/>
  <c r="R30" i="77"/>
  <c r="S30" i="77"/>
  <c r="T30" i="77"/>
  <c r="U30" i="77"/>
  <c r="V30" i="77"/>
  <c r="W30" i="77"/>
  <c r="X8" i="74"/>
  <c r="X7" i="74"/>
  <c r="B17" i="70"/>
  <c r="C17" i="70"/>
  <c r="D17" i="70"/>
  <c r="E17" i="70"/>
  <c r="F17" i="70"/>
  <c r="G17" i="70"/>
  <c r="H17" i="70"/>
  <c r="I17" i="70"/>
  <c r="J17" i="70"/>
  <c r="K17" i="70"/>
  <c r="L17" i="70"/>
  <c r="M17" i="70"/>
  <c r="N17" i="70"/>
  <c r="O17" i="70"/>
  <c r="Y5" i="77" l="1"/>
  <c r="F150" i="50" l="1"/>
  <c r="F31" i="77"/>
  <c r="D31" i="77"/>
  <c r="E31" i="77"/>
  <c r="G31" i="77"/>
  <c r="H31" i="77"/>
  <c r="I31" i="77"/>
  <c r="J31" i="77"/>
  <c r="K31" i="77"/>
  <c r="M44" i="50"/>
  <c r="L44" i="50"/>
  <c r="J44" i="50"/>
  <c r="AI16" i="67" l="1"/>
  <c r="Q4" i="55" l="1"/>
  <c r="B16" i="53"/>
  <c r="C16" i="53"/>
  <c r="D16" i="53"/>
  <c r="E16" i="53"/>
  <c r="F16" i="53"/>
  <c r="G16" i="53"/>
  <c r="H16" i="53"/>
  <c r="I16" i="53"/>
  <c r="J16" i="53"/>
  <c r="K16" i="53"/>
  <c r="L16" i="53"/>
  <c r="M16" i="53"/>
  <c r="N16" i="53"/>
  <c r="O16" i="53"/>
  <c r="W3" i="45" l="1"/>
  <c r="W3" i="44" l="1"/>
  <c r="W4" i="44"/>
  <c r="H11" i="43"/>
  <c r="I11" i="43"/>
  <c r="J11" i="43"/>
  <c r="K11" i="43"/>
  <c r="L11" i="43"/>
  <c r="M11" i="43"/>
  <c r="N11" i="43"/>
  <c r="O11" i="43"/>
  <c r="P11" i="43"/>
  <c r="Q11" i="43"/>
  <c r="AC4" i="43"/>
  <c r="AC5" i="43"/>
  <c r="AC6" i="43"/>
  <c r="AC7" i="43"/>
  <c r="AC8" i="43"/>
  <c r="AC9" i="43"/>
  <c r="AC3" i="43"/>
  <c r="AA4" i="43"/>
  <c r="AA5" i="43"/>
  <c r="AA6" i="43"/>
  <c r="AA7" i="43"/>
  <c r="AA8" i="43"/>
  <c r="AA9" i="43"/>
  <c r="AA3" i="43"/>
  <c r="Z4" i="43"/>
  <c r="Z5" i="43"/>
  <c r="Z6" i="43"/>
  <c r="Z7" i="43"/>
  <c r="Z8" i="43"/>
  <c r="Z9" i="43"/>
  <c r="Z3" i="43"/>
  <c r="Y4" i="43"/>
  <c r="Y5" i="43"/>
  <c r="Y6" i="43"/>
  <c r="Y7" i="43"/>
  <c r="Y8" i="43"/>
  <c r="Y9" i="43"/>
  <c r="AB4" i="43"/>
  <c r="AB5" i="43"/>
  <c r="AB6" i="43"/>
  <c r="AB7" i="43"/>
  <c r="AB8" i="43"/>
  <c r="AB9" i="43"/>
  <c r="AB3" i="43"/>
  <c r="Y3" i="43"/>
  <c r="B3" i="132"/>
  <c r="B4" i="132"/>
  <c r="B5" i="132"/>
  <c r="B6" i="132"/>
  <c r="B7" i="132"/>
  <c r="B8" i="132"/>
  <c r="B9" i="132"/>
  <c r="B10" i="132"/>
  <c r="B13" i="132" l="1"/>
  <c r="R10" i="23" l="1"/>
  <c r="S10" i="23"/>
  <c r="T10" i="23"/>
  <c r="U10" i="23"/>
  <c r="V10" i="23"/>
  <c r="W10" i="23"/>
  <c r="X10" i="23"/>
  <c r="Q10" i="23"/>
  <c r="Y7" i="23"/>
  <c r="C19" i="37" l="1"/>
  <c r="G31" i="37"/>
  <c r="H31" i="37"/>
  <c r="I31" i="37"/>
  <c r="J31" i="37"/>
  <c r="K31" i="37"/>
  <c r="L31" i="37"/>
  <c r="M31" i="37"/>
  <c r="N31" i="37"/>
  <c r="O31" i="37"/>
  <c r="P31" i="37"/>
  <c r="Q31" i="37"/>
  <c r="R31" i="37"/>
  <c r="S31" i="37"/>
  <c r="T31" i="37"/>
  <c r="U31" i="37"/>
  <c r="V31" i="37"/>
  <c r="W31" i="37"/>
  <c r="B5" i="37"/>
  <c r="B6" i="37" s="1"/>
  <c r="C5" i="37"/>
  <c r="C6" i="37" s="1"/>
  <c r="D5" i="37"/>
  <c r="D6" i="37" s="1"/>
  <c r="E5" i="37"/>
  <c r="E6" i="37" s="1"/>
  <c r="F5" i="37"/>
  <c r="F6" i="37" s="1"/>
  <c r="G5" i="37"/>
  <c r="G7" i="37" s="1"/>
  <c r="H5" i="37"/>
  <c r="H7" i="37" s="1"/>
  <c r="I5" i="37"/>
  <c r="I6" i="37" s="1"/>
  <c r="J5" i="37"/>
  <c r="J8" i="37" s="1"/>
  <c r="K5" i="37"/>
  <c r="K6" i="37" s="1"/>
  <c r="L5" i="37"/>
  <c r="L6" i="37" s="1"/>
  <c r="M5" i="37"/>
  <c r="M6" i="37" s="1"/>
  <c r="N5" i="37"/>
  <c r="N6" i="37" s="1"/>
  <c r="O5" i="37"/>
  <c r="O6" i="37" s="1"/>
  <c r="P5" i="37"/>
  <c r="P7" i="37" s="1"/>
  <c r="Q5" i="37"/>
  <c r="Q6" i="37" s="1"/>
  <c r="R5" i="37"/>
  <c r="R8" i="37" s="1"/>
  <c r="S5" i="37"/>
  <c r="S8" i="37" s="1"/>
  <c r="T5" i="37"/>
  <c r="T8" i="37" s="1"/>
  <c r="U5" i="37"/>
  <c r="U8" i="37" s="1"/>
  <c r="V5" i="37"/>
  <c r="V6" i="37" s="1"/>
  <c r="W5" i="37"/>
  <c r="B29" i="37"/>
  <c r="C29" i="37"/>
  <c r="D29" i="37"/>
  <c r="E29" i="37"/>
  <c r="G28" i="37"/>
  <c r="G29" i="37" s="1"/>
  <c r="H28" i="37"/>
  <c r="H29" i="37" s="1"/>
  <c r="I28" i="37"/>
  <c r="I29" i="37" s="1"/>
  <c r="J28" i="37"/>
  <c r="J29" i="37" s="1"/>
  <c r="K28" i="37"/>
  <c r="K29" i="37" s="1"/>
  <c r="L28" i="37"/>
  <c r="L29" i="37" s="1"/>
  <c r="M28" i="37"/>
  <c r="M29" i="37" s="1"/>
  <c r="N28" i="37"/>
  <c r="N29" i="37" s="1"/>
  <c r="O28" i="37"/>
  <c r="O29" i="37" s="1"/>
  <c r="P28" i="37"/>
  <c r="P29" i="37" s="1"/>
  <c r="Q28" i="37"/>
  <c r="Q29" i="37" s="1"/>
  <c r="R28" i="37"/>
  <c r="R29" i="37" s="1"/>
  <c r="S28" i="37"/>
  <c r="S29" i="37" s="1"/>
  <c r="T28" i="37"/>
  <c r="T29" i="37" s="1"/>
  <c r="U28" i="37"/>
  <c r="U29" i="37" s="1"/>
  <c r="V28" i="37"/>
  <c r="V29" i="37" s="1"/>
  <c r="W28" i="37"/>
  <c r="W29" i="37" s="1"/>
  <c r="B22" i="41"/>
  <c r="Z4" i="18"/>
  <c r="Z5" i="18"/>
  <c r="Z6" i="18"/>
  <c r="Z7" i="18"/>
  <c r="Z8" i="18"/>
  <c r="Z3" i="18"/>
  <c r="I8" i="37" l="1"/>
  <c r="F8" i="37"/>
  <c r="J7" i="37"/>
  <c r="E8" i="37"/>
  <c r="I7" i="37"/>
  <c r="U7" i="37"/>
  <c r="W6" i="37"/>
  <c r="Q8" i="37"/>
  <c r="P8" i="37"/>
  <c r="W8" i="37"/>
  <c r="U6" i="37"/>
  <c r="N8" i="37"/>
  <c r="M8" i="37"/>
  <c r="M7" i="37"/>
  <c r="N7" i="37"/>
  <c r="V7" i="37"/>
  <c r="V8" i="37"/>
  <c r="H8" i="37"/>
  <c r="Q7" i="37"/>
  <c r="O8" i="37"/>
  <c r="G8" i="37"/>
  <c r="R7" i="37"/>
  <c r="W7" i="37"/>
  <c r="T6" i="37"/>
  <c r="S7" i="37"/>
  <c r="L7" i="37"/>
  <c r="R6" i="37"/>
  <c r="J6" i="37"/>
  <c r="L8" i="37"/>
  <c r="P6" i="37"/>
  <c r="K8" i="37"/>
  <c r="O7" i="37"/>
  <c r="G6" i="37"/>
  <c r="K7" i="37"/>
  <c r="S6" i="37"/>
  <c r="T7" i="37"/>
  <c r="H6" i="37"/>
  <c r="J3" i="131" l="1"/>
  <c r="K3" i="131"/>
  <c r="J4" i="131"/>
  <c r="K4" i="131"/>
  <c r="J5" i="131"/>
  <c r="K5" i="131"/>
  <c r="M5" i="131" s="1"/>
  <c r="J6" i="131"/>
  <c r="K6" i="131"/>
  <c r="M6" i="131" s="1"/>
  <c r="J7" i="131"/>
  <c r="K7" i="131"/>
  <c r="J8" i="131"/>
  <c r="K8" i="131"/>
  <c r="M8" i="131" s="1"/>
  <c r="J9" i="131"/>
  <c r="K9" i="131"/>
  <c r="M9" i="131" s="1"/>
  <c r="J10" i="131"/>
  <c r="K10" i="131"/>
  <c r="M10" i="131"/>
  <c r="J11" i="131"/>
  <c r="K11" i="131"/>
  <c r="M11" i="131" s="1"/>
  <c r="J12" i="131"/>
  <c r="K12" i="131"/>
  <c r="M12" i="131"/>
  <c r="J13" i="131"/>
  <c r="K13" i="131"/>
  <c r="M13" i="131" s="1"/>
  <c r="J3" i="130"/>
  <c r="K3" i="130"/>
  <c r="J4" i="130"/>
  <c r="K4" i="130"/>
  <c r="M4" i="130" s="1"/>
  <c r="J5" i="130"/>
  <c r="K5" i="130"/>
  <c r="M5" i="130" s="1"/>
  <c r="J6" i="130"/>
  <c r="K6" i="130"/>
  <c r="M6" i="130"/>
  <c r="J7" i="130"/>
  <c r="K7" i="130"/>
  <c r="M7" i="130" s="1"/>
  <c r="J8" i="130"/>
  <c r="K8" i="130"/>
  <c r="M8" i="130" s="1"/>
  <c r="J9" i="130"/>
  <c r="K9" i="130"/>
  <c r="M9" i="130" s="1"/>
  <c r="J10" i="130"/>
  <c r="K10" i="130"/>
  <c r="M10" i="130" s="1"/>
  <c r="J11" i="130"/>
  <c r="K11" i="130"/>
  <c r="M11" i="130" s="1"/>
  <c r="J12" i="130"/>
  <c r="K12" i="130"/>
  <c r="M12" i="130"/>
  <c r="J13" i="130"/>
  <c r="K13" i="130"/>
  <c r="M13" i="130" s="1"/>
  <c r="M7" i="131" l="1"/>
  <c r="M3" i="131"/>
  <c r="M3" i="130"/>
  <c r="M14" i="130" s="1"/>
  <c r="M4" i="131"/>
  <c r="M14" i="131" l="1"/>
  <c r="E33" i="13"/>
  <c r="G7" i="15" l="1"/>
  <c r="C7" i="15"/>
  <c r="W25" i="5" l="1"/>
  <c r="W36" i="5" s="1"/>
  <c r="W72" i="5" l="1"/>
  <c r="B49" i="5"/>
  <c r="C49" i="5"/>
  <c r="D49" i="5"/>
  <c r="R41" i="5"/>
  <c r="Q41" i="5"/>
  <c r="P41" i="5"/>
  <c r="O41" i="5"/>
  <c r="N41" i="5"/>
  <c r="M41" i="5"/>
  <c r="L41" i="5"/>
  <c r="K41" i="5"/>
  <c r="J41" i="5"/>
  <c r="I41" i="5"/>
  <c r="H41" i="5"/>
  <c r="G41" i="5"/>
  <c r="F41" i="5"/>
  <c r="E41" i="5"/>
  <c r="Y4" i="18"/>
  <c r="Y5" i="18"/>
  <c r="Y6" i="18"/>
  <c r="Y7" i="18"/>
  <c r="Y8" i="18"/>
  <c r="Y3" i="18"/>
  <c r="X4" i="18"/>
  <c r="X5" i="18"/>
  <c r="X6" i="18"/>
  <c r="X7" i="18"/>
  <c r="X8" i="18"/>
  <c r="X3" i="18"/>
  <c r="G41" i="126" l="1"/>
  <c r="B41" i="126"/>
  <c r="G40" i="126"/>
  <c r="B40" i="126"/>
  <c r="G39" i="126"/>
  <c r="B39" i="126"/>
  <c r="G37" i="126"/>
  <c r="B37" i="126"/>
  <c r="G36" i="126"/>
  <c r="H32" i="126" s="1"/>
  <c r="B36" i="126"/>
  <c r="B35" i="126" s="1"/>
  <c r="I34" i="126"/>
  <c r="I33" i="126"/>
  <c r="H33" i="126"/>
  <c r="D33" i="126"/>
  <c r="C33" i="126"/>
  <c r="I32" i="126"/>
  <c r="D32" i="126"/>
  <c r="C32" i="126"/>
  <c r="I31" i="126"/>
  <c r="D31" i="126"/>
  <c r="C31" i="126"/>
  <c r="I30" i="126"/>
  <c r="D30" i="126"/>
  <c r="C30" i="126"/>
  <c r="I29" i="126"/>
  <c r="D29" i="126"/>
  <c r="C29" i="126"/>
  <c r="I28" i="126"/>
  <c r="D28" i="126"/>
  <c r="C28" i="126"/>
  <c r="I27" i="126"/>
  <c r="D27" i="126"/>
  <c r="C27" i="126"/>
  <c r="I26" i="126"/>
  <c r="D26" i="126"/>
  <c r="C26" i="126"/>
  <c r="I25" i="126"/>
  <c r="H25" i="126"/>
  <c r="D25" i="126"/>
  <c r="C25" i="126"/>
  <c r="I24" i="126"/>
  <c r="D24" i="126"/>
  <c r="C24" i="126"/>
  <c r="I23" i="126"/>
  <c r="H23" i="126"/>
  <c r="D23" i="126"/>
  <c r="C23" i="126"/>
  <c r="I22" i="126"/>
  <c r="D22" i="126"/>
  <c r="C22" i="126"/>
  <c r="I21" i="126"/>
  <c r="H21" i="126"/>
  <c r="D21" i="126"/>
  <c r="C21" i="126"/>
  <c r="I20" i="126"/>
  <c r="D20" i="126"/>
  <c r="C20" i="126"/>
  <c r="I19" i="126"/>
  <c r="H19" i="126"/>
  <c r="D19" i="126"/>
  <c r="C19" i="126"/>
  <c r="I18" i="126"/>
  <c r="D18" i="126"/>
  <c r="C18" i="126"/>
  <c r="I17" i="126"/>
  <c r="H17" i="126"/>
  <c r="D17" i="126"/>
  <c r="C17" i="126"/>
  <c r="I16" i="126"/>
  <c r="D16" i="126"/>
  <c r="C16" i="126"/>
  <c r="I15" i="126"/>
  <c r="H15" i="126"/>
  <c r="D15" i="126"/>
  <c r="C15" i="126"/>
  <c r="I14" i="126"/>
  <c r="D14" i="126"/>
  <c r="C14" i="126"/>
  <c r="I13" i="126"/>
  <c r="H13" i="126"/>
  <c r="D13" i="126"/>
  <c r="C13" i="126"/>
  <c r="I12" i="126"/>
  <c r="D12" i="126"/>
  <c r="C12" i="126"/>
  <c r="I11" i="126"/>
  <c r="H11" i="126"/>
  <c r="D11" i="126"/>
  <c r="C11" i="126"/>
  <c r="I10" i="126"/>
  <c r="D10" i="126"/>
  <c r="C10" i="126"/>
  <c r="I9" i="126"/>
  <c r="H9" i="126"/>
  <c r="D9" i="126"/>
  <c r="C9" i="126"/>
  <c r="I8" i="126"/>
  <c r="D8" i="126"/>
  <c r="C8" i="126"/>
  <c r="I7" i="126"/>
  <c r="H7" i="126"/>
  <c r="D7" i="126"/>
  <c r="C7" i="126"/>
  <c r="I6" i="126"/>
  <c r="D6" i="126"/>
  <c r="C6" i="126"/>
  <c r="I5" i="126"/>
  <c r="H5" i="126"/>
  <c r="D5" i="126"/>
  <c r="C5" i="126"/>
  <c r="I4" i="126"/>
  <c r="D4" i="126"/>
  <c r="C4" i="126"/>
  <c r="I3" i="126"/>
  <c r="H3" i="126"/>
  <c r="D3" i="126"/>
  <c r="D42" i="126" s="1"/>
  <c r="C3" i="126"/>
  <c r="C39" i="126" s="1"/>
  <c r="H31" i="126" l="1"/>
  <c r="H29" i="126"/>
  <c r="H27" i="126"/>
  <c r="I42" i="126"/>
  <c r="C35" i="126"/>
  <c r="D35" i="126"/>
  <c r="H39" i="126"/>
  <c r="G35" i="126"/>
  <c r="I36" i="126"/>
  <c r="I39" i="126"/>
  <c r="C41" i="126"/>
  <c r="D41" i="126"/>
  <c r="C40" i="126"/>
  <c r="H34" i="126"/>
  <c r="D40" i="126"/>
  <c r="I41" i="126"/>
  <c r="C36" i="126"/>
  <c r="H4" i="126"/>
  <c r="H6" i="126"/>
  <c r="H41" i="126" s="1"/>
  <c r="H8" i="126"/>
  <c r="H10" i="126"/>
  <c r="H12" i="126"/>
  <c r="H14" i="126"/>
  <c r="H16" i="126"/>
  <c r="H18" i="126"/>
  <c r="H20" i="126"/>
  <c r="H22" i="126"/>
  <c r="H24" i="126"/>
  <c r="H26" i="126"/>
  <c r="H28" i="126"/>
  <c r="H30" i="126"/>
  <c r="D36" i="126"/>
  <c r="D39" i="126"/>
  <c r="I40" i="126"/>
  <c r="H40" i="126" l="1"/>
  <c r="H36" i="126"/>
  <c r="I35" i="126"/>
  <c r="H35" i="126"/>
  <c r="W122" i="5" l="1"/>
  <c r="W41" i="5" s="1"/>
  <c r="V122" i="5"/>
  <c r="U122" i="5"/>
  <c r="T122" i="5"/>
  <c r="T42" i="5" s="1"/>
  <c r="T49" i="5" s="1"/>
  <c r="S122" i="5"/>
  <c r="R122" i="5"/>
  <c r="Q122" i="5"/>
  <c r="Q44" i="5" s="1"/>
  <c r="P122" i="5"/>
  <c r="O122" i="5"/>
  <c r="O42" i="5" s="1"/>
  <c r="O49" i="5" s="1"/>
  <c r="N122" i="5"/>
  <c r="N42" i="5" s="1"/>
  <c r="N49" i="5" s="1"/>
  <c r="M122" i="5"/>
  <c r="M42" i="5" s="1"/>
  <c r="M49" i="5" s="1"/>
  <c r="L122" i="5"/>
  <c r="K122" i="5"/>
  <c r="K42" i="5" s="1"/>
  <c r="K49" i="5" s="1"/>
  <c r="J122" i="5"/>
  <c r="J42" i="5" s="1"/>
  <c r="J49" i="5" s="1"/>
  <c r="I122" i="5"/>
  <c r="H122" i="5"/>
  <c r="G122" i="5"/>
  <c r="G42" i="5" s="1"/>
  <c r="G49" i="5" s="1"/>
  <c r="F122" i="5"/>
  <c r="F42" i="5" s="1"/>
  <c r="F49" i="5" s="1"/>
  <c r="E122" i="5"/>
  <c r="E42" i="5" s="1"/>
  <c r="E49" i="5" s="1"/>
  <c r="D122" i="5"/>
  <c r="C122" i="5"/>
  <c r="C44" i="5" s="1"/>
  <c r="B122" i="5"/>
  <c r="W81" i="5"/>
  <c r="V81" i="5"/>
  <c r="U81" i="5"/>
  <c r="T81" i="5"/>
  <c r="S81" i="5"/>
  <c r="R81" i="5"/>
  <c r="Q81" i="5"/>
  <c r="P81" i="5"/>
  <c r="O81" i="5"/>
  <c r="N81" i="5"/>
  <c r="M81" i="5"/>
  <c r="L81" i="5"/>
  <c r="K81" i="5"/>
  <c r="J81" i="5"/>
  <c r="I81" i="5"/>
  <c r="H81" i="5"/>
  <c r="G81" i="5"/>
  <c r="F81" i="5"/>
  <c r="E81" i="5"/>
  <c r="D81" i="5"/>
  <c r="C81" i="5"/>
  <c r="B81" i="5"/>
  <c r="W80" i="5"/>
  <c r="V80" i="5"/>
  <c r="U80" i="5"/>
  <c r="T80" i="5"/>
  <c r="S80" i="5"/>
  <c r="R80" i="5"/>
  <c r="Q80" i="5"/>
  <c r="P80" i="5"/>
  <c r="O80" i="5"/>
  <c r="N80" i="5"/>
  <c r="M80" i="5"/>
  <c r="L80" i="5"/>
  <c r="K80" i="5"/>
  <c r="J80" i="5"/>
  <c r="I80" i="5"/>
  <c r="H80" i="5"/>
  <c r="G80" i="5"/>
  <c r="F80" i="5"/>
  <c r="E80" i="5"/>
  <c r="D80" i="5"/>
  <c r="C80" i="5"/>
  <c r="B80" i="5"/>
  <c r="W74" i="5"/>
  <c r="V74" i="5"/>
  <c r="T74" i="5"/>
  <c r="R74" i="5"/>
  <c r="P74" i="5"/>
  <c r="O74" i="5"/>
  <c r="N74" i="5"/>
  <c r="M74" i="5"/>
  <c r="L74" i="5"/>
  <c r="K74" i="5"/>
  <c r="J74" i="5"/>
  <c r="I74" i="5"/>
  <c r="W73" i="5"/>
  <c r="W85" i="5" s="1"/>
  <c r="V73" i="5"/>
  <c r="V85" i="5" s="1"/>
  <c r="T73" i="5"/>
  <c r="T85" i="5" s="1"/>
  <c r="R73" i="5"/>
  <c r="R85" i="5" s="1"/>
  <c r="P73" i="5"/>
  <c r="P85" i="5" s="1"/>
  <c r="O73" i="5"/>
  <c r="O85" i="5" s="1"/>
  <c r="N73" i="5"/>
  <c r="N85" i="5" s="1"/>
  <c r="M73" i="5"/>
  <c r="M85" i="5" s="1"/>
  <c r="L73" i="5"/>
  <c r="L85" i="5" s="1"/>
  <c r="K73" i="5"/>
  <c r="K85" i="5" s="1"/>
  <c r="J73" i="5"/>
  <c r="J85" i="5" s="1"/>
  <c r="I73" i="5"/>
  <c r="I85" i="5" s="1"/>
  <c r="H73" i="5"/>
  <c r="H85" i="5" s="1"/>
  <c r="G73" i="5"/>
  <c r="G85" i="5" s="1"/>
  <c r="F73" i="5"/>
  <c r="F85" i="5" s="1"/>
  <c r="E73" i="5"/>
  <c r="E85" i="5" s="1"/>
  <c r="D73" i="5"/>
  <c r="C73" i="5"/>
  <c r="B73" i="5"/>
  <c r="W84" i="5"/>
  <c r="V72" i="5"/>
  <c r="T72" i="5"/>
  <c r="T84" i="5" s="1"/>
  <c r="S72" i="5"/>
  <c r="S84" i="5" s="1"/>
  <c r="R72" i="5"/>
  <c r="Q72" i="5"/>
  <c r="P72" i="5"/>
  <c r="O72" i="5"/>
  <c r="O84" i="5" s="1"/>
  <c r="N72" i="5"/>
  <c r="N84" i="5" s="1"/>
  <c r="M72" i="5"/>
  <c r="L72" i="5"/>
  <c r="L84" i="5" s="1"/>
  <c r="K72" i="5"/>
  <c r="K84" i="5" s="1"/>
  <c r="J72" i="5"/>
  <c r="I72" i="5"/>
  <c r="H72" i="5"/>
  <c r="G72" i="5"/>
  <c r="G84" i="5" s="1"/>
  <c r="F72" i="5"/>
  <c r="E72" i="5"/>
  <c r="E84" i="5" s="1"/>
  <c r="D72" i="5"/>
  <c r="C72" i="5"/>
  <c r="B72" i="5"/>
  <c r="W68" i="5"/>
  <c r="V68" i="5"/>
  <c r="V100" i="5" s="1"/>
  <c r="V105" i="5" s="1"/>
  <c r="U68" i="5"/>
  <c r="U100" i="5" s="1"/>
  <c r="U105" i="5" s="1"/>
  <c r="T68" i="5"/>
  <c r="T100" i="5" s="1"/>
  <c r="T105" i="5" s="1"/>
  <c r="S68" i="5"/>
  <c r="S100" i="5" s="1"/>
  <c r="S105" i="5" s="1"/>
  <c r="R68" i="5"/>
  <c r="R100" i="5" s="1"/>
  <c r="R105" i="5" s="1"/>
  <c r="Q68" i="5"/>
  <c r="Q100" i="5" s="1"/>
  <c r="Q105" i="5" s="1"/>
  <c r="P68" i="5"/>
  <c r="P100" i="5" s="1"/>
  <c r="P105" i="5" s="1"/>
  <c r="O68" i="5"/>
  <c r="O100" i="5" s="1"/>
  <c r="O105" i="5" s="1"/>
  <c r="N68" i="5"/>
  <c r="N100" i="5" s="1"/>
  <c r="N105" i="5" s="1"/>
  <c r="M68" i="5"/>
  <c r="M100" i="5" s="1"/>
  <c r="M105" i="5" s="1"/>
  <c r="L68" i="5"/>
  <c r="L100" i="5" s="1"/>
  <c r="L105" i="5" s="1"/>
  <c r="K68" i="5"/>
  <c r="K100" i="5" s="1"/>
  <c r="K105" i="5" s="1"/>
  <c r="J68" i="5"/>
  <c r="J100" i="5" s="1"/>
  <c r="J105" i="5" s="1"/>
  <c r="I68" i="5"/>
  <c r="I100" i="5" s="1"/>
  <c r="I105" i="5" s="1"/>
  <c r="H68" i="5"/>
  <c r="H100" i="5" s="1"/>
  <c r="H105" i="5" s="1"/>
  <c r="G68" i="5"/>
  <c r="G100" i="5" s="1"/>
  <c r="G105" i="5" s="1"/>
  <c r="F68" i="5"/>
  <c r="F100" i="5" s="1"/>
  <c r="F105" i="5" s="1"/>
  <c r="E68" i="5"/>
  <c r="D68" i="5"/>
  <c r="D100" i="5" s="1"/>
  <c r="D105" i="5" s="1"/>
  <c r="C68" i="5"/>
  <c r="C100" i="5" s="1"/>
  <c r="C105" i="5" s="1"/>
  <c r="B68" i="5"/>
  <c r="B100" i="5" s="1"/>
  <c r="B105" i="5" s="1"/>
  <c r="V67" i="5"/>
  <c r="V99" i="5" s="1"/>
  <c r="V104" i="5" s="1"/>
  <c r="U67" i="5"/>
  <c r="U99" i="5" s="1"/>
  <c r="U104" i="5" s="1"/>
  <c r="T67" i="5"/>
  <c r="T99" i="5" s="1"/>
  <c r="T104" i="5" s="1"/>
  <c r="S67" i="5"/>
  <c r="S99" i="5" s="1"/>
  <c r="S104" i="5" s="1"/>
  <c r="R67" i="5"/>
  <c r="R99" i="5" s="1"/>
  <c r="R104" i="5" s="1"/>
  <c r="Q67" i="5"/>
  <c r="Q99" i="5" s="1"/>
  <c r="Q104" i="5" s="1"/>
  <c r="P67" i="5"/>
  <c r="P99" i="5" s="1"/>
  <c r="P104" i="5" s="1"/>
  <c r="O67" i="5"/>
  <c r="O99" i="5" s="1"/>
  <c r="O104" i="5" s="1"/>
  <c r="N67" i="5"/>
  <c r="N99" i="5" s="1"/>
  <c r="N104" i="5" s="1"/>
  <c r="M67" i="5"/>
  <c r="M99" i="5" s="1"/>
  <c r="M104" i="5" s="1"/>
  <c r="L67" i="5"/>
  <c r="L99" i="5" s="1"/>
  <c r="L104" i="5" s="1"/>
  <c r="K67" i="5"/>
  <c r="K99" i="5" s="1"/>
  <c r="K104" i="5" s="1"/>
  <c r="J67" i="5"/>
  <c r="J99" i="5" s="1"/>
  <c r="J104" i="5" s="1"/>
  <c r="I67" i="5"/>
  <c r="I99" i="5" s="1"/>
  <c r="I104" i="5" s="1"/>
  <c r="H67" i="5"/>
  <c r="H99" i="5" s="1"/>
  <c r="H104" i="5" s="1"/>
  <c r="G67" i="5"/>
  <c r="G99" i="5" s="1"/>
  <c r="G104" i="5" s="1"/>
  <c r="E67" i="5"/>
  <c r="E99" i="5" s="1"/>
  <c r="E104" i="5" s="1"/>
  <c r="D67" i="5"/>
  <c r="D99" i="5" s="1"/>
  <c r="D104" i="5" s="1"/>
  <c r="C67" i="5"/>
  <c r="C99" i="5" s="1"/>
  <c r="C104" i="5" s="1"/>
  <c r="B67" i="5"/>
  <c r="B99" i="5" s="1"/>
  <c r="B104" i="5" s="1"/>
  <c r="V66" i="5"/>
  <c r="V98" i="5" s="1"/>
  <c r="V103" i="5" s="1"/>
  <c r="T66" i="5"/>
  <c r="T98" i="5" s="1"/>
  <c r="T103" i="5" s="1"/>
  <c r="R66" i="5"/>
  <c r="R98" i="5" s="1"/>
  <c r="R103" i="5" s="1"/>
  <c r="P66" i="5"/>
  <c r="O66" i="5"/>
  <c r="O98" i="5" s="1"/>
  <c r="O103" i="5" s="1"/>
  <c r="N66" i="5"/>
  <c r="N98" i="5" s="1"/>
  <c r="N103" i="5" s="1"/>
  <c r="M66" i="5"/>
  <c r="M98" i="5" s="1"/>
  <c r="M103" i="5" s="1"/>
  <c r="L66" i="5"/>
  <c r="L98" i="5" s="1"/>
  <c r="L103" i="5" s="1"/>
  <c r="K66" i="5"/>
  <c r="K98" i="5" s="1"/>
  <c r="K103" i="5" s="1"/>
  <c r="J66" i="5"/>
  <c r="J98" i="5" s="1"/>
  <c r="J103" i="5" s="1"/>
  <c r="I66" i="5"/>
  <c r="I98" i="5" s="1"/>
  <c r="I103" i="5" s="1"/>
  <c r="H66" i="5"/>
  <c r="G66" i="5"/>
  <c r="G98" i="5" s="1"/>
  <c r="G103" i="5" s="1"/>
  <c r="F66" i="5"/>
  <c r="F98" i="5" s="1"/>
  <c r="F103" i="5" s="1"/>
  <c r="E66" i="5"/>
  <c r="E98" i="5" s="1"/>
  <c r="E103" i="5" s="1"/>
  <c r="D66" i="5"/>
  <c r="D98" i="5" s="1"/>
  <c r="D103" i="5" s="1"/>
  <c r="C66" i="5"/>
  <c r="C98" i="5" s="1"/>
  <c r="C103" i="5" s="1"/>
  <c r="B66" i="5"/>
  <c r="B98" i="5" s="1"/>
  <c r="B103" i="5" s="1"/>
  <c r="V61" i="5"/>
  <c r="U61" i="5"/>
  <c r="T61" i="5"/>
  <c r="S61" i="5"/>
  <c r="R61" i="5"/>
  <c r="Q61" i="5"/>
  <c r="P61" i="5"/>
  <c r="O61" i="5"/>
  <c r="N61" i="5"/>
  <c r="M61" i="5"/>
  <c r="L61" i="5"/>
  <c r="K61" i="5"/>
  <c r="J61" i="5"/>
  <c r="I61" i="5"/>
  <c r="H61" i="5"/>
  <c r="G61" i="5"/>
  <c r="F61" i="5"/>
  <c r="E61" i="5"/>
  <c r="D61" i="5"/>
  <c r="C61" i="5"/>
  <c r="B61" i="5"/>
  <c r="V60" i="5"/>
  <c r="U60" i="5"/>
  <c r="T60" i="5"/>
  <c r="S60" i="5"/>
  <c r="R60" i="5"/>
  <c r="Q60" i="5"/>
  <c r="P60" i="5"/>
  <c r="O60" i="5"/>
  <c r="N60" i="5"/>
  <c r="M60" i="5"/>
  <c r="L60" i="5"/>
  <c r="K60" i="5"/>
  <c r="J60" i="5"/>
  <c r="I60" i="5"/>
  <c r="H60" i="5"/>
  <c r="G60" i="5"/>
  <c r="F60" i="5"/>
  <c r="E60" i="5"/>
  <c r="D60" i="5"/>
  <c r="C60" i="5"/>
  <c r="B60" i="5"/>
  <c r="V58" i="5"/>
  <c r="V78" i="5" s="1"/>
  <c r="U58" i="5"/>
  <c r="U78" i="5" s="1"/>
  <c r="T58" i="5"/>
  <c r="T78" i="5" s="1"/>
  <c r="S58" i="5"/>
  <c r="S78" i="5" s="1"/>
  <c r="R58" i="5"/>
  <c r="R78" i="5" s="1"/>
  <c r="Q58" i="5"/>
  <c r="Q78" i="5" s="1"/>
  <c r="P58" i="5"/>
  <c r="P78" i="5" s="1"/>
  <c r="O58" i="5"/>
  <c r="O78" i="5" s="1"/>
  <c r="N58" i="5"/>
  <c r="N78" i="5" s="1"/>
  <c r="M58" i="5"/>
  <c r="M78" i="5" s="1"/>
  <c r="L58" i="5"/>
  <c r="L78" i="5" s="1"/>
  <c r="K58" i="5"/>
  <c r="K78" i="5" s="1"/>
  <c r="J58" i="5"/>
  <c r="J78" i="5" s="1"/>
  <c r="I58" i="5"/>
  <c r="I78" i="5" s="1"/>
  <c r="H58" i="5"/>
  <c r="H78" i="5" s="1"/>
  <c r="G58" i="5"/>
  <c r="G78" i="5" s="1"/>
  <c r="F58" i="5"/>
  <c r="F78" i="5" s="1"/>
  <c r="E58" i="5"/>
  <c r="E78" i="5" s="1"/>
  <c r="D58" i="5"/>
  <c r="D78" i="5" s="1"/>
  <c r="C58" i="5"/>
  <c r="C78" i="5" s="1"/>
  <c r="B58" i="5"/>
  <c r="B78" i="5" s="1"/>
  <c r="R57" i="5"/>
  <c r="P57" i="5"/>
  <c r="O57" i="5"/>
  <c r="N57" i="5"/>
  <c r="M57" i="5"/>
  <c r="L57" i="5"/>
  <c r="K57" i="5"/>
  <c r="J57" i="5"/>
  <c r="I57" i="5"/>
  <c r="H57" i="5"/>
  <c r="G57" i="5"/>
  <c r="F57" i="5"/>
  <c r="E57" i="5"/>
  <c r="D57" i="5"/>
  <c r="C57" i="5"/>
  <c r="B57" i="5"/>
  <c r="V56" i="5"/>
  <c r="T56" i="5"/>
  <c r="R56" i="5"/>
  <c r="P56" i="5"/>
  <c r="O56" i="5"/>
  <c r="N56" i="5"/>
  <c r="M56" i="5"/>
  <c r="L56" i="5"/>
  <c r="K56" i="5"/>
  <c r="J56" i="5"/>
  <c r="I56" i="5"/>
  <c r="V55" i="5"/>
  <c r="T55" i="5"/>
  <c r="R55" i="5"/>
  <c r="P55" i="5"/>
  <c r="O55" i="5"/>
  <c r="N55" i="5"/>
  <c r="M55" i="5"/>
  <c r="L55" i="5"/>
  <c r="K55" i="5"/>
  <c r="J55" i="5"/>
  <c r="I55" i="5"/>
  <c r="H55" i="5"/>
  <c r="G55" i="5"/>
  <c r="F55" i="5"/>
  <c r="E55" i="5"/>
  <c r="V54" i="5"/>
  <c r="T54" i="5"/>
  <c r="S54" i="5"/>
  <c r="R54" i="5"/>
  <c r="Q54" i="5"/>
  <c r="P54" i="5"/>
  <c r="O54" i="5"/>
  <c r="N54" i="5"/>
  <c r="M54" i="5"/>
  <c r="L54" i="5"/>
  <c r="K54" i="5"/>
  <c r="J54" i="5"/>
  <c r="I54" i="5"/>
  <c r="H54" i="5"/>
  <c r="G54" i="5"/>
  <c r="F54" i="5"/>
  <c r="E54" i="5"/>
  <c r="W44" i="5"/>
  <c r="V44" i="5"/>
  <c r="U44" i="5"/>
  <c r="O44" i="5"/>
  <c r="N44" i="5"/>
  <c r="M44" i="5"/>
  <c r="G44" i="5"/>
  <c r="F44" i="5"/>
  <c r="E44" i="5"/>
  <c r="V43" i="5"/>
  <c r="U43" i="5"/>
  <c r="O43" i="5"/>
  <c r="N43" i="5"/>
  <c r="M43" i="5"/>
  <c r="G43" i="5"/>
  <c r="E43" i="5"/>
  <c r="V40" i="5"/>
  <c r="V47" i="5" s="1"/>
  <c r="O40" i="5"/>
  <c r="O47" i="5" s="1"/>
  <c r="N40" i="5"/>
  <c r="N47" i="5" s="1"/>
  <c r="M40" i="5"/>
  <c r="G40" i="5"/>
  <c r="G47" i="5" s="1"/>
  <c r="F40" i="5"/>
  <c r="F47" i="5" s="1"/>
  <c r="E40" i="5"/>
  <c r="E47" i="5" s="1"/>
  <c r="D40" i="5"/>
  <c r="W37" i="5"/>
  <c r="V37" i="5"/>
  <c r="T37" i="5"/>
  <c r="R37" i="5"/>
  <c r="R48" i="5" s="1"/>
  <c r="P37" i="5"/>
  <c r="P48" i="5" s="1"/>
  <c r="O37" i="5"/>
  <c r="O48" i="5" s="1"/>
  <c r="N37" i="5"/>
  <c r="N48" i="5" s="1"/>
  <c r="M37" i="5"/>
  <c r="M48" i="5" s="1"/>
  <c r="L37" i="5"/>
  <c r="L48" i="5" s="1"/>
  <c r="K37" i="5"/>
  <c r="K48" i="5" s="1"/>
  <c r="J37" i="5"/>
  <c r="J48" i="5" s="1"/>
  <c r="I37" i="5"/>
  <c r="I48" i="5" s="1"/>
  <c r="H37" i="5"/>
  <c r="H48" i="5" s="1"/>
  <c r="G37" i="5"/>
  <c r="G48" i="5" s="1"/>
  <c r="F37" i="5"/>
  <c r="F48" i="5" s="1"/>
  <c r="E37" i="5"/>
  <c r="E48" i="5" s="1"/>
  <c r="V36" i="5"/>
  <c r="V94" i="5" s="1"/>
  <c r="T36" i="5"/>
  <c r="S36" i="5"/>
  <c r="R36" i="5"/>
  <c r="Q36" i="5"/>
  <c r="P36" i="5"/>
  <c r="O36" i="5"/>
  <c r="N36" i="5"/>
  <c r="M36" i="5"/>
  <c r="L36" i="5"/>
  <c r="K36" i="5"/>
  <c r="J36" i="5"/>
  <c r="I36" i="5"/>
  <c r="H36" i="5"/>
  <c r="G36" i="5"/>
  <c r="F36" i="5"/>
  <c r="E36" i="5"/>
  <c r="W31" i="5"/>
  <c r="V31" i="5"/>
  <c r="V59" i="5" s="1"/>
  <c r="U31" i="5"/>
  <c r="U79" i="5" s="1"/>
  <c r="T31" i="5"/>
  <c r="T79" i="5" s="1"/>
  <c r="S31" i="5"/>
  <c r="S59" i="5" s="1"/>
  <c r="R31" i="5"/>
  <c r="R59" i="5" s="1"/>
  <c r="Q31" i="5"/>
  <c r="Q59" i="5" s="1"/>
  <c r="P31" i="5"/>
  <c r="P59" i="5" s="1"/>
  <c r="O31" i="5"/>
  <c r="N31" i="5"/>
  <c r="M31" i="5"/>
  <c r="M79" i="5" s="1"/>
  <c r="L31" i="5"/>
  <c r="L79" i="5" s="1"/>
  <c r="K31" i="5"/>
  <c r="K59" i="5" s="1"/>
  <c r="J31" i="5"/>
  <c r="J59" i="5" s="1"/>
  <c r="I31" i="5"/>
  <c r="I59" i="5" s="1"/>
  <c r="H31" i="5"/>
  <c r="H59" i="5" s="1"/>
  <c r="G31" i="5"/>
  <c r="G59" i="5" s="1"/>
  <c r="F31" i="5"/>
  <c r="F59" i="5" s="1"/>
  <c r="E31" i="5"/>
  <c r="E79" i="5" s="1"/>
  <c r="D31" i="5"/>
  <c r="D79" i="5" s="1"/>
  <c r="C31" i="5"/>
  <c r="C59" i="5" s="1"/>
  <c r="B31" i="5"/>
  <c r="B59" i="5" s="1"/>
  <c r="W28" i="5"/>
  <c r="V28" i="5"/>
  <c r="T28" i="5"/>
  <c r="Q28" i="5"/>
  <c r="U27" i="5"/>
  <c r="S27" i="5"/>
  <c r="H27" i="5"/>
  <c r="G27" i="5"/>
  <c r="F27" i="5"/>
  <c r="E27" i="5"/>
  <c r="D27" i="5"/>
  <c r="C27" i="5"/>
  <c r="B27" i="5"/>
  <c r="U26" i="5"/>
  <c r="S26" i="5"/>
  <c r="Q26" i="5"/>
  <c r="Q42" i="5" s="1"/>
  <c r="Q49" i="5" s="1"/>
  <c r="U25" i="5"/>
  <c r="V22" i="5"/>
  <c r="T22" i="5"/>
  <c r="R22" i="5"/>
  <c r="P22" i="5"/>
  <c r="O22" i="5"/>
  <c r="N22" i="5"/>
  <c r="M22" i="5"/>
  <c r="L22" i="5"/>
  <c r="K22" i="5"/>
  <c r="J22" i="5"/>
  <c r="I22" i="5"/>
  <c r="H22" i="5"/>
  <c r="G22" i="5"/>
  <c r="E22" i="5"/>
  <c r="D22" i="5"/>
  <c r="C22" i="5"/>
  <c r="B22" i="5"/>
  <c r="W20" i="5"/>
  <c r="F20" i="5"/>
  <c r="F9" i="5" s="1"/>
  <c r="U19" i="5"/>
  <c r="U22" i="5" s="1"/>
  <c r="S19" i="5"/>
  <c r="S66" i="5" s="1"/>
  <c r="S98" i="5" s="1"/>
  <c r="S103" i="5" s="1"/>
  <c r="Q19" i="5"/>
  <c r="V16" i="5"/>
  <c r="U16" i="5"/>
  <c r="T16" i="5"/>
  <c r="S16" i="5"/>
  <c r="R16" i="5"/>
  <c r="Q16" i="5"/>
  <c r="P16" i="5"/>
  <c r="O16" i="5"/>
  <c r="N16" i="5"/>
  <c r="M16" i="5"/>
  <c r="L16" i="5"/>
  <c r="K16" i="5"/>
  <c r="J16" i="5"/>
  <c r="I16" i="5"/>
  <c r="H16" i="5"/>
  <c r="G16" i="5"/>
  <c r="F16" i="5"/>
  <c r="E16" i="5"/>
  <c r="D16" i="5"/>
  <c r="C16" i="5"/>
  <c r="B16" i="5"/>
  <c r="V15" i="5"/>
  <c r="U15" i="5"/>
  <c r="T15" i="5"/>
  <c r="S15" i="5"/>
  <c r="R15" i="5"/>
  <c r="Q15" i="5"/>
  <c r="P15" i="5"/>
  <c r="O15" i="5"/>
  <c r="N15" i="5"/>
  <c r="M15" i="5"/>
  <c r="L15" i="5"/>
  <c r="K15" i="5"/>
  <c r="J15" i="5"/>
  <c r="I15" i="5"/>
  <c r="H15" i="5"/>
  <c r="G15" i="5"/>
  <c r="E15" i="5"/>
  <c r="D15" i="5"/>
  <c r="C15" i="5"/>
  <c r="B15" i="5"/>
  <c r="V14" i="5"/>
  <c r="T14" i="5"/>
  <c r="R14" i="5"/>
  <c r="P14" i="5"/>
  <c r="O14" i="5"/>
  <c r="N14" i="5"/>
  <c r="M14" i="5"/>
  <c r="L14" i="5"/>
  <c r="K14" i="5"/>
  <c r="J14" i="5"/>
  <c r="I14" i="5"/>
  <c r="H14" i="5"/>
  <c r="G14" i="5"/>
  <c r="F14" i="5"/>
  <c r="E14" i="5"/>
  <c r="D14" i="5"/>
  <c r="C14" i="5"/>
  <c r="B14" i="5"/>
  <c r="W10" i="5"/>
  <c r="V10" i="5"/>
  <c r="U10" i="5"/>
  <c r="T10" i="5"/>
  <c r="S10" i="5"/>
  <c r="R10" i="5"/>
  <c r="Q10" i="5"/>
  <c r="P10" i="5"/>
  <c r="O10" i="5"/>
  <c r="N10" i="5"/>
  <c r="M10" i="5"/>
  <c r="L10" i="5"/>
  <c r="K10" i="5"/>
  <c r="J10" i="5"/>
  <c r="I10" i="5"/>
  <c r="H10" i="5"/>
  <c r="G10" i="5"/>
  <c r="F10" i="5"/>
  <c r="E10" i="5"/>
  <c r="D10" i="5"/>
  <c r="C10" i="5"/>
  <c r="B10" i="5"/>
  <c r="V9" i="5"/>
  <c r="U9" i="5"/>
  <c r="T9" i="5"/>
  <c r="S9" i="5"/>
  <c r="R9" i="5"/>
  <c r="Q9" i="5"/>
  <c r="P9" i="5"/>
  <c r="O9" i="5"/>
  <c r="N9" i="5"/>
  <c r="M9" i="5"/>
  <c r="L9" i="5"/>
  <c r="K9" i="5"/>
  <c r="J9" i="5"/>
  <c r="I9" i="5"/>
  <c r="H9" i="5"/>
  <c r="G9" i="5"/>
  <c r="E9" i="5"/>
  <c r="D9" i="5"/>
  <c r="C9" i="5"/>
  <c r="B9" i="5"/>
  <c r="V8" i="5"/>
  <c r="T8" i="5"/>
  <c r="R8" i="5"/>
  <c r="P8" i="5"/>
  <c r="O8" i="5"/>
  <c r="N8" i="5"/>
  <c r="M8" i="5"/>
  <c r="L8" i="5"/>
  <c r="K8" i="5"/>
  <c r="J8" i="5"/>
  <c r="I8" i="5"/>
  <c r="H8" i="5"/>
  <c r="G8" i="5"/>
  <c r="F8" i="5"/>
  <c r="E8" i="5"/>
  <c r="D8" i="5"/>
  <c r="C8" i="5"/>
  <c r="B8" i="5"/>
  <c r="W5" i="5"/>
  <c r="Q4" i="5"/>
  <c r="S4" i="5" s="1"/>
  <c r="I28" i="10"/>
  <c r="Q40" i="125"/>
  <c r="Q38" i="125"/>
  <c r="Q37" i="125"/>
  <c r="Q36" i="125"/>
  <c r="Q35" i="125"/>
  <c r="Q34" i="125"/>
  <c r="Q33" i="125"/>
  <c r="Q32" i="125"/>
  <c r="Q31" i="125"/>
  <c r="Q30" i="125"/>
  <c r="Q29" i="125"/>
  <c r="Q28" i="125"/>
  <c r="Q27" i="125"/>
  <c r="Q26" i="125"/>
  <c r="Q25" i="125"/>
  <c r="Q24" i="125"/>
  <c r="Q23" i="125"/>
  <c r="Q22" i="125"/>
  <c r="Q21" i="125"/>
  <c r="Q20" i="125"/>
  <c r="Q19" i="125"/>
  <c r="Q18" i="125"/>
  <c r="Q17" i="125"/>
  <c r="Q16" i="125"/>
  <c r="Q15" i="125"/>
  <c r="Q14" i="125"/>
  <c r="Q13" i="125"/>
  <c r="Q12" i="125"/>
  <c r="Q11" i="125"/>
  <c r="Q10" i="125"/>
  <c r="Q9" i="125"/>
  <c r="Q8" i="125"/>
  <c r="Q7" i="125"/>
  <c r="Q6" i="125"/>
  <c r="Q5" i="125"/>
  <c r="Q4" i="125"/>
  <c r="Q3" i="125"/>
  <c r="R40" i="5" l="1"/>
  <c r="R42" i="5"/>
  <c r="H40" i="5"/>
  <c r="H47" i="5" s="1"/>
  <c r="H42" i="5"/>
  <c r="H49" i="5" s="1"/>
  <c r="P44" i="5"/>
  <c r="P89" i="5" s="1"/>
  <c r="P42" i="5"/>
  <c r="P49" i="5" s="1"/>
  <c r="W100" i="5"/>
  <c r="W105" i="5" s="1"/>
  <c r="I40" i="5"/>
  <c r="I47" i="5" s="1"/>
  <c r="I42" i="5"/>
  <c r="I49" i="5" s="1"/>
  <c r="L40" i="5"/>
  <c r="L87" i="5" s="1"/>
  <c r="L42" i="5"/>
  <c r="L49" i="5" s="1"/>
  <c r="W45" i="5"/>
  <c r="W56" i="5"/>
  <c r="W54" i="5"/>
  <c r="V89" i="5"/>
  <c r="V51" i="5"/>
  <c r="D87" i="5"/>
  <c r="D47" i="5"/>
  <c r="M87" i="5"/>
  <c r="M47" i="5"/>
  <c r="O88" i="5"/>
  <c r="O50" i="5"/>
  <c r="O89" i="5"/>
  <c r="O51" i="5"/>
  <c r="H87" i="5"/>
  <c r="Q89" i="5"/>
  <c r="Q51" i="5"/>
  <c r="R87" i="5"/>
  <c r="R47" i="5"/>
  <c r="U89" i="5"/>
  <c r="U51" i="5"/>
  <c r="V88" i="5"/>
  <c r="V50" i="5"/>
  <c r="E88" i="5"/>
  <c r="E50" i="5"/>
  <c r="G88" i="5"/>
  <c r="G50" i="5"/>
  <c r="G89" i="5"/>
  <c r="G51" i="5"/>
  <c r="W89" i="5"/>
  <c r="W51" i="5"/>
  <c r="C89" i="5"/>
  <c r="C51" i="5"/>
  <c r="M88" i="5"/>
  <c r="M50" i="5"/>
  <c r="M89" i="5"/>
  <c r="M51" i="5"/>
  <c r="U88" i="5"/>
  <c r="U50" i="5"/>
  <c r="E89" i="5"/>
  <c r="E51" i="5"/>
  <c r="E52" i="5" s="1"/>
  <c r="U41" i="5"/>
  <c r="F89" i="5"/>
  <c r="F51" i="5"/>
  <c r="N88" i="5"/>
  <c r="N50" i="5"/>
  <c r="N89" i="5"/>
  <c r="N51" i="5"/>
  <c r="E56" i="5"/>
  <c r="C56" i="5"/>
  <c r="C63" i="5" s="1"/>
  <c r="Q57" i="5"/>
  <c r="D56" i="5"/>
  <c r="F74" i="5"/>
  <c r="F75" i="5" s="1"/>
  <c r="G74" i="5"/>
  <c r="G75" i="5" s="1"/>
  <c r="H74" i="5"/>
  <c r="H75" i="5" s="1"/>
  <c r="S56" i="5"/>
  <c r="B56" i="5"/>
  <c r="U56" i="5"/>
  <c r="S55" i="5"/>
  <c r="S42" i="5"/>
  <c r="S49" i="5" s="1"/>
  <c r="U73" i="5"/>
  <c r="U85" i="5" s="1"/>
  <c r="U42" i="5"/>
  <c r="U49" i="5" s="1"/>
  <c r="V41" i="5"/>
  <c r="V42" i="5"/>
  <c r="V49" i="5" s="1"/>
  <c r="W42" i="5"/>
  <c r="W49" i="5" s="1"/>
  <c r="S43" i="5"/>
  <c r="S41" i="5"/>
  <c r="T43" i="5"/>
  <c r="T41" i="5"/>
  <c r="H43" i="5"/>
  <c r="N11" i="5"/>
  <c r="H44" i="5"/>
  <c r="S106" i="5"/>
  <c r="P40" i="5"/>
  <c r="P43" i="5"/>
  <c r="R11" i="5"/>
  <c r="R75" i="5"/>
  <c r="I106" i="5"/>
  <c r="D17" i="5"/>
  <c r="E17" i="5"/>
  <c r="F62" i="5"/>
  <c r="V62" i="5"/>
  <c r="W15" i="5"/>
  <c r="W59" i="5"/>
  <c r="J62" i="5"/>
  <c r="G11" i="5"/>
  <c r="O11" i="5"/>
  <c r="T17" i="5"/>
  <c r="K62" i="5"/>
  <c r="G106" i="5"/>
  <c r="U55" i="5"/>
  <c r="B74" i="5"/>
  <c r="B75" i="5" s="1"/>
  <c r="Q40" i="5"/>
  <c r="C106" i="5"/>
  <c r="K79" i="5"/>
  <c r="K82" i="5" s="1"/>
  <c r="D106" i="5"/>
  <c r="U74" i="5"/>
  <c r="U59" i="5"/>
  <c r="U62" i="5" s="1"/>
  <c r="I11" i="5"/>
  <c r="W9" i="5"/>
  <c r="V17" i="5"/>
  <c r="B34" i="5"/>
  <c r="C74" i="5"/>
  <c r="C75" i="5" s="1"/>
  <c r="B11" i="5"/>
  <c r="J11" i="5"/>
  <c r="U28" i="5"/>
  <c r="C34" i="5"/>
  <c r="Q43" i="5"/>
  <c r="D59" i="5"/>
  <c r="D62" i="5" s="1"/>
  <c r="R106" i="5"/>
  <c r="D74" i="5"/>
  <c r="D75" i="5" s="1"/>
  <c r="C79" i="5"/>
  <c r="C82" i="5" s="1"/>
  <c r="J75" i="5"/>
  <c r="V11" i="5"/>
  <c r="U37" i="5"/>
  <c r="F43" i="5"/>
  <c r="E59" i="5"/>
  <c r="E62" i="5" s="1"/>
  <c r="B106" i="5"/>
  <c r="J106" i="5"/>
  <c r="M75" i="5"/>
  <c r="J79" i="5"/>
  <c r="J82" i="5" s="1"/>
  <c r="T106" i="5"/>
  <c r="V63" i="5"/>
  <c r="P11" i="5"/>
  <c r="J34" i="5"/>
  <c r="Q8" i="5"/>
  <c r="Q11" i="5" s="1"/>
  <c r="C62" i="5"/>
  <c r="E11" i="5"/>
  <c r="M11" i="5"/>
  <c r="U8" i="5"/>
  <c r="U11" i="5" s="1"/>
  <c r="N17" i="5"/>
  <c r="S34" i="5"/>
  <c r="W60" i="5"/>
  <c r="M69" i="5"/>
  <c r="M101" i="5" s="1"/>
  <c r="B79" i="5"/>
  <c r="B82" i="5" s="1"/>
  <c r="M84" i="5"/>
  <c r="Q66" i="5"/>
  <c r="Q98" i="5" s="1"/>
  <c r="Q103" i="5" s="1"/>
  <c r="Q106" i="5" s="1"/>
  <c r="F11" i="5"/>
  <c r="W57" i="5"/>
  <c r="M45" i="5"/>
  <c r="Q22" i="5"/>
  <c r="V75" i="5"/>
  <c r="E74" i="5"/>
  <c r="E75" i="5" s="1"/>
  <c r="P79" i="5"/>
  <c r="P82" i="5" s="1"/>
  <c r="C17" i="5"/>
  <c r="K17" i="5"/>
  <c r="S14" i="5"/>
  <c r="S17" i="5" s="1"/>
  <c r="P34" i="5"/>
  <c r="E45" i="5"/>
  <c r="F56" i="5"/>
  <c r="F63" i="5" s="1"/>
  <c r="L59" i="5"/>
  <c r="L62" i="5" s="1"/>
  <c r="E69" i="5"/>
  <c r="E101" i="5" s="1"/>
  <c r="N75" i="5"/>
  <c r="Q79" i="5"/>
  <c r="Q82" i="5" s="1"/>
  <c r="F84" i="5"/>
  <c r="E100" i="5"/>
  <c r="E105" i="5" s="1"/>
  <c r="E106" i="5" s="1"/>
  <c r="K34" i="5"/>
  <c r="C11" i="5"/>
  <c r="K11" i="5"/>
  <c r="S8" i="5"/>
  <c r="S11" i="5" s="1"/>
  <c r="L17" i="5"/>
  <c r="S22" i="5"/>
  <c r="Q34" i="5"/>
  <c r="T40" i="5"/>
  <c r="R44" i="5"/>
  <c r="G56" i="5"/>
  <c r="G63" i="5" s="1"/>
  <c r="M59" i="5"/>
  <c r="M62" i="5" s="1"/>
  <c r="S74" i="5"/>
  <c r="O75" i="5"/>
  <c r="R79" i="5"/>
  <c r="R82" i="5" s="1"/>
  <c r="V57" i="5"/>
  <c r="H11" i="5"/>
  <c r="Q14" i="5"/>
  <c r="Q17" i="5" s="1"/>
  <c r="B62" i="5"/>
  <c r="R62" i="5"/>
  <c r="L75" i="5"/>
  <c r="S62" i="5"/>
  <c r="D11" i="5"/>
  <c r="L11" i="5"/>
  <c r="T11" i="5"/>
  <c r="M17" i="5"/>
  <c r="U14" i="5"/>
  <c r="U17" i="5" s="1"/>
  <c r="R34" i="5"/>
  <c r="U40" i="5"/>
  <c r="U47" i="5" s="1"/>
  <c r="H56" i="5"/>
  <c r="H63" i="5" s="1"/>
  <c r="T59" i="5"/>
  <c r="T62" i="5" s="1"/>
  <c r="O106" i="5"/>
  <c r="T75" i="5"/>
  <c r="S79" i="5"/>
  <c r="S82" i="5" s="1"/>
  <c r="I87" i="5"/>
  <c r="M106" i="5"/>
  <c r="B40" i="5"/>
  <c r="B47" i="5" s="1"/>
  <c r="B43" i="5"/>
  <c r="O87" i="5"/>
  <c r="O45" i="5"/>
  <c r="O69" i="5"/>
  <c r="O101" i="5" s="1"/>
  <c r="B17" i="5"/>
  <c r="J17" i="5"/>
  <c r="R17" i="5"/>
  <c r="W67" i="5"/>
  <c r="B63" i="5"/>
  <c r="I34" i="5"/>
  <c r="V87" i="5"/>
  <c r="W55" i="5"/>
  <c r="C69" i="5"/>
  <c r="C101" i="5" s="1"/>
  <c r="K69" i="5"/>
  <c r="K101" i="5" s="1"/>
  <c r="G69" i="5"/>
  <c r="G101" i="5" s="1"/>
  <c r="I84" i="5"/>
  <c r="I75" i="5"/>
  <c r="Q84" i="5"/>
  <c r="W75" i="5"/>
  <c r="E87" i="5"/>
  <c r="P63" i="5"/>
  <c r="G62" i="5"/>
  <c r="N106" i="5"/>
  <c r="N69" i="5"/>
  <c r="N101" i="5" s="1"/>
  <c r="K106" i="5"/>
  <c r="C43" i="5"/>
  <c r="C40" i="5"/>
  <c r="C47" i="5" s="1"/>
  <c r="K43" i="5"/>
  <c r="K40" i="5"/>
  <c r="K47" i="5" s="1"/>
  <c r="N79" i="5"/>
  <c r="N82" i="5" s="1"/>
  <c r="N34" i="5"/>
  <c r="W79" i="5"/>
  <c r="W34" i="5"/>
  <c r="I63" i="5"/>
  <c r="V84" i="5"/>
  <c r="L106" i="5"/>
  <c r="D43" i="5"/>
  <c r="D44" i="5"/>
  <c r="L43" i="5"/>
  <c r="L44" i="5"/>
  <c r="V106" i="5"/>
  <c r="F79" i="5"/>
  <c r="F82" i="5" s="1"/>
  <c r="F34" i="5"/>
  <c r="G17" i="5"/>
  <c r="O17" i="5"/>
  <c r="S69" i="5"/>
  <c r="S101" i="5" s="1"/>
  <c r="Q55" i="5"/>
  <c r="Q37" i="5"/>
  <c r="Q48" i="5" s="1"/>
  <c r="H62" i="5"/>
  <c r="P62" i="5"/>
  <c r="I44" i="5"/>
  <c r="J63" i="5"/>
  <c r="R63" i="5"/>
  <c r="D82" i="5"/>
  <c r="L82" i="5"/>
  <c r="T82" i="5"/>
  <c r="H69" i="5"/>
  <c r="H101" i="5" s="1"/>
  <c r="H98" i="5"/>
  <c r="H103" i="5" s="1"/>
  <c r="H106" i="5" s="1"/>
  <c r="P69" i="5"/>
  <c r="P101" i="5" s="1"/>
  <c r="P98" i="5"/>
  <c r="P103" i="5" s="1"/>
  <c r="P106" i="5" s="1"/>
  <c r="D69" i="5"/>
  <c r="D101" i="5" s="1"/>
  <c r="T69" i="5"/>
  <c r="T101" i="5" s="1"/>
  <c r="Q73" i="5"/>
  <c r="Q85" i="5" s="1"/>
  <c r="H79" i="5"/>
  <c r="H82" i="5" s="1"/>
  <c r="J40" i="5"/>
  <c r="J47" i="5" s="1"/>
  <c r="J43" i="5"/>
  <c r="V79" i="5"/>
  <c r="V82" i="5" s="1"/>
  <c r="V34" i="5"/>
  <c r="O79" i="5"/>
  <c r="O82" i="5" s="1"/>
  <c r="O34" i="5"/>
  <c r="H17" i="5"/>
  <c r="I62" i="5"/>
  <c r="Q62" i="5"/>
  <c r="F87" i="5"/>
  <c r="I43" i="5"/>
  <c r="W43" i="5"/>
  <c r="J44" i="5"/>
  <c r="S44" i="5"/>
  <c r="K63" i="5"/>
  <c r="E82" i="5"/>
  <c r="M82" i="5"/>
  <c r="U82" i="5"/>
  <c r="N59" i="5"/>
  <c r="N62" i="5" s="1"/>
  <c r="I69" i="5"/>
  <c r="I101" i="5" s="1"/>
  <c r="I79" i="5"/>
  <c r="I82" i="5" s="1"/>
  <c r="L69" i="5"/>
  <c r="L101" i="5" s="1"/>
  <c r="K75" i="5"/>
  <c r="T57" i="5"/>
  <c r="S28" i="5"/>
  <c r="N87" i="5"/>
  <c r="N45" i="5"/>
  <c r="U54" i="5"/>
  <c r="U72" i="5"/>
  <c r="G79" i="5"/>
  <c r="G82" i="5" s="1"/>
  <c r="G34" i="5"/>
  <c r="P17" i="5"/>
  <c r="W16" i="5"/>
  <c r="W58" i="5"/>
  <c r="W78" i="5" s="1"/>
  <c r="W61" i="5"/>
  <c r="I17" i="5"/>
  <c r="F67" i="5"/>
  <c r="F99" i="5" s="1"/>
  <c r="F104" i="5" s="1"/>
  <c r="F106" i="5" s="1"/>
  <c r="F22" i="5"/>
  <c r="F15" i="5"/>
  <c r="F17" i="5" s="1"/>
  <c r="Q27" i="5"/>
  <c r="H34" i="5"/>
  <c r="U36" i="5"/>
  <c r="S37" i="5"/>
  <c r="G87" i="5"/>
  <c r="G45" i="5"/>
  <c r="B44" i="5"/>
  <c r="K44" i="5"/>
  <c r="O59" i="5"/>
  <c r="O62" i="5" s="1"/>
  <c r="B69" i="5"/>
  <c r="B101" i="5" s="1"/>
  <c r="J69" i="5"/>
  <c r="J101" i="5" s="1"/>
  <c r="R69" i="5"/>
  <c r="R101" i="5" s="1"/>
  <c r="V69" i="5"/>
  <c r="V101" i="5" s="1"/>
  <c r="H84" i="5"/>
  <c r="P84" i="5"/>
  <c r="P75" i="5"/>
  <c r="S73" i="5"/>
  <c r="S85" i="5" s="1"/>
  <c r="S40" i="5"/>
  <c r="S47" i="5" s="1"/>
  <c r="U66" i="5"/>
  <c r="J84" i="5"/>
  <c r="R84" i="5"/>
  <c r="D34" i="5"/>
  <c r="L34" i="5"/>
  <c r="T34" i="5"/>
  <c r="R43" i="5"/>
  <c r="R50" i="5" s="1"/>
  <c r="T44" i="5"/>
  <c r="T51" i="5" s="1"/>
  <c r="E34" i="5"/>
  <c r="M34" i="5"/>
  <c r="U34" i="5"/>
  <c r="Q39" i="125"/>
  <c r="D147" i="51"/>
  <c r="E147" i="51"/>
  <c r="F147" i="51"/>
  <c r="G147" i="51"/>
  <c r="H147" i="51"/>
  <c r="I147" i="51"/>
  <c r="J147" i="51"/>
  <c r="K147" i="51"/>
  <c r="L147" i="51"/>
  <c r="M147" i="51"/>
  <c r="N147" i="51"/>
  <c r="O147" i="51"/>
  <c r="P147" i="51"/>
  <c r="Q147" i="51"/>
  <c r="R147" i="51"/>
  <c r="S147" i="51"/>
  <c r="T147" i="51"/>
  <c r="U147" i="51"/>
  <c r="V147" i="51"/>
  <c r="W147" i="51"/>
  <c r="C147" i="51"/>
  <c r="W99" i="5" l="1"/>
  <c r="W104" i="5" s="1"/>
  <c r="O52" i="5"/>
  <c r="T48" i="5"/>
  <c r="T45" i="5"/>
  <c r="P51" i="5"/>
  <c r="U48" i="5"/>
  <c r="U52" i="5" s="1"/>
  <c r="U45" i="5"/>
  <c r="V45" i="5"/>
  <c r="N90" i="5"/>
  <c r="V90" i="5"/>
  <c r="L47" i="5"/>
  <c r="M90" i="5"/>
  <c r="R49" i="5"/>
  <c r="R52" i="5" s="1"/>
  <c r="R45" i="5"/>
  <c r="F69" i="5"/>
  <c r="F101" i="5" s="1"/>
  <c r="O90" i="5"/>
  <c r="S48" i="5"/>
  <c r="S45" i="5"/>
  <c r="M52" i="5"/>
  <c r="G52" i="5"/>
  <c r="N52" i="5"/>
  <c r="B88" i="5"/>
  <c r="B50" i="5"/>
  <c r="I88" i="5"/>
  <c r="I50" i="5"/>
  <c r="I89" i="5"/>
  <c r="I51" i="5"/>
  <c r="C52" i="5"/>
  <c r="T87" i="5"/>
  <c r="T47" i="5"/>
  <c r="V48" i="5"/>
  <c r="V52" i="5" s="1"/>
  <c r="J88" i="5"/>
  <c r="J50" i="5"/>
  <c r="J52" i="5" s="1"/>
  <c r="Q87" i="5"/>
  <c r="Q90" i="5" s="1"/>
  <c r="Q47" i="5"/>
  <c r="H88" i="5"/>
  <c r="H50" i="5"/>
  <c r="H52" i="5" s="1"/>
  <c r="F88" i="5"/>
  <c r="F90" i="5" s="1"/>
  <c r="F50" i="5"/>
  <c r="F52" i="5" s="1"/>
  <c r="K89" i="5"/>
  <c r="K51" i="5"/>
  <c r="P88" i="5"/>
  <c r="P50" i="5"/>
  <c r="B89" i="5"/>
  <c r="B51" i="5"/>
  <c r="B52" i="5" s="1"/>
  <c r="S89" i="5"/>
  <c r="S51" i="5"/>
  <c r="D89" i="5"/>
  <c r="D51" i="5"/>
  <c r="P87" i="5"/>
  <c r="P47" i="5"/>
  <c r="P52" i="5" s="1"/>
  <c r="S88" i="5"/>
  <c r="S50" i="5"/>
  <c r="C88" i="5"/>
  <c r="C50" i="5"/>
  <c r="Q88" i="5"/>
  <c r="Q50" i="5"/>
  <c r="J89" i="5"/>
  <c r="J51" i="5"/>
  <c r="D88" i="5"/>
  <c r="D50" i="5"/>
  <c r="L89" i="5"/>
  <c r="L51" i="5"/>
  <c r="T88" i="5"/>
  <c r="T50" i="5"/>
  <c r="L88" i="5"/>
  <c r="L50" i="5"/>
  <c r="G90" i="5"/>
  <c r="W88" i="5"/>
  <c r="W50" i="5"/>
  <c r="K88" i="5"/>
  <c r="K50" i="5"/>
  <c r="K52" i="5" s="1"/>
  <c r="E90" i="5"/>
  <c r="R89" i="5"/>
  <c r="R51" i="5"/>
  <c r="H89" i="5"/>
  <c r="H51" i="5"/>
  <c r="S63" i="5"/>
  <c r="W48" i="5"/>
  <c r="U57" i="5"/>
  <c r="H45" i="5"/>
  <c r="F45" i="5"/>
  <c r="P45" i="5"/>
  <c r="U63" i="5"/>
  <c r="Q69" i="5"/>
  <c r="Q101" i="5" s="1"/>
  <c r="D63" i="5"/>
  <c r="Q45" i="5"/>
  <c r="E63" i="5"/>
  <c r="S57" i="5"/>
  <c r="W63" i="5"/>
  <c r="U87" i="5"/>
  <c r="U90" i="5" s="1"/>
  <c r="M63" i="5"/>
  <c r="W62" i="5"/>
  <c r="T63" i="5"/>
  <c r="O63" i="5"/>
  <c r="L63" i="5"/>
  <c r="D45" i="5"/>
  <c r="C87" i="5"/>
  <c r="C45" i="5"/>
  <c r="U98" i="5"/>
  <c r="U103" i="5" s="1"/>
  <c r="U106" i="5" s="1"/>
  <c r="U69" i="5"/>
  <c r="U101" i="5" s="1"/>
  <c r="S87" i="5"/>
  <c r="U75" i="5"/>
  <c r="U84" i="5"/>
  <c r="L45" i="5"/>
  <c r="S75" i="5"/>
  <c r="T89" i="5"/>
  <c r="B45" i="5"/>
  <c r="B87" i="5"/>
  <c r="R88" i="5"/>
  <c r="W82" i="5"/>
  <c r="J45" i="5"/>
  <c r="J87" i="5"/>
  <c r="K45" i="5"/>
  <c r="K87" i="5"/>
  <c r="K90" i="5" s="1"/>
  <c r="I45" i="5"/>
  <c r="Q74" i="5"/>
  <c r="Q75" i="5" s="1"/>
  <c r="Q56" i="5"/>
  <c r="Q63" i="5" s="1"/>
  <c r="N63" i="5"/>
  <c r="D52" i="5" l="1"/>
  <c r="H90" i="5"/>
  <c r="D90" i="5"/>
  <c r="T90" i="5"/>
  <c r="L52" i="5"/>
  <c r="S52" i="5"/>
  <c r="I90" i="5"/>
  <c r="Q52" i="5"/>
  <c r="L90" i="5"/>
  <c r="B90" i="5"/>
  <c r="R90" i="5"/>
  <c r="S90" i="5"/>
  <c r="J90" i="5"/>
  <c r="I52" i="5"/>
  <c r="P90" i="5"/>
  <c r="T52" i="5"/>
  <c r="C90" i="5"/>
  <c r="B7" i="88" l="1"/>
  <c r="C7" i="88"/>
  <c r="D7" i="88"/>
  <c r="E7" i="88"/>
  <c r="F7" i="88"/>
  <c r="G7" i="88"/>
  <c r="H7" i="88"/>
  <c r="I7" i="88"/>
  <c r="J7" i="88"/>
  <c r="K7" i="88"/>
  <c r="L7" i="88"/>
  <c r="M7" i="88"/>
  <c r="N7" i="88"/>
  <c r="O7" i="88"/>
  <c r="S7" i="30" l="1"/>
  <c r="S5" i="30"/>
  <c r="S7" i="31" l="1"/>
  <c r="S5" i="31"/>
  <c r="C131" i="51" l="1"/>
  <c r="D131" i="51"/>
  <c r="E131" i="51"/>
  <c r="F131" i="51"/>
  <c r="G131" i="51"/>
  <c r="H131" i="51"/>
  <c r="I131" i="51"/>
  <c r="J131" i="51"/>
  <c r="K131" i="51"/>
  <c r="L131" i="51"/>
  <c r="M131" i="51"/>
  <c r="N131" i="51"/>
  <c r="O131" i="51"/>
  <c r="P131" i="51"/>
  <c r="Q131" i="51"/>
  <c r="R131" i="51"/>
  <c r="S131" i="51"/>
  <c r="T131" i="51"/>
  <c r="U131" i="51"/>
  <c r="V131" i="51"/>
  <c r="W131" i="51"/>
  <c r="I9" i="4"/>
  <c r="J9" i="4"/>
  <c r="K9" i="4"/>
  <c r="L9" i="4"/>
  <c r="M9" i="4"/>
  <c r="N9" i="4"/>
  <c r="O9" i="4"/>
  <c r="P9" i="4"/>
  <c r="Q9" i="4"/>
  <c r="R9" i="4"/>
  <c r="S9" i="4"/>
  <c r="T9" i="4"/>
  <c r="U9" i="4"/>
  <c r="V9" i="4"/>
  <c r="W9" i="4"/>
  <c r="W94" i="51"/>
  <c r="D120" i="51"/>
  <c r="E120" i="51"/>
  <c r="F120" i="51"/>
  <c r="G120" i="51"/>
  <c r="H120" i="51"/>
  <c r="I120" i="51"/>
  <c r="J120" i="51"/>
  <c r="K120" i="51"/>
  <c r="L120" i="51"/>
  <c r="M120" i="51"/>
  <c r="N120" i="51"/>
  <c r="O120" i="51"/>
  <c r="P120" i="51"/>
  <c r="Q120" i="51"/>
  <c r="R120" i="51"/>
  <c r="S120" i="51"/>
  <c r="T120" i="51"/>
  <c r="U120" i="51"/>
  <c r="V120" i="51"/>
  <c r="W120" i="51"/>
  <c r="C120" i="51"/>
  <c r="G132" i="51"/>
  <c r="M132" i="51"/>
  <c r="O132" i="51"/>
  <c r="R132" i="51"/>
  <c r="U132" i="51"/>
  <c r="W132" i="51"/>
  <c r="V126" i="51"/>
  <c r="W124" i="51"/>
  <c r="V124" i="51"/>
  <c r="K139" i="51"/>
  <c r="S136" i="51"/>
  <c r="K136" i="51"/>
  <c r="T134" i="51"/>
  <c r="T138" i="51" s="1"/>
  <c r="L134" i="51"/>
  <c r="L138" i="51" s="1"/>
  <c r="D134" i="51"/>
  <c r="D138" i="51" s="1"/>
  <c r="T126" i="51"/>
  <c r="T124" i="51"/>
  <c r="S124" i="51"/>
  <c r="R124" i="51"/>
  <c r="C124" i="51"/>
  <c r="M117" i="51"/>
  <c r="M127" i="51" s="1"/>
  <c r="F117" i="51"/>
  <c r="W112" i="51"/>
  <c r="P112" i="51"/>
  <c r="O112" i="51"/>
  <c r="N112" i="51"/>
  <c r="M112" i="51"/>
  <c r="H112" i="51"/>
  <c r="G112" i="51"/>
  <c r="H106" i="51"/>
  <c r="G106" i="51"/>
  <c r="F106" i="51"/>
  <c r="F86" i="51" s="1"/>
  <c r="E106" i="51"/>
  <c r="E126" i="51" s="1"/>
  <c r="D106" i="51"/>
  <c r="C106" i="51"/>
  <c r="C86" i="51" s="1"/>
  <c r="G97" i="51"/>
  <c r="G117" i="51" s="1"/>
  <c r="G127" i="51" s="1"/>
  <c r="C97" i="51"/>
  <c r="C117" i="51" s="1"/>
  <c r="C127" i="51" s="1"/>
  <c r="V94" i="51"/>
  <c r="V132" i="51" s="1"/>
  <c r="U94" i="51"/>
  <c r="T94" i="51"/>
  <c r="T136" i="51" s="1"/>
  <c r="S94" i="51"/>
  <c r="S134" i="51" s="1"/>
  <c r="S138" i="51" s="1"/>
  <c r="R94" i="51"/>
  <c r="R134" i="51" s="1"/>
  <c r="Q94" i="51"/>
  <c r="Q136" i="51" s="1"/>
  <c r="P94" i="51"/>
  <c r="P136" i="51" s="1"/>
  <c r="O94" i="51"/>
  <c r="N94" i="51"/>
  <c r="N132" i="51" s="1"/>
  <c r="M94" i="51"/>
  <c r="L94" i="51"/>
  <c r="L136" i="51" s="1"/>
  <c r="K94" i="51"/>
  <c r="K134" i="51" s="1"/>
  <c r="K138" i="51" s="1"/>
  <c r="J94" i="51"/>
  <c r="J134" i="51" s="1"/>
  <c r="I94" i="51"/>
  <c r="I136" i="51" s="1"/>
  <c r="H94" i="51"/>
  <c r="H132" i="51" s="1"/>
  <c r="G94" i="51"/>
  <c r="F94" i="51"/>
  <c r="F136" i="51" s="1"/>
  <c r="E94" i="51"/>
  <c r="E132" i="51" s="1"/>
  <c r="D94" i="51"/>
  <c r="D136" i="51" s="1"/>
  <c r="C94" i="51"/>
  <c r="C134" i="51" s="1"/>
  <c r="W90" i="51"/>
  <c r="V90" i="51"/>
  <c r="V112" i="51" s="1"/>
  <c r="U90" i="51"/>
  <c r="U112" i="51" s="1"/>
  <c r="T90" i="51"/>
  <c r="T112" i="51" s="1"/>
  <c r="S90" i="51"/>
  <c r="S112" i="51" s="1"/>
  <c r="R90" i="51"/>
  <c r="R112" i="51" s="1"/>
  <c r="Q90" i="51"/>
  <c r="Q112" i="51" s="1"/>
  <c r="P90" i="51"/>
  <c r="O90" i="51"/>
  <c r="N90" i="51"/>
  <c r="M90" i="51"/>
  <c r="L90" i="51"/>
  <c r="L112" i="51" s="1"/>
  <c r="K90" i="51"/>
  <c r="K112" i="51" s="1"/>
  <c r="J90" i="51"/>
  <c r="J112" i="51" s="1"/>
  <c r="I90" i="51"/>
  <c r="I112" i="51" s="1"/>
  <c r="H90" i="51"/>
  <c r="G90" i="51"/>
  <c r="F90" i="51"/>
  <c r="F112" i="51" s="1"/>
  <c r="E90" i="51"/>
  <c r="E112" i="51" s="1"/>
  <c r="D90" i="51"/>
  <c r="D112" i="51" s="1"/>
  <c r="C90" i="51"/>
  <c r="C112" i="51" s="1"/>
  <c r="W87" i="51"/>
  <c r="N87" i="51"/>
  <c r="V86" i="51"/>
  <c r="U86" i="51"/>
  <c r="T86" i="51"/>
  <c r="S86" i="51"/>
  <c r="R86" i="51"/>
  <c r="Q86" i="51"/>
  <c r="P86" i="51"/>
  <c r="O86" i="51"/>
  <c r="N86" i="51"/>
  <c r="M86" i="51"/>
  <c r="L86" i="51"/>
  <c r="K86" i="51"/>
  <c r="J86" i="51"/>
  <c r="I86" i="51"/>
  <c r="E86" i="51"/>
  <c r="E87" i="51" s="1"/>
  <c r="D86" i="51"/>
  <c r="V85" i="51"/>
  <c r="V87" i="51" s="1"/>
  <c r="U85" i="51"/>
  <c r="T85" i="51"/>
  <c r="S85" i="51"/>
  <c r="R85" i="51"/>
  <c r="Q85" i="51"/>
  <c r="P85" i="51"/>
  <c r="O85" i="51"/>
  <c r="N85" i="51"/>
  <c r="M85" i="51"/>
  <c r="L85" i="51"/>
  <c r="K85" i="51"/>
  <c r="J85" i="51"/>
  <c r="I85" i="51"/>
  <c r="H85" i="51"/>
  <c r="G85" i="51"/>
  <c r="F85" i="51"/>
  <c r="E85" i="51"/>
  <c r="D85" i="51"/>
  <c r="C85" i="51"/>
  <c r="H79" i="51"/>
  <c r="H78" i="51"/>
  <c r="W73" i="51"/>
  <c r="W97" i="51" s="1"/>
  <c r="W117" i="51" s="1"/>
  <c r="W127" i="51" s="1"/>
  <c r="V73" i="51"/>
  <c r="V97" i="51" s="1"/>
  <c r="V117" i="51" s="1"/>
  <c r="V127" i="51" s="1"/>
  <c r="U73" i="51"/>
  <c r="U97" i="51" s="1"/>
  <c r="U117" i="51" s="1"/>
  <c r="T73" i="51"/>
  <c r="T97" i="51" s="1"/>
  <c r="T117" i="51" s="1"/>
  <c r="T127" i="51" s="1"/>
  <c r="S73" i="51"/>
  <c r="S97" i="51" s="1"/>
  <c r="S117" i="51" s="1"/>
  <c r="S127" i="51" s="1"/>
  <c r="R73" i="51"/>
  <c r="R97" i="51" s="1"/>
  <c r="R117" i="51" s="1"/>
  <c r="Q73" i="51"/>
  <c r="Q97" i="51" s="1"/>
  <c r="Q117" i="51" s="1"/>
  <c r="P73" i="51"/>
  <c r="P97" i="51" s="1"/>
  <c r="P117" i="51" s="1"/>
  <c r="O73" i="51"/>
  <c r="O97" i="51" s="1"/>
  <c r="O117" i="51" s="1"/>
  <c r="O127" i="51" s="1"/>
  <c r="N73" i="51"/>
  <c r="N97" i="51" s="1"/>
  <c r="N117" i="51" s="1"/>
  <c r="M73" i="51"/>
  <c r="M97" i="51" s="1"/>
  <c r="L73" i="51"/>
  <c r="L97" i="51" s="1"/>
  <c r="L117" i="51" s="1"/>
  <c r="L127" i="51" s="1"/>
  <c r="K73" i="51"/>
  <c r="K97" i="51" s="1"/>
  <c r="K117" i="51" s="1"/>
  <c r="J73" i="51"/>
  <c r="J97" i="51" s="1"/>
  <c r="J117" i="51" s="1"/>
  <c r="I73" i="51"/>
  <c r="I97" i="51" s="1"/>
  <c r="I117" i="51" s="1"/>
  <c r="H73" i="51"/>
  <c r="H97" i="51" s="1"/>
  <c r="H117" i="51" s="1"/>
  <c r="H127" i="51" s="1"/>
  <c r="G73" i="51"/>
  <c r="F73" i="51"/>
  <c r="F97" i="51" s="1"/>
  <c r="E73" i="51"/>
  <c r="E97" i="51" s="1"/>
  <c r="E117" i="51" s="1"/>
  <c r="E127" i="51" s="1"/>
  <c r="D73" i="51"/>
  <c r="D97" i="51" s="1"/>
  <c r="D117" i="51" s="1"/>
  <c r="D127" i="51" s="1"/>
  <c r="C73" i="51"/>
  <c r="W61" i="51"/>
  <c r="V61" i="51"/>
  <c r="U61" i="51"/>
  <c r="T61" i="51"/>
  <c r="S61" i="51"/>
  <c r="R61" i="51"/>
  <c r="Q61" i="51"/>
  <c r="P61" i="51"/>
  <c r="O61" i="51"/>
  <c r="N61" i="51"/>
  <c r="M61" i="51"/>
  <c r="L61" i="51"/>
  <c r="K61" i="51"/>
  <c r="J61" i="51"/>
  <c r="I61" i="51"/>
  <c r="W59" i="51"/>
  <c r="U56" i="51"/>
  <c r="T56" i="51"/>
  <c r="S56" i="51"/>
  <c r="R46" i="51"/>
  <c r="Q46" i="51"/>
  <c r="P46" i="51"/>
  <c r="O46" i="51"/>
  <c r="N46" i="51"/>
  <c r="M46" i="51"/>
  <c r="L46" i="51"/>
  <c r="K46" i="51"/>
  <c r="U40" i="51"/>
  <c r="E40" i="51"/>
  <c r="W39" i="51"/>
  <c r="W40" i="51" s="1"/>
  <c r="V39" i="51"/>
  <c r="V40" i="51" s="1"/>
  <c r="U39" i="51"/>
  <c r="T39" i="51"/>
  <c r="S39" i="51"/>
  <c r="S7" i="51" s="1"/>
  <c r="S10" i="51" s="1"/>
  <c r="R39" i="51"/>
  <c r="Q39" i="51"/>
  <c r="Q40" i="51" s="1"/>
  <c r="P39" i="51"/>
  <c r="P40" i="51" s="1"/>
  <c r="O39" i="51"/>
  <c r="O40" i="51" s="1"/>
  <c r="N39" i="51"/>
  <c r="N40" i="51" s="1"/>
  <c r="M39" i="51"/>
  <c r="M40" i="51" s="1"/>
  <c r="L39" i="51"/>
  <c r="K39" i="51"/>
  <c r="K7" i="51" s="1"/>
  <c r="J39" i="51"/>
  <c r="I39" i="51"/>
  <c r="I40" i="51" s="1"/>
  <c r="H39" i="51"/>
  <c r="H40" i="51" s="1"/>
  <c r="G39" i="51"/>
  <c r="G40" i="51" s="1"/>
  <c r="F39" i="51"/>
  <c r="F40" i="51" s="1"/>
  <c r="E39" i="51"/>
  <c r="D39" i="51"/>
  <c r="D40" i="51" s="1"/>
  <c r="C39" i="51"/>
  <c r="C40" i="51" s="1"/>
  <c r="W37" i="51"/>
  <c r="V37" i="51"/>
  <c r="U37" i="51"/>
  <c r="T37" i="51"/>
  <c r="S37" i="51"/>
  <c r="R37" i="51"/>
  <c r="Q37" i="51"/>
  <c r="P37" i="51"/>
  <c r="O37" i="51"/>
  <c r="N37" i="51"/>
  <c r="M37" i="51"/>
  <c r="L37" i="51"/>
  <c r="K37" i="51"/>
  <c r="J37" i="51"/>
  <c r="I37" i="51"/>
  <c r="H37" i="51"/>
  <c r="G37" i="51"/>
  <c r="F37" i="51"/>
  <c r="E37" i="51"/>
  <c r="W29" i="51"/>
  <c r="V29" i="51"/>
  <c r="U29" i="51"/>
  <c r="T29" i="51"/>
  <c r="S29" i="51"/>
  <c r="R29" i="51"/>
  <c r="Q29" i="51"/>
  <c r="P29" i="51"/>
  <c r="O29" i="51"/>
  <c r="N29" i="51"/>
  <c r="M29" i="51"/>
  <c r="L29" i="51"/>
  <c r="K29" i="51"/>
  <c r="J29" i="51"/>
  <c r="I29" i="51"/>
  <c r="H29" i="51"/>
  <c r="G29" i="51"/>
  <c r="F29" i="51"/>
  <c r="E29" i="51"/>
  <c r="V20" i="51"/>
  <c r="W17" i="51"/>
  <c r="W16" i="51" s="1"/>
  <c r="W20" i="51" s="1"/>
  <c r="V16" i="51"/>
  <c r="V67" i="51" s="1"/>
  <c r="V72" i="51" s="1"/>
  <c r="V98" i="51" s="1"/>
  <c r="V116" i="51" s="1"/>
  <c r="U16" i="51"/>
  <c r="U67" i="51" s="1"/>
  <c r="U72" i="51" s="1"/>
  <c r="U98" i="51" s="1"/>
  <c r="U116" i="51" s="1"/>
  <c r="T16" i="51"/>
  <c r="T21" i="51" s="1"/>
  <c r="S16" i="51"/>
  <c r="S21" i="51" s="1"/>
  <c r="R16" i="51"/>
  <c r="Q16" i="51"/>
  <c r="Q91" i="51" s="1"/>
  <c r="Q111" i="51" s="1"/>
  <c r="P16" i="51"/>
  <c r="P91" i="51" s="1"/>
  <c r="P111" i="51" s="1"/>
  <c r="O16" i="51"/>
  <c r="O91" i="51" s="1"/>
  <c r="O111" i="51" s="1"/>
  <c r="N16" i="51"/>
  <c r="N62" i="51" s="1"/>
  <c r="M16" i="51"/>
  <c r="M21" i="51" s="1"/>
  <c r="L16" i="51"/>
  <c r="L21" i="51" s="1"/>
  <c r="K16" i="51"/>
  <c r="K21" i="51" s="1"/>
  <c r="J16" i="51"/>
  <c r="J67" i="51" s="1"/>
  <c r="I16" i="51"/>
  <c r="I91" i="51" s="1"/>
  <c r="I111" i="51" s="1"/>
  <c r="H16" i="51"/>
  <c r="H91" i="51" s="1"/>
  <c r="H111" i="51" s="1"/>
  <c r="G16" i="51"/>
  <c r="G91" i="51" s="1"/>
  <c r="G111" i="51" s="1"/>
  <c r="F16" i="51"/>
  <c r="E16" i="51"/>
  <c r="E67" i="51" s="1"/>
  <c r="E72" i="51" s="1"/>
  <c r="E98" i="51" s="1"/>
  <c r="E116" i="51" s="1"/>
  <c r="D16" i="51"/>
  <c r="C16" i="51"/>
  <c r="C91" i="51" s="1"/>
  <c r="C111" i="51" s="1"/>
  <c r="E10" i="51"/>
  <c r="D10" i="51"/>
  <c r="C10" i="51"/>
  <c r="B10" i="51"/>
  <c r="V9" i="51"/>
  <c r="U9" i="51"/>
  <c r="T9" i="51"/>
  <c r="S9" i="51"/>
  <c r="R9" i="51"/>
  <c r="Q9" i="51"/>
  <c r="P9" i="51"/>
  <c r="O9" i="51"/>
  <c r="N9" i="51"/>
  <c r="M9" i="51"/>
  <c r="L9" i="51"/>
  <c r="K9" i="51"/>
  <c r="J9" i="51"/>
  <c r="I9" i="51"/>
  <c r="K8" i="51"/>
  <c r="J8" i="51"/>
  <c r="I8" i="51"/>
  <c r="V7" i="51"/>
  <c r="U7" i="51"/>
  <c r="Q7" i="51"/>
  <c r="P7" i="51"/>
  <c r="O7" i="51"/>
  <c r="N7" i="51"/>
  <c r="M7" i="51"/>
  <c r="I7" i="51"/>
  <c r="U6" i="51"/>
  <c r="T6" i="51"/>
  <c r="S6" i="51"/>
  <c r="R6" i="51"/>
  <c r="Q6" i="51"/>
  <c r="P6" i="51"/>
  <c r="O6" i="51"/>
  <c r="N6" i="51"/>
  <c r="M6" i="51"/>
  <c r="L6" i="51"/>
  <c r="K6" i="51"/>
  <c r="J6" i="51"/>
  <c r="I6" i="51"/>
  <c r="V5" i="51"/>
  <c r="U5" i="51"/>
  <c r="T5" i="51"/>
  <c r="S5" i="51"/>
  <c r="R5" i="51"/>
  <c r="Q5" i="51"/>
  <c r="P5" i="51"/>
  <c r="O5" i="51"/>
  <c r="N5" i="51"/>
  <c r="M5" i="51"/>
  <c r="L5" i="51"/>
  <c r="K5" i="51"/>
  <c r="J5" i="51"/>
  <c r="I5" i="51"/>
  <c r="W4" i="51"/>
  <c r="W10" i="51" s="1"/>
  <c r="T4" i="51"/>
  <c r="S4" i="51"/>
  <c r="R4" i="51"/>
  <c r="Q4" i="51"/>
  <c r="P4" i="51"/>
  <c r="O4" i="51"/>
  <c r="N4" i="51"/>
  <c r="M4" i="51"/>
  <c r="L4" i="51"/>
  <c r="K4" i="51"/>
  <c r="J4" i="51"/>
  <c r="I4" i="51"/>
  <c r="U3" i="51"/>
  <c r="T3" i="51"/>
  <c r="S3" i="51"/>
  <c r="R3" i="51"/>
  <c r="Q3" i="51"/>
  <c r="Q10" i="51" s="1"/>
  <c r="P3" i="51"/>
  <c r="P10" i="51" s="1"/>
  <c r="O3" i="51"/>
  <c r="N3" i="51"/>
  <c r="N10" i="51" s="1"/>
  <c r="M3" i="51"/>
  <c r="L3" i="51"/>
  <c r="K3" i="51"/>
  <c r="J3" i="51"/>
  <c r="I3" i="51"/>
  <c r="I10" i="51" s="1"/>
  <c r="H3" i="51"/>
  <c r="H10" i="51" s="1"/>
  <c r="G3" i="51"/>
  <c r="G10" i="51" s="1"/>
  <c r="F3" i="51"/>
  <c r="F10" i="51" s="1"/>
  <c r="U21" i="51" l="1"/>
  <c r="G62" i="51"/>
  <c r="K67" i="51"/>
  <c r="K72" i="51" s="1"/>
  <c r="K98" i="51" s="1"/>
  <c r="K116" i="51" s="1"/>
  <c r="I87" i="51"/>
  <c r="Q87" i="51"/>
  <c r="K91" i="51"/>
  <c r="K111" i="51" s="1"/>
  <c r="P124" i="51"/>
  <c r="J132" i="51"/>
  <c r="M62" i="51"/>
  <c r="O67" i="51"/>
  <c r="L91" i="51"/>
  <c r="L111" i="51" s="1"/>
  <c r="F126" i="51"/>
  <c r="Q124" i="51"/>
  <c r="R136" i="51"/>
  <c r="Q132" i="51"/>
  <c r="I132" i="51"/>
  <c r="Q67" i="51"/>
  <c r="Q72" i="51" s="1"/>
  <c r="Q98" i="51" s="1"/>
  <c r="Q116" i="51" s="1"/>
  <c r="S91" i="51"/>
  <c r="S111" i="51" s="1"/>
  <c r="P132" i="51"/>
  <c r="O10" i="51"/>
  <c r="K10" i="51"/>
  <c r="O62" i="51"/>
  <c r="S67" i="51"/>
  <c r="S72" i="51" s="1"/>
  <c r="S98" i="51" s="1"/>
  <c r="S116" i="51" s="1"/>
  <c r="U91" i="51"/>
  <c r="U111" i="51" s="1"/>
  <c r="P134" i="51"/>
  <c r="V136" i="51"/>
  <c r="C67" i="51"/>
  <c r="C72" i="51" s="1"/>
  <c r="C98" i="51" s="1"/>
  <c r="C116" i="51" s="1"/>
  <c r="I124" i="51"/>
  <c r="F132" i="51"/>
  <c r="Q21" i="51"/>
  <c r="G67" i="51"/>
  <c r="G69" i="51" s="1"/>
  <c r="G104" i="51" s="1"/>
  <c r="F87" i="51"/>
  <c r="J124" i="51"/>
  <c r="D126" i="51"/>
  <c r="C136" i="51"/>
  <c r="L139" i="51"/>
  <c r="W126" i="51"/>
  <c r="V10" i="51"/>
  <c r="I67" i="51"/>
  <c r="I72" i="51" s="1"/>
  <c r="I98" i="51" s="1"/>
  <c r="I116" i="51" s="1"/>
  <c r="O87" i="51"/>
  <c r="K124" i="51"/>
  <c r="T132" i="51"/>
  <c r="L132" i="51"/>
  <c r="D132" i="51"/>
  <c r="P87" i="51"/>
  <c r="L124" i="51"/>
  <c r="M126" i="51"/>
  <c r="J136" i="51"/>
  <c r="S132" i="51"/>
  <c r="K132" i="51"/>
  <c r="C132" i="51"/>
  <c r="P126" i="51"/>
  <c r="P127" i="51"/>
  <c r="Q126" i="51"/>
  <c r="Q127" i="51"/>
  <c r="R126" i="51"/>
  <c r="R127" i="51"/>
  <c r="I126" i="51"/>
  <c r="I127" i="51"/>
  <c r="G86" i="51"/>
  <c r="G87" i="51" s="1"/>
  <c r="G126" i="51"/>
  <c r="M92" i="51"/>
  <c r="M64" i="51"/>
  <c r="M103" i="51" s="1"/>
  <c r="M70" i="51"/>
  <c r="M105" i="51" s="1"/>
  <c r="K127" i="51"/>
  <c r="K126" i="51"/>
  <c r="N70" i="51"/>
  <c r="N105" i="51" s="1"/>
  <c r="N65" i="51"/>
  <c r="N66" i="51" s="1"/>
  <c r="P139" i="51"/>
  <c r="P138" i="51"/>
  <c r="R91" i="51"/>
  <c r="R111" i="51" s="1"/>
  <c r="R62" i="51"/>
  <c r="R21" i="51"/>
  <c r="F67" i="51"/>
  <c r="F91" i="51"/>
  <c r="F111" i="51" s="1"/>
  <c r="N67" i="51"/>
  <c r="N91" i="51"/>
  <c r="N111" i="51" s="1"/>
  <c r="N21" i="51"/>
  <c r="J40" i="51"/>
  <c r="J7" i="51"/>
  <c r="J10" i="51" s="1"/>
  <c r="R40" i="51"/>
  <c r="R7" i="51"/>
  <c r="R10" i="51" s="1"/>
  <c r="G70" i="51"/>
  <c r="G105" i="51" s="1"/>
  <c r="G92" i="51"/>
  <c r="G65" i="51"/>
  <c r="G66" i="51" s="1"/>
  <c r="G74" i="51"/>
  <c r="G100" i="51" s="1"/>
  <c r="G68" i="51"/>
  <c r="G64" i="51"/>
  <c r="G103" i="51" s="1"/>
  <c r="W62" i="51"/>
  <c r="M65" i="51"/>
  <c r="M66" i="51" s="1"/>
  <c r="N68" i="51"/>
  <c r="N127" i="51"/>
  <c r="N126" i="51"/>
  <c r="M87" i="51"/>
  <c r="U87" i="51"/>
  <c r="N92" i="51"/>
  <c r="H136" i="51"/>
  <c r="H134" i="51"/>
  <c r="H124" i="51"/>
  <c r="F127" i="51"/>
  <c r="L7" i="51"/>
  <c r="L10" i="51" s="1"/>
  <c r="L40" i="51"/>
  <c r="J126" i="51"/>
  <c r="J127" i="51"/>
  <c r="C62" i="51"/>
  <c r="S62" i="51"/>
  <c r="N64" i="51"/>
  <c r="N103" i="51" s="1"/>
  <c r="V91" i="51"/>
  <c r="V111" i="51" s="1"/>
  <c r="E124" i="51"/>
  <c r="E134" i="51"/>
  <c r="E136" i="51"/>
  <c r="M124" i="51"/>
  <c r="M136" i="51"/>
  <c r="M134" i="51"/>
  <c r="U124" i="51"/>
  <c r="U134" i="51"/>
  <c r="U136" i="51"/>
  <c r="C126" i="51"/>
  <c r="O126" i="51"/>
  <c r="K62" i="51"/>
  <c r="K69" i="51" s="1"/>
  <c r="K104" i="51" s="1"/>
  <c r="W67" i="51"/>
  <c r="T7" i="51"/>
  <c r="T10" i="51" s="1"/>
  <c r="T40" i="51"/>
  <c r="M10" i="51"/>
  <c r="U10" i="51"/>
  <c r="D91" i="51"/>
  <c r="D111" i="51" s="1"/>
  <c r="D67" i="51"/>
  <c r="D62" i="51"/>
  <c r="L67" i="51"/>
  <c r="L62" i="51"/>
  <c r="T67" i="51"/>
  <c r="T91" i="51"/>
  <c r="T111" i="51" s="1"/>
  <c r="T62" i="51"/>
  <c r="S40" i="51"/>
  <c r="E62" i="51"/>
  <c r="U62" i="51"/>
  <c r="M74" i="51"/>
  <c r="M100" i="51" s="1"/>
  <c r="W91" i="51"/>
  <c r="W111" i="51" s="1"/>
  <c r="S126" i="51"/>
  <c r="K40" i="51"/>
  <c r="J72" i="51"/>
  <c r="J98" i="51" s="1"/>
  <c r="J116" i="51" s="1"/>
  <c r="J91" i="51"/>
  <c r="J111" i="51" s="1"/>
  <c r="J62" i="51"/>
  <c r="J69" i="51" s="1"/>
  <c r="J104" i="51" s="1"/>
  <c r="J21" i="51"/>
  <c r="O65" i="51"/>
  <c r="O66" i="51" s="1"/>
  <c r="O68" i="51"/>
  <c r="O64" i="51"/>
  <c r="O103" i="51" s="1"/>
  <c r="M67" i="51"/>
  <c r="M91" i="51"/>
  <c r="M111" i="51" s="1"/>
  <c r="F62" i="51"/>
  <c r="V62" i="51"/>
  <c r="R67" i="51"/>
  <c r="M68" i="51"/>
  <c r="U127" i="51"/>
  <c r="U126" i="51"/>
  <c r="N74" i="51"/>
  <c r="N100" i="51" s="1"/>
  <c r="E91" i="51"/>
  <c r="E111" i="51" s="1"/>
  <c r="G124" i="51"/>
  <c r="G136" i="51"/>
  <c r="G134" i="51"/>
  <c r="O124" i="51"/>
  <c r="O136" i="51"/>
  <c r="O134" i="51"/>
  <c r="W136" i="51"/>
  <c r="W134" i="51"/>
  <c r="H67" i="51"/>
  <c r="P67" i="51"/>
  <c r="F124" i="51"/>
  <c r="F134" i="51"/>
  <c r="N124" i="51"/>
  <c r="N134" i="51"/>
  <c r="V134" i="51"/>
  <c r="H86" i="51"/>
  <c r="H87" i="51" s="1"/>
  <c r="H126" i="51"/>
  <c r="H62" i="51"/>
  <c r="P62" i="51"/>
  <c r="J87" i="51"/>
  <c r="R87" i="51"/>
  <c r="J138" i="51"/>
  <c r="J139" i="51"/>
  <c r="R138" i="51"/>
  <c r="R139" i="51"/>
  <c r="O21" i="51"/>
  <c r="I62" i="51"/>
  <c r="Q62" i="51"/>
  <c r="C87" i="51"/>
  <c r="K87" i="51"/>
  <c r="S87" i="51"/>
  <c r="C138" i="51"/>
  <c r="D124" i="51"/>
  <c r="C139" i="51"/>
  <c r="S139" i="51"/>
  <c r="P21" i="51"/>
  <c r="D87" i="51"/>
  <c r="L87" i="51"/>
  <c r="T87" i="51"/>
  <c r="L126" i="51"/>
  <c r="N136" i="51"/>
  <c r="D139" i="51"/>
  <c r="T139" i="51"/>
  <c r="I134" i="51"/>
  <c r="Q134" i="51"/>
  <c r="I69" i="51" l="1"/>
  <c r="I104" i="51" s="1"/>
  <c r="G72" i="51"/>
  <c r="G98" i="51" s="1"/>
  <c r="G116" i="51" s="1"/>
  <c r="O74" i="51"/>
  <c r="O100" i="51" s="1"/>
  <c r="O92" i="51"/>
  <c r="O72" i="51"/>
  <c r="O98" i="51" s="1"/>
  <c r="O116" i="51" s="1"/>
  <c r="O69" i="51"/>
  <c r="O104" i="51" s="1"/>
  <c r="O70" i="51"/>
  <c r="O105" i="51" s="1"/>
  <c r="G139" i="51"/>
  <c r="G138" i="51"/>
  <c r="V92" i="51"/>
  <c r="V70" i="51"/>
  <c r="V105" i="51" s="1"/>
  <c r="V65" i="51"/>
  <c r="V66" i="51" s="1"/>
  <c r="V68" i="51"/>
  <c r="V74" i="51"/>
  <c r="V100" i="51" s="1"/>
  <c r="V64" i="51"/>
  <c r="V103" i="51" s="1"/>
  <c r="S74" i="51"/>
  <c r="S100" i="51" s="1"/>
  <c r="S92" i="51"/>
  <c r="S64" i="51"/>
  <c r="S103" i="51" s="1"/>
  <c r="S68" i="51"/>
  <c r="S70" i="51"/>
  <c r="S105" i="51" s="1"/>
  <c r="S65" i="51"/>
  <c r="S66" i="51" s="1"/>
  <c r="V139" i="51"/>
  <c r="V138" i="51"/>
  <c r="F70" i="51"/>
  <c r="F105" i="51" s="1"/>
  <c r="F92" i="51"/>
  <c r="F65" i="51"/>
  <c r="F66" i="51" s="1"/>
  <c r="F64" i="51"/>
  <c r="F103" i="51" s="1"/>
  <c r="F68" i="51"/>
  <c r="F74" i="51"/>
  <c r="F100" i="51" s="1"/>
  <c r="T69" i="51"/>
  <c r="T104" i="51" s="1"/>
  <c r="T72" i="51"/>
  <c r="T98" i="51" s="1"/>
  <c r="T116" i="51" s="1"/>
  <c r="I74" i="51"/>
  <c r="I100" i="51" s="1"/>
  <c r="I68" i="51"/>
  <c r="I70" i="51"/>
  <c r="I105" i="51" s="1"/>
  <c r="I92" i="51"/>
  <c r="I65" i="51"/>
  <c r="I66" i="51" s="1"/>
  <c r="I64" i="51"/>
  <c r="I103" i="51" s="1"/>
  <c r="P65" i="51"/>
  <c r="P66" i="51" s="1"/>
  <c r="P68" i="51"/>
  <c r="P74" i="51"/>
  <c r="P100" i="51" s="1"/>
  <c r="P64" i="51"/>
  <c r="P103" i="51" s="1"/>
  <c r="P70" i="51"/>
  <c r="P105" i="51" s="1"/>
  <c r="P92" i="51"/>
  <c r="F139" i="51"/>
  <c r="F138" i="51"/>
  <c r="E92" i="51"/>
  <c r="E64" i="51"/>
  <c r="E103" i="51" s="1"/>
  <c r="E70" i="51"/>
  <c r="E105" i="51" s="1"/>
  <c r="E68" i="51"/>
  <c r="E74" i="51"/>
  <c r="E100" i="51" s="1"/>
  <c r="E69" i="51"/>
  <c r="E104" i="51" s="1"/>
  <c r="E65" i="51"/>
  <c r="E66" i="51" s="1"/>
  <c r="D69" i="51"/>
  <c r="D104" i="51" s="1"/>
  <c r="D72" i="51"/>
  <c r="D98" i="51" s="1"/>
  <c r="D116" i="51" s="1"/>
  <c r="W70" i="51"/>
  <c r="W105" i="51" s="1"/>
  <c r="W65" i="51"/>
  <c r="W66" i="51" s="1"/>
  <c r="W68" i="51"/>
  <c r="W64" i="51"/>
  <c r="W103" i="51" s="1"/>
  <c r="W92" i="51"/>
  <c r="W74" i="51"/>
  <c r="W100" i="51" s="1"/>
  <c r="F69" i="51"/>
  <c r="F104" i="51" s="1"/>
  <c r="F72" i="51"/>
  <c r="F98" i="51" s="1"/>
  <c r="F116" i="51" s="1"/>
  <c r="T92" i="51"/>
  <c r="T64" i="51"/>
  <c r="T103" i="51" s="1"/>
  <c r="T65" i="51"/>
  <c r="T66" i="51" s="1"/>
  <c r="T68" i="51"/>
  <c r="T74" i="51"/>
  <c r="T100" i="51" s="1"/>
  <c r="T70" i="51"/>
  <c r="T105" i="51" s="1"/>
  <c r="R74" i="51"/>
  <c r="R100" i="51" s="1"/>
  <c r="R92" i="51"/>
  <c r="R65" i="51"/>
  <c r="R66" i="51" s="1"/>
  <c r="R68" i="51"/>
  <c r="R70" i="51"/>
  <c r="R105" i="51" s="1"/>
  <c r="R64" i="51"/>
  <c r="R103" i="51" s="1"/>
  <c r="G118" i="51"/>
  <c r="G99" i="51"/>
  <c r="C74" i="51"/>
  <c r="C100" i="51" s="1"/>
  <c r="C92" i="51"/>
  <c r="C64" i="51"/>
  <c r="C103" i="51" s="1"/>
  <c r="C68" i="51"/>
  <c r="C70" i="51"/>
  <c r="C105" i="51" s="1"/>
  <c r="C65" i="51"/>
  <c r="C66" i="51" s="1"/>
  <c r="P72" i="51"/>
  <c r="P98" i="51" s="1"/>
  <c r="P116" i="51" s="1"/>
  <c r="P69" i="51"/>
  <c r="P104" i="51" s="1"/>
  <c r="R72" i="51"/>
  <c r="R98" i="51" s="1"/>
  <c r="R116" i="51" s="1"/>
  <c r="R69" i="51"/>
  <c r="R104" i="51" s="1"/>
  <c r="H72" i="51"/>
  <c r="H98" i="51" s="1"/>
  <c r="H116" i="51" s="1"/>
  <c r="H69" i="51"/>
  <c r="H104" i="51" s="1"/>
  <c r="W72" i="51"/>
  <c r="W98" i="51" s="1"/>
  <c r="W116" i="51" s="1"/>
  <c r="W69" i="51"/>
  <c r="W104" i="51" s="1"/>
  <c r="L92" i="51"/>
  <c r="L64" i="51"/>
  <c r="L103" i="51" s="1"/>
  <c r="L74" i="51"/>
  <c r="L100" i="51" s="1"/>
  <c r="L65" i="51"/>
  <c r="L66" i="51" s="1"/>
  <c r="L70" i="51"/>
  <c r="L105" i="51" s="1"/>
  <c r="L68" i="51"/>
  <c r="K74" i="51"/>
  <c r="K100" i="51" s="1"/>
  <c r="K92" i="51"/>
  <c r="K64" i="51"/>
  <c r="K103" i="51" s="1"/>
  <c r="K68" i="51"/>
  <c r="K70" i="51"/>
  <c r="K105" i="51" s="1"/>
  <c r="K65" i="51"/>
  <c r="K66" i="51" s="1"/>
  <c r="S69" i="51"/>
  <c r="S104" i="51" s="1"/>
  <c r="G128" i="51"/>
  <c r="G93" i="51"/>
  <c r="G113" i="51"/>
  <c r="G135" i="51" s="1"/>
  <c r="G101" i="51"/>
  <c r="G119" i="51"/>
  <c r="G123" i="51"/>
  <c r="M113" i="51"/>
  <c r="M135" i="51" s="1"/>
  <c r="M119" i="51"/>
  <c r="M123" i="51"/>
  <c r="M101" i="51"/>
  <c r="M93" i="51"/>
  <c r="M128" i="51"/>
  <c r="W139" i="51"/>
  <c r="W138" i="51"/>
  <c r="H138" i="51"/>
  <c r="H139" i="51"/>
  <c r="Q139" i="51"/>
  <c r="Q138" i="51"/>
  <c r="N139" i="51"/>
  <c r="N138" i="51"/>
  <c r="N118" i="51"/>
  <c r="N99" i="51"/>
  <c r="M72" i="51"/>
  <c r="M98" i="51" s="1"/>
  <c r="M116" i="51" s="1"/>
  <c r="M69" i="51"/>
  <c r="M104" i="51" s="1"/>
  <c r="J92" i="51"/>
  <c r="J65" i="51"/>
  <c r="J66" i="51" s="1"/>
  <c r="J64" i="51"/>
  <c r="J103" i="51" s="1"/>
  <c r="J70" i="51"/>
  <c r="J105" i="51" s="1"/>
  <c r="J74" i="51"/>
  <c r="J100" i="51" s="1"/>
  <c r="J68" i="51"/>
  <c r="M118" i="51"/>
  <c r="L69" i="51"/>
  <c r="L104" i="51" s="1"/>
  <c r="L72" i="51"/>
  <c r="L98" i="51" s="1"/>
  <c r="L116" i="51" s="1"/>
  <c r="N113" i="51"/>
  <c r="N135" i="51" s="1"/>
  <c r="N128" i="51"/>
  <c r="N93" i="51"/>
  <c r="N123" i="51"/>
  <c r="N101" i="51"/>
  <c r="N119" i="51"/>
  <c r="C69" i="51"/>
  <c r="C104" i="51" s="1"/>
  <c r="N69" i="51"/>
  <c r="N104" i="51" s="1"/>
  <c r="N72" i="51"/>
  <c r="N98" i="51" s="1"/>
  <c r="N116" i="51" s="1"/>
  <c r="H92" i="51"/>
  <c r="H65" i="51"/>
  <c r="H66" i="51" s="1"/>
  <c r="H74" i="51"/>
  <c r="H100" i="51" s="1"/>
  <c r="H68" i="51"/>
  <c r="H70" i="51"/>
  <c r="H105" i="51" s="1"/>
  <c r="H64" i="51"/>
  <c r="H103" i="51" s="1"/>
  <c r="U139" i="51"/>
  <c r="U138" i="51"/>
  <c r="M139" i="51"/>
  <c r="M138" i="51"/>
  <c r="V69" i="51"/>
  <c r="V104" i="51" s="1"/>
  <c r="I138" i="51"/>
  <c r="I139" i="51"/>
  <c r="Q68" i="51"/>
  <c r="Q74" i="51"/>
  <c r="Q100" i="51" s="1"/>
  <c r="Q92" i="51"/>
  <c r="Q70" i="51"/>
  <c r="Q105" i="51" s="1"/>
  <c r="Q64" i="51"/>
  <c r="Q103" i="51" s="1"/>
  <c r="Q65" i="51"/>
  <c r="Q66" i="51" s="1"/>
  <c r="Q69" i="51"/>
  <c r="Q104" i="51" s="1"/>
  <c r="O139" i="51"/>
  <c r="O138" i="51"/>
  <c r="U92" i="51"/>
  <c r="U64" i="51"/>
  <c r="U103" i="51" s="1"/>
  <c r="U70" i="51"/>
  <c r="U105" i="51" s="1"/>
  <c r="U74" i="51"/>
  <c r="U100" i="51" s="1"/>
  <c r="U68" i="51"/>
  <c r="U65" i="51"/>
  <c r="U66" i="51" s="1"/>
  <c r="U69" i="51"/>
  <c r="U104" i="51" s="1"/>
  <c r="D92" i="51"/>
  <c r="D64" i="51"/>
  <c r="D103" i="51" s="1"/>
  <c r="D65" i="51"/>
  <c r="D66" i="51" s="1"/>
  <c r="D74" i="51"/>
  <c r="D100" i="51" s="1"/>
  <c r="D68" i="51"/>
  <c r="D70" i="51"/>
  <c r="D105" i="51" s="1"/>
  <c r="E139" i="51"/>
  <c r="E138" i="51"/>
  <c r="W128" i="51" l="1"/>
  <c r="W123" i="51"/>
  <c r="O118" i="51"/>
  <c r="O99" i="51"/>
  <c r="M99" i="51"/>
  <c r="V128" i="51"/>
  <c r="V123" i="51"/>
  <c r="O113" i="51"/>
  <c r="O135" i="51" s="1"/>
  <c r="O123" i="51"/>
  <c r="O128" i="51"/>
  <c r="O101" i="51"/>
  <c r="O119" i="51"/>
  <c r="O93" i="51"/>
  <c r="D99" i="51"/>
  <c r="D118" i="51"/>
  <c r="H128" i="51"/>
  <c r="H93" i="51"/>
  <c r="H119" i="51"/>
  <c r="H101" i="51"/>
  <c r="H113" i="51"/>
  <c r="H135" i="51" s="1"/>
  <c r="H123" i="51"/>
  <c r="C99" i="51"/>
  <c r="C118" i="51"/>
  <c r="E113" i="51"/>
  <c r="E135" i="51" s="1"/>
  <c r="E128" i="51"/>
  <c r="E123" i="51"/>
  <c r="E119" i="51"/>
  <c r="E101" i="51"/>
  <c r="E93" i="51"/>
  <c r="R99" i="51"/>
  <c r="R118" i="51"/>
  <c r="F118" i="51"/>
  <c r="F99" i="51"/>
  <c r="U113" i="51"/>
  <c r="U135" i="51" s="1"/>
  <c r="U128" i="51"/>
  <c r="U93" i="51"/>
  <c r="U101" i="51"/>
  <c r="U123" i="51"/>
  <c r="U119" i="51"/>
  <c r="Q99" i="51"/>
  <c r="Q118" i="51"/>
  <c r="L123" i="51"/>
  <c r="L113" i="51"/>
  <c r="L135" i="51" s="1"/>
  <c r="L93" i="51"/>
  <c r="L119" i="51"/>
  <c r="L128" i="51"/>
  <c r="L101" i="51"/>
  <c r="W118" i="51"/>
  <c r="W99" i="51"/>
  <c r="P128" i="51"/>
  <c r="P93" i="51"/>
  <c r="P119" i="51"/>
  <c r="P101" i="51"/>
  <c r="P123" i="51"/>
  <c r="P113" i="51"/>
  <c r="P135" i="51" s="1"/>
  <c r="L99" i="51"/>
  <c r="L118" i="51"/>
  <c r="I119" i="51"/>
  <c r="I101" i="51"/>
  <c r="I128" i="51"/>
  <c r="I113" i="51"/>
  <c r="I135" i="51" s="1"/>
  <c r="I93" i="51"/>
  <c r="I123" i="51"/>
  <c r="J119" i="51"/>
  <c r="J101" i="51"/>
  <c r="J123" i="51"/>
  <c r="J93" i="51"/>
  <c r="J113" i="51"/>
  <c r="J135" i="51" s="1"/>
  <c r="J128" i="51"/>
  <c r="K99" i="51"/>
  <c r="K118" i="51"/>
  <c r="E118" i="51"/>
  <c r="E99" i="51"/>
  <c r="V113" i="51"/>
  <c r="V135" i="51" s="1"/>
  <c r="V93" i="51"/>
  <c r="V119" i="51"/>
  <c r="V101" i="51"/>
  <c r="U118" i="51"/>
  <c r="U99" i="51"/>
  <c r="R119" i="51"/>
  <c r="R101" i="51"/>
  <c r="R123" i="51"/>
  <c r="R113" i="51"/>
  <c r="R135" i="51" s="1"/>
  <c r="R128" i="51"/>
  <c r="R93" i="51"/>
  <c r="V118" i="51"/>
  <c r="V99" i="51"/>
  <c r="D123" i="51"/>
  <c r="D113" i="51"/>
  <c r="D135" i="51" s="1"/>
  <c r="D101" i="51"/>
  <c r="D128" i="51"/>
  <c r="D119" i="51"/>
  <c r="D93" i="51"/>
  <c r="K123" i="51"/>
  <c r="K93" i="51"/>
  <c r="K119" i="51"/>
  <c r="K128" i="51"/>
  <c r="K113" i="51"/>
  <c r="K135" i="51" s="1"/>
  <c r="K101" i="51"/>
  <c r="T99" i="51"/>
  <c r="T118" i="51"/>
  <c r="F113" i="51"/>
  <c r="F135" i="51" s="1"/>
  <c r="F128" i="51"/>
  <c r="F93" i="51"/>
  <c r="F123" i="51"/>
  <c r="F101" i="51"/>
  <c r="F119" i="51"/>
  <c r="S123" i="51"/>
  <c r="S128" i="51"/>
  <c r="S113" i="51"/>
  <c r="S135" i="51" s="1"/>
  <c r="S119" i="51"/>
  <c r="S101" i="51"/>
  <c r="S93" i="51"/>
  <c r="C123" i="51"/>
  <c r="C101" i="51"/>
  <c r="C128" i="51"/>
  <c r="C113" i="51"/>
  <c r="C135" i="51" s="1"/>
  <c r="C93" i="51"/>
  <c r="C119" i="51"/>
  <c r="T123" i="51"/>
  <c r="T113" i="51"/>
  <c r="T135" i="51" s="1"/>
  <c r="T128" i="51"/>
  <c r="T101" i="51"/>
  <c r="T93" i="51"/>
  <c r="T119" i="51"/>
  <c r="J99" i="51"/>
  <c r="J118" i="51"/>
  <c r="Q119" i="51"/>
  <c r="Q101" i="51"/>
  <c r="Q113" i="51"/>
  <c r="Q135" i="51" s="1"/>
  <c r="Q128" i="51"/>
  <c r="Q123" i="51"/>
  <c r="Q93" i="51"/>
  <c r="W93" i="51"/>
  <c r="W119" i="51"/>
  <c r="W101" i="51"/>
  <c r="W113" i="51"/>
  <c r="W135" i="51" s="1"/>
  <c r="H118" i="51"/>
  <c r="H99" i="51"/>
  <c r="P99" i="51"/>
  <c r="P118" i="51"/>
  <c r="I118" i="51"/>
  <c r="I99" i="51"/>
  <c r="S99" i="51"/>
  <c r="S118" i="51"/>
  <c r="W21" i="27" l="1"/>
  <c r="W22" i="27"/>
  <c r="W23" i="27" s="1"/>
  <c r="W15" i="87" l="1"/>
  <c r="B15" i="87"/>
  <c r="C15" i="87"/>
  <c r="D15" i="87"/>
  <c r="E15" i="87"/>
  <c r="F15" i="87"/>
  <c r="G15" i="87"/>
  <c r="H15" i="87"/>
  <c r="I15" i="87"/>
  <c r="J15" i="87"/>
  <c r="K15" i="87"/>
  <c r="L15" i="87"/>
  <c r="M15" i="87"/>
  <c r="N15" i="87"/>
  <c r="O15" i="87"/>
  <c r="P15" i="87"/>
  <c r="Q15" i="87"/>
  <c r="R15" i="87"/>
  <c r="S15" i="87"/>
  <c r="T15" i="87"/>
  <c r="U15" i="87"/>
  <c r="V15" i="87"/>
  <c r="C4" i="91" l="1"/>
  <c r="C5" i="91"/>
  <c r="C6" i="91"/>
  <c r="C7" i="91"/>
  <c r="C8" i="91"/>
  <c r="C9" i="91"/>
  <c r="C10" i="91"/>
  <c r="C11" i="91"/>
  <c r="C12" i="91"/>
  <c r="C13" i="91"/>
  <c r="C14" i="91"/>
  <c r="C15" i="91"/>
  <c r="C16" i="91"/>
  <c r="C17" i="91"/>
  <c r="C18" i="91"/>
  <c r="C19" i="91"/>
  <c r="C3" i="91"/>
  <c r="D50" i="97" l="1"/>
  <c r="D55" i="97" s="1"/>
  <c r="D38" i="97"/>
  <c r="D39" i="97"/>
  <c r="D40" i="97"/>
  <c r="D41" i="97"/>
  <c r="D42" i="97"/>
  <c r="D43" i="97"/>
  <c r="D44" i="97"/>
  <c r="D45" i="97"/>
  <c r="D46" i="97"/>
  <c r="D47" i="97"/>
  <c r="D48" i="97"/>
  <c r="D37" i="97"/>
  <c r="D49" i="97" s="1"/>
  <c r="D56" i="97" s="1"/>
  <c r="D18" i="97"/>
  <c r="D34" i="97" s="1"/>
  <c r="D19" i="97"/>
  <c r="D20" i="97"/>
  <c r="D21" i="97"/>
  <c r="D22" i="97"/>
  <c r="D23" i="97"/>
  <c r="D24" i="97"/>
  <c r="D25" i="97"/>
  <c r="D26" i="97"/>
  <c r="D27" i="97"/>
  <c r="D28" i="97"/>
  <c r="D17" i="97"/>
  <c r="M59" i="98"/>
  <c r="M60" i="98"/>
  <c r="M61" i="98"/>
  <c r="M62" i="98"/>
  <c r="M63" i="98"/>
  <c r="M64" i="98"/>
  <c r="M65" i="98"/>
  <c r="M66" i="98"/>
  <c r="M67" i="98"/>
  <c r="M68" i="98"/>
  <c r="M69" i="98"/>
  <c r="M70" i="98"/>
  <c r="M71" i="98"/>
  <c r="M72" i="98"/>
  <c r="M73" i="98"/>
  <c r="M74" i="98"/>
  <c r="M76" i="98"/>
  <c r="M77" i="98"/>
  <c r="M78" i="98"/>
  <c r="D54" i="97" l="1"/>
  <c r="E34" i="97"/>
  <c r="D35" i="97"/>
  <c r="D30" i="97"/>
  <c r="M23" i="98" l="1"/>
  <c r="R24" i="98" s="1"/>
  <c r="R23" i="98"/>
  <c r="S23" i="98"/>
  <c r="R40" i="118" l="1"/>
  <c r="W6" i="4"/>
  <c r="W104" i="97" l="1"/>
  <c r="V104" i="97"/>
  <c r="U104" i="97"/>
  <c r="T104" i="97"/>
  <c r="S104" i="97"/>
  <c r="R104" i="97"/>
  <c r="Q104" i="97"/>
  <c r="P104" i="97"/>
  <c r="O104" i="97"/>
  <c r="N104" i="97"/>
  <c r="M104" i="97"/>
  <c r="L104" i="97"/>
  <c r="K104" i="97"/>
  <c r="J104" i="97"/>
  <c r="I104" i="97"/>
  <c r="H104" i="97"/>
  <c r="G104" i="97"/>
  <c r="F104" i="97"/>
  <c r="E104" i="97"/>
  <c r="D104" i="97"/>
  <c r="C104" i="97"/>
  <c r="B104" i="97"/>
  <c r="W103" i="97"/>
  <c r="V103" i="97"/>
  <c r="U103" i="97"/>
  <c r="T103" i="97"/>
  <c r="S103" i="97"/>
  <c r="R103" i="97"/>
  <c r="Q103" i="97"/>
  <c r="P103" i="97"/>
  <c r="O103" i="97"/>
  <c r="N103" i="97"/>
  <c r="M103" i="97"/>
  <c r="L103" i="97"/>
  <c r="K103" i="97"/>
  <c r="J103" i="97"/>
  <c r="I103" i="97"/>
  <c r="H103" i="97"/>
  <c r="G103" i="97"/>
  <c r="F103" i="97"/>
  <c r="E103" i="97"/>
  <c r="D103" i="97"/>
  <c r="C103" i="97"/>
  <c r="B103" i="97"/>
  <c r="W7" i="60"/>
  <c r="B7" i="60"/>
  <c r="S9" i="57"/>
  <c r="C3" i="57"/>
  <c r="C8" i="57" s="1"/>
  <c r="D3" i="57"/>
  <c r="D8" i="57" s="1"/>
  <c r="E3" i="57"/>
  <c r="E8" i="57" s="1"/>
  <c r="F3" i="57"/>
  <c r="F8" i="57" s="1"/>
  <c r="G3" i="57"/>
  <c r="G8" i="57" s="1"/>
  <c r="H3" i="57"/>
  <c r="H8" i="57" s="1"/>
  <c r="I3" i="57"/>
  <c r="I8" i="57" s="1"/>
  <c r="J3" i="57"/>
  <c r="J8" i="57" s="1"/>
  <c r="K3" i="57"/>
  <c r="K8" i="57" s="1"/>
  <c r="L3" i="57"/>
  <c r="L8" i="57" s="1"/>
  <c r="M3" i="57"/>
  <c r="M8" i="57" s="1"/>
  <c r="N3" i="57"/>
  <c r="N8" i="57" s="1"/>
  <c r="O3" i="57"/>
  <c r="O8" i="57" s="1"/>
  <c r="P3" i="57"/>
  <c r="P8" i="57" s="1"/>
  <c r="Q3" i="57"/>
  <c r="Q8" i="57" s="1"/>
  <c r="R3" i="57"/>
  <c r="R8" i="57" s="1"/>
  <c r="S3" i="57"/>
  <c r="S8" i="57" s="1"/>
  <c r="B3" i="57"/>
  <c r="C8" i="35"/>
  <c r="D8" i="35"/>
  <c r="E8" i="35"/>
  <c r="F8" i="35"/>
  <c r="G8" i="35"/>
  <c r="H8" i="35"/>
  <c r="I8" i="35"/>
  <c r="J8" i="35"/>
  <c r="K8" i="35"/>
  <c r="L8" i="35"/>
  <c r="M8" i="35"/>
  <c r="N8" i="35"/>
  <c r="O8" i="35"/>
  <c r="P8" i="35"/>
  <c r="Q8" i="35"/>
  <c r="R8" i="35"/>
  <c r="D168" i="50" l="1"/>
  <c r="D167" i="50"/>
  <c r="D166" i="50"/>
  <c r="D165" i="50"/>
  <c r="D164" i="50"/>
  <c r="D163" i="50"/>
  <c r="D159" i="50"/>
  <c r="D158" i="50"/>
  <c r="D157" i="50"/>
  <c r="D156" i="50"/>
  <c r="D155" i="50"/>
  <c r="D154" i="50"/>
  <c r="D150" i="50"/>
  <c r="D149" i="50"/>
  <c r="D148" i="50"/>
  <c r="D147" i="50"/>
  <c r="D146" i="50"/>
  <c r="D145" i="50"/>
  <c r="C141" i="50"/>
  <c r="B141" i="50"/>
  <c r="D140" i="50"/>
  <c r="D139" i="50"/>
  <c r="D138" i="50"/>
  <c r="D137" i="50"/>
  <c r="D136" i="50"/>
  <c r="D135" i="50"/>
  <c r="D141" i="50" s="1"/>
  <c r="C130" i="50"/>
  <c r="B130" i="50"/>
  <c r="D130" i="50" s="1"/>
  <c r="D129" i="50"/>
  <c r="D128" i="50"/>
  <c r="D127" i="50"/>
  <c r="D126" i="50"/>
  <c r="D125" i="50"/>
  <c r="C120" i="50"/>
  <c r="B120" i="50"/>
  <c r="D119" i="50"/>
  <c r="D118" i="50"/>
  <c r="D117" i="50"/>
  <c r="D116" i="50"/>
  <c r="D115" i="50"/>
  <c r="D110" i="50"/>
  <c r="D109" i="50"/>
  <c r="D108" i="50"/>
  <c r="D107" i="50"/>
  <c r="D106" i="50"/>
  <c r="D105" i="50"/>
  <c r="C100" i="50"/>
  <c r="B100" i="50"/>
  <c r="D99" i="50"/>
  <c r="D98" i="50"/>
  <c r="D97" i="50"/>
  <c r="D96" i="50"/>
  <c r="D95" i="50"/>
  <c r="C90" i="50"/>
  <c r="B90" i="50"/>
  <c r="D90" i="50" s="1"/>
  <c r="D89" i="50"/>
  <c r="D88" i="50"/>
  <c r="D87" i="50"/>
  <c r="D86" i="50"/>
  <c r="D85" i="50"/>
  <c r="C80" i="50"/>
  <c r="B80" i="50"/>
  <c r="D79" i="50"/>
  <c r="D78" i="50"/>
  <c r="D77" i="50"/>
  <c r="D76" i="50"/>
  <c r="D75" i="50"/>
  <c r="C70" i="50"/>
  <c r="B70" i="50"/>
  <c r="D69" i="50"/>
  <c r="D68" i="50"/>
  <c r="D67" i="50"/>
  <c r="D66" i="50"/>
  <c r="D70" i="50" s="1"/>
  <c r="D65" i="50"/>
  <c r="C62" i="50"/>
  <c r="B62" i="50"/>
  <c r="C61" i="50"/>
  <c r="B61" i="50"/>
  <c r="D60" i="50"/>
  <c r="D59" i="50"/>
  <c r="D58" i="50"/>
  <c r="D57" i="50"/>
  <c r="D56" i="50"/>
  <c r="D62" i="50" s="1"/>
  <c r="C52" i="50"/>
  <c r="B52" i="50"/>
  <c r="C51" i="50"/>
  <c r="B51" i="50"/>
  <c r="D50" i="50"/>
  <c r="D49" i="50"/>
  <c r="D48" i="50"/>
  <c r="D51" i="50" s="1"/>
  <c r="D47" i="50"/>
  <c r="D46" i="50"/>
  <c r="D100" i="50" l="1"/>
  <c r="D80" i="50"/>
  <c r="D61" i="50"/>
  <c r="D52" i="50"/>
  <c r="D120" i="50"/>
  <c r="B7" i="89"/>
  <c r="C7" i="89"/>
  <c r="D7" i="89"/>
  <c r="E7" i="89"/>
  <c r="F7" i="89"/>
  <c r="G7" i="89"/>
  <c r="H7" i="89"/>
  <c r="I7" i="89"/>
  <c r="J7" i="89"/>
  <c r="K7" i="89"/>
  <c r="L7" i="89"/>
  <c r="M7" i="89"/>
  <c r="N7" i="89"/>
  <c r="O7" i="89"/>
  <c r="P7" i="89"/>
  <c r="B9" i="85"/>
  <c r="I11" i="93"/>
  <c r="J11" i="93"/>
  <c r="K11" i="93"/>
  <c r="L11" i="93"/>
  <c r="M11" i="93"/>
  <c r="N11" i="93"/>
  <c r="O11" i="93"/>
  <c r="P11" i="93"/>
  <c r="Q11" i="93"/>
  <c r="R11" i="93"/>
  <c r="S11" i="93"/>
  <c r="T11" i="93"/>
  <c r="U11" i="93"/>
  <c r="V11" i="93"/>
  <c r="P9" i="85"/>
  <c r="C9" i="85"/>
  <c r="G3" i="94" l="1"/>
  <c r="G4" i="94"/>
  <c r="G5" i="94"/>
  <c r="G6" i="94"/>
  <c r="G7" i="94"/>
  <c r="G8" i="94"/>
  <c r="G9" i="94"/>
  <c r="B11" i="94"/>
  <c r="C11" i="94"/>
  <c r="D11" i="94"/>
  <c r="E11" i="94"/>
  <c r="F11" i="94"/>
  <c r="G11" i="94"/>
  <c r="W11" i="93"/>
  <c r="W8" i="81" l="1"/>
  <c r="X8" i="81" s="1"/>
  <c r="V8" i="81"/>
  <c r="X7" i="81"/>
  <c r="X5" i="81"/>
  <c r="X4" i="81"/>
  <c r="Y4" i="81" s="1"/>
  <c r="V4" i="81"/>
  <c r="T4" i="81"/>
  <c r="X3" i="81"/>
  <c r="Y3" i="81" s="1"/>
  <c r="V3" i="81"/>
  <c r="O7" i="75" l="1"/>
  <c r="C8" i="119" l="1"/>
  <c r="D8" i="119"/>
  <c r="E8" i="119"/>
  <c r="F8" i="119"/>
  <c r="G8" i="119"/>
  <c r="H8" i="119"/>
  <c r="I8" i="119"/>
  <c r="J8" i="119"/>
  <c r="K8" i="119"/>
  <c r="L8" i="119"/>
  <c r="M8" i="119"/>
  <c r="N8" i="119"/>
  <c r="O8" i="119"/>
  <c r="P8" i="119"/>
  <c r="Q8" i="119"/>
  <c r="R8" i="119"/>
  <c r="S8" i="119"/>
  <c r="T8" i="119"/>
  <c r="U8" i="119"/>
  <c r="V8" i="119"/>
  <c r="W8" i="119"/>
  <c r="B8" i="119"/>
  <c r="W7" i="74"/>
  <c r="F7" i="74"/>
  <c r="G4" i="28" l="1"/>
  <c r="G5" i="28"/>
  <c r="G6" i="28"/>
  <c r="G7" i="28"/>
  <c r="G8" i="28"/>
  <c r="G9" i="28"/>
  <c r="G10" i="28"/>
  <c r="G11" i="28"/>
  <c r="G12" i="28"/>
  <c r="G13" i="28"/>
  <c r="G14" i="28"/>
  <c r="G15" i="28"/>
  <c r="G16" i="28"/>
  <c r="G17" i="28"/>
  <c r="G18" i="28"/>
  <c r="G19" i="28"/>
  <c r="G20" i="28"/>
  <c r="G21" i="28"/>
  <c r="G22" i="28"/>
  <c r="G23" i="28"/>
  <c r="G24" i="28"/>
  <c r="G25" i="28"/>
  <c r="G26" i="28"/>
  <c r="G28" i="28"/>
  <c r="G29" i="28"/>
  <c r="G31" i="28"/>
  <c r="G30" i="28"/>
  <c r="G32" i="28"/>
  <c r="G33" i="28"/>
  <c r="G34" i="28"/>
  <c r="G35" i="28"/>
  <c r="G36" i="28"/>
  <c r="G37" i="28"/>
  <c r="G38" i="28"/>
  <c r="G39" i="28"/>
  <c r="G40" i="28"/>
  <c r="G41" i="28"/>
  <c r="G3" i="28"/>
  <c r="B15" i="53" l="1"/>
  <c r="C15" i="53"/>
  <c r="D15" i="53"/>
  <c r="E15" i="53"/>
  <c r="F15" i="53"/>
  <c r="G15" i="53"/>
  <c r="H15" i="53"/>
  <c r="I15" i="53"/>
  <c r="J15" i="53"/>
  <c r="K15" i="53"/>
  <c r="L15" i="53"/>
  <c r="M15" i="53"/>
  <c r="N15" i="53"/>
  <c r="O15" i="53"/>
  <c r="I14" i="53"/>
  <c r="K14" i="53"/>
  <c r="L14" i="53"/>
  <c r="N14" i="53"/>
  <c r="O14" i="53"/>
  <c r="Q15" i="48" l="1"/>
  <c r="Q14" i="48"/>
  <c r="P14" i="48"/>
  <c r="G4" i="22" l="1"/>
  <c r="E28" i="17" l="1"/>
  <c r="D9" i="15" l="1"/>
  <c r="E9" i="15"/>
  <c r="C9" i="15"/>
  <c r="H9" i="15"/>
  <c r="H11" i="15"/>
  <c r="D7" i="15"/>
  <c r="E7" i="15"/>
  <c r="B7" i="15"/>
  <c r="F4" i="15"/>
  <c r="F5" i="15"/>
  <c r="H10" i="15" s="1"/>
  <c r="F6" i="15"/>
  <c r="F3" i="15"/>
  <c r="F7" i="15" l="1"/>
  <c r="R38" i="118" l="1"/>
  <c r="R37" i="118"/>
  <c r="R36" i="118"/>
  <c r="R35" i="118"/>
  <c r="R34" i="118"/>
  <c r="R33" i="118"/>
  <c r="R32" i="118"/>
  <c r="R31" i="118"/>
  <c r="R30" i="118"/>
  <c r="R29" i="118"/>
  <c r="R28" i="118"/>
  <c r="R27" i="118"/>
  <c r="R26" i="118"/>
  <c r="R25" i="118"/>
  <c r="R24" i="118"/>
  <c r="R23" i="118"/>
  <c r="R22" i="118"/>
  <c r="R21" i="118"/>
  <c r="R20" i="118"/>
  <c r="R19" i="118"/>
  <c r="R17" i="118"/>
  <c r="R16" i="118"/>
  <c r="R15" i="118"/>
  <c r="R14" i="118"/>
  <c r="R13" i="118"/>
  <c r="R12" i="118"/>
  <c r="R11" i="118"/>
  <c r="R18" i="118"/>
  <c r="R10" i="118"/>
  <c r="R9" i="118"/>
  <c r="R8" i="118"/>
  <c r="R7" i="118"/>
  <c r="R6" i="118"/>
  <c r="R5" i="118"/>
  <c r="R4" i="118"/>
  <c r="R3" i="118"/>
  <c r="R39" i="118" l="1"/>
  <c r="W10" i="43" l="1"/>
  <c r="AC10" i="43" s="1"/>
  <c r="W11" i="43" l="1"/>
  <c r="AC11" i="43" s="1"/>
  <c r="W12" i="43"/>
  <c r="G6" i="22"/>
  <c r="G5" i="22"/>
  <c r="B11" i="37"/>
  <c r="B17" i="37" s="1"/>
  <c r="D16" i="37"/>
  <c r="D17" i="37" s="1"/>
  <c r="G14" i="37"/>
  <c r="H14" i="37"/>
  <c r="I14" i="37"/>
  <c r="J14" i="37"/>
  <c r="K14" i="37"/>
  <c r="L14" i="37"/>
  <c r="M14" i="37"/>
  <c r="N14" i="37"/>
  <c r="O14" i="37"/>
  <c r="P14" i="37"/>
  <c r="Q14" i="37"/>
  <c r="R14" i="37"/>
  <c r="S14" i="37"/>
  <c r="T14" i="37"/>
  <c r="U14" i="37"/>
  <c r="V14" i="37"/>
  <c r="W14" i="37"/>
  <c r="B16" i="37"/>
  <c r="C16" i="37"/>
  <c r="C17" i="37" s="1"/>
  <c r="E16" i="37"/>
  <c r="E17" i="37" s="1"/>
  <c r="F16" i="37"/>
  <c r="F17" i="37" s="1"/>
  <c r="G16" i="37"/>
  <c r="G17" i="37" s="1"/>
  <c r="H16" i="37"/>
  <c r="H17" i="37" s="1"/>
  <c r="I16" i="37"/>
  <c r="I17" i="37" s="1"/>
  <c r="J16" i="37"/>
  <c r="J17" i="37" s="1"/>
  <c r="K16" i="37"/>
  <c r="K17" i="37" s="1"/>
  <c r="L16" i="37"/>
  <c r="L17" i="37" s="1"/>
  <c r="M16" i="37"/>
  <c r="M17" i="37" s="1"/>
  <c r="N16" i="37"/>
  <c r="N17" i="37" s="1"/>
  <c r="O16" i="37"/>
  <c r="O17" i="37" s="1"/>
  <c r="P16" i="37"/>
  <c r="P17" i="37" s="1"/>
  <c r="Q16" i="37"/>
  <c r="Q17" i="37" s="1"/>
  <c r="R16" i="37"/>
  <c r="R17" i="37" s="1"/>
  <c r="S16" i="37"/>
  <c r="S17" i="37" s="1"/>
  <c r="T16" i="37"/>
  <c r="T17" i="37" s="1"/>
  <c r="U16" i="37"/>
  <c r="U17" i="37" s="1"/>
  <c r="V16" i="37"/>
  <c r="V17" i="37" s="1"/>
  <c r="W16" i="37"/>
  <c r="W17" i="37" s="1"/>
  <c r="E19" i="37"/>
  <c r="F19" i="37"/>
  <c r="G19" i="37"/>
  <c r="H19" i="37"/>
  <c r="I19" i="37"/>
  <c r="J19" i="37"/>
  <c r="K19" i="37"/>
  <c r="L19" i="37"/>
  <c r="M19" i="37"/>
  <c r="N19" i="37"/>
  <c r="O19" i="37"/>
  <c r="P19" i="37"/>
  <c r="Q19" i="37"/>
  <c r="R19" i="37"/>
  <c r="S19" i="37"/>
  <c r="T19" i="37"/>
  <c r="U19" i="37"/>
  <c r="V19" i="37"/>
  <c r="W19" i="37"/>
  <c r="B18" i="37"/>
  <c r="F28" i="37"/>
  <c r="F29" i="37" s="1"/>
  <c r="C41" i="40"/>
  <c r="D41" i="40"/>
  <c r="E41" i="40"/>
  <c r="F41" i="40"/>
  <c r="G41" i="40"/>
  <c r="H41" i="40"/>
  <c r="I41" i="40"/>
  <c r="J41" i="40"/>
  <c r="K41" i="40"/>
  <c r="L41" i="40"/>
  <c r="M41" i="40"/>
  <c r="N41" i="40"/>
  <c r="B41" i="40"/>
  <c r="C40" i="40"/>
  <c r="D40" i="40"/>
  <c r="E40" i="40"/>
  <c r="F40" i="40"/>
  <c r="G40" i="40"/>
  <c r="H40" i="40"/>
  <c r="I40" i="40"/>
  <c r="J40" i="40"/>
  <c r="K40" i="40"/>
  <c r="L40" i="40"/>
  <c r="M40" i="40"/>
  <c r="N40" i="40"/>
  <c r="B40" i="40"/>
  <c r="R7" i="36"/>
  <c r="D19" i="37" l="1"/>
  <c r="D59" i="83" l="1"/>
  <c r="D60" i="83"/>
  <c r="D61" i="83"/>
  <c r="D62" i="83"/>
  <c r="D64" i="83"/>
  <c r="D65" i="83"/>
  <c r="D66" i="83"/>
  <c r="D67" i="83"/>
  <c r="D68" i="83"/>
  <c r="D69" i="83"/>
  <c r="D70" i="83"/>
  <c r="D71" i="83"/>
  <c r="D72" i="83"/>
  <c r="D73" i="83"/>
  <c r="D74" i="83"/>
  <c r="D75" i="83"/>
  <c r="D76" i="83"/>
  <c r="D77" i="83"/>
  <c r="D78" i="83"/>
  <c r="D79" i="83"/>
  <c r="D80" i="83"/>
  <c r="D81" i="83"/>
  <c r="D82" i="83"/>
  <c r="D83" i="83"/>
  <c r="D84" i="83"/>
  <c r="D85" i="83"/>
  <c r="D86" i="83"/>
  <c r="D87" i="83"/>
  <c r="D88" i="83"/>
  <c r="D89" i="83"/>
  <c r="D90" i="83"/>
  <c r="D91" i="83"/>
  <c r="D92" i="83"/>
  <c r="D93" i="83"/>
  <c r="D94" i="83"/>
  <c r="D95" i="83"/>
  <c r="D96" i="83"/>
  <c r="D97" i="83"/>
  <c r="D98" i="83"/>
  <c r="D99" i="83"/>
  <c r="D100" i="83"/>
  <c r="D101" i="83"/>
  <c r="D63" i="83"/>
  <c r="C72" i="83"/>
  <c r="C8" i="83" l="1"/>
  <c r="C9" i="83"/>
  <c r="C10" i="83"/>
  <c r="C11" i="83"/>
  <c r="C12" i="83"/>
  <c r="C13" i="83"/>
  <c r="C14" i="83"/>
  <c r="C15" i="83"/>
  <c r="C16" i="83"/>
  <c r="C17" i="83"/>
  <c r="C18" i="83"/>
  <c r="C19" i="83"/>
  <c r="C20" i="83"/>
  <c r="C21" i="83"/>
  <c r="C22" i="83"/>
  <c r="C23" i="83"/>
  <c r="C24" i="83"/>
  <c r="C25" i="83"/>
  <c r="C26" i="83"/>
  <c r="C27" i="83"/>
  <c r="C28" i="83"/>
  <c r="C29" i="83"/>
  <c r="C30" i="83"/>
  <c r="C31" i="83"/>
  <c r="C32" i="83"/>
  <c r="C33" i="83"/>
  <c r="C34" i="83"/>
  <c r="C35" i="83"/>
  <c r="C36" i="83"/>
  <c r="C37" i="83"/>
  <c r="C38" i="83"/>
  <c r="C39" i="83"/>
  <c r="C40" i="83"/>
  <c r="C41" i="83"/>
  <c r="C42" i="83"/>
  <c r="C43" i="83"/>
  <c r="C44" i="83"/>
  <c r="C45" i="83"/>
  <c r="C46" i="83"/>
  <c r="C47" i="83"/>
  <c r="C48" i="83"/>
  <c r="C49" i="83"/>
  <c r="C50" i="83"/>
  <c r="C51" i="83"/>
  <c r="C52" i="83"/>
  <c r="C53" i="83"/>
  <c r="C54" i="83"/>
  <c r="C6" i="83"/>
  <c r="C7" i="83"/>
  <c r="C5" i="83"/>
  <c r="B55" i="83"/>
  <c r="W14" i="93"/>
  <c r="W13" i="93"/>
  <c r="C10" i="93"/>
  <c r="D10" i="93"/>
  <c r="E10" i="93"/>
  <c r="F10" i="93"/>
  <c r="G10" i="93"/>
  <c r="H10" i="93"/>
  <c r="I10" i="93"/>
  <c r="J10" i="93"/>
  <c r="K10" i="93"/>
  <c r="L10" i="93"/>
  <c r="M10" i="93"/>
  <c r="N10" i="93"/>
  <c r="O10" i="93"/>
  <c r="P10" i="93"/>
  <c r="Q10" i="93"/>
  <c r="R10" i="93"/>
  <c r="S10" i="93"/>
  <c r="T10" i="93"/>
  <c r="U10" i="93"/>
  <c r="V10" i="93"/>
  <c r="W10" i="93"/>
  <c r="B10" i="93"/>
  <c r="AM5" i="82"/>
  <c r="W16" i="93" l="1"/>
  <c r="W17" i="93"/>
  <c r="Y16" i="50" l="1"/>
  <c r="E21" i="27" l="1"/>
  <c r="F21" i="27"/>
  <c r="G21" i="27"/>
  <c r="H21" i="27"/>
  <c r="I21" i="27"/>
  <c r="J21" i="27"/>
  <c r="K21" i="27"/>
  <c r="L21" i="27"/>
  <c r="M21" i="27"/>
  <c r="H7" i="15"/>
  <c r="H6" i="15"/>
  <c r="H4" i="15"/>
  <c r="H3" i="15"/>
  <c r="E11" i="15"/>
  <c r="E10" i="15"/>
  <c r="E8" i="15"/>
  <c r="D11" i="15"/>
  <c r="D10" i="15"/>
  <c r="D8" i="15"/>
  <c r="C11" i="15"/>
  <c r="C10" i="15"/>
  <c r="C8" i="15"/>
  <c r="B8" i="15"/>
  <c r="B11" i="15"/>
  <c r="B10" i="15"/>
  <c r="B9" i="15"/>
  <c r="B12" i="15" l="1"/>
  <c r="C12" i="15"/>
  <c r="D12" i="15"/>
  <c r="E12" i="15"/>
  <c r="H5" i="15"/>
  <c r="H8" i="15"/>
  <c r="H12" i="15" l="1"/>
  <c r="C40" i="97" l="1"/>
  <c r="C41" i="97"/>
  <c r="C42" i="97"/>
  <c r="C43" i="97"/>
  <c r="C44" i="97"/>
  <c r="C45" i="97"/>
  <c r="C46" i="97"/>
  <c r="C47" i="97"/>
  <c r="C48" i="97"/>
  <c r="B39" i="97"/>
  <c r="B48" i="97"/>
  <c r="B47" i="97"/>
  <c r="B46" i="97"/>
  <c r="B45" i="97"/>
  <c r="B44" i="97"/>
  <c r="B43" i="97"/>
  <c r="B42" i="97"/>
  <c r="B41" i="97"/>
  <c r="B40" i="97"/>
  <c r="C39" i="97"/>
  <c r="C38" i="97"/>
  <c r="B38" i="97"/>
  <c r="B37" i="97"/>
  <c r="C37" i="97"/>
  <c r="C19" i="97"/>
  <c r="C20" i="97"/>
  <c r="C21" i="97"/>
  <c r="C22" i="97"/>
  <c r="C23" i="97"/>
  <c r="C24" i="97"/>
  <c r="C25" i="97"/>
  <c r="C26" i="97"/>
  <c r="C27" i="97"/>
  <c r="C28" i="97"/>
  <c r="C18" i="97"/>
  <c r="B19" i="97"/>
  <c r="B20" i="97"/>
  <c r="B21" i="97"/>
  <c r="B22" i="97"/>
  <c r="B23" i="97"/>
  <c r="B24" i="97"/>
  <c r="B25" i="97"/>
  <c r="B26" i="97"/>
  <c r="B27" i="97"/>
  <c r="B28" i="97"/>
  <c r="B18" i="97"/>
  <c r="B17" i="97"/>
  <c r="C17" i="97"/>
  <c r="B49" i="97" l="1"/>
  <c r="B56" i="97" s="1"/>
  <c r="C50" i="97"/>
  <c r="C55" i="97" s="1"/>
  <c r="C49" i="97"/>
  <c r="C56" i="97" s="1"/>
  <c r="B50" i="97"/>
  <c r="B55" i="97" s="1"/>
  <c r="B34" i="97"/>
  <c r="B54" i="97" s="1"/>
  <c r="B30" i="97"/>
  <c r="C34" i="97"/>
  <c r="C54" i="97" s="1"/>
  <c r="C30" i="97"/>
  <c r="B35" i="97" l="1"/>
  <c r="C35" i="97"/>
  <c r="G72" i="117" l="1"/>
  <c r="D72" i="117"/>
  <c r="E72" i="117"/>
  <c r="F72" i="117"/>
  <c r="C72" i="117"/>
  <c r="D71" i="117"/>
  <c r="E71" i="117"/>
  <c r="D68" i="117"/>
  <c r="E68" i="117"/>
  <c r="F68" i="117"/>
  <c r="C68" i="117"/>
  <c r="G67" i="117"/>
  <c r="D67" i="117"/>
  <c r="E67" i="117"/>
  <c r="F67" i="117"/>
  <c r="C67" i="117"/>
  <c r="G68" i="117" l="1"/>
  <c r="B56" i="117" l="1"/>
  <c r="C56" i="117"/>
  <c r="D56" i="117"/>
  <c r="E56" i="117"/>
  <c r="F56" i="117"/>
  <c r="G56" i="117"/>
  <c r="H56" i="117"/>
  <c r="I56" i="117"/>
  <c r="J56" i="117"/>
  <c r="K56" i="117"/>
  <c r="L56" i="117"/>
  <c r="M56" i="117"/>
  <c r="N56" i="117"/>
  <c r="O56" i="117"/>
  <c r="P56" i="117"/>
  <c r="Q56" i="117"/>
  <c r="R56" i="117"/>
  <c r="S56" i="117"/>
  <c r="T56" i="117"/>
  <c r="U56" i="117"/>
  <c r="V56" i="117"/>
  <c r="C5" i="82" l="1"/>
  <c r="D5" i="82"/>
  <c r="E5" i="82"/>
  <c r="F5" i="82"/>
  <c r="G5" i="82"/>
  <c r="H5" i="82"/>
  <c r="I5" i="82"/>
  <c r="J5" i="82"/>
  <c r="K5" i="82"/>
  <c r="L5" i="82"/>
  <c r="M5" i="82"/>
  <c r="N5" i="82"/>
  <c r="O5" i="82"/>
  <c r="P5" i="82"/>
  <c r="Q5" i="82"/>
  <c r="R5" i="82"/>
  <c r="S5" i="82"/>
  <c r="T5" i="82"/>
  <c r="U5" i="82"/>
  <c r="V5" i="82"/>
  <c r="W5" i="82"/>
  <c r="X5" i="82"/>
  <c r="Y5" i="82"/>
  <c r="Z5" i="82"/>
  <c r="AA5" i="82"/>
  <c r="AB5" i="82"/>
  <c r="AC5" i="82"/>
  <c r="AD5" i="82"/>
  <c r="AE5" i="82"/>
  <c r="AF5" i="82"/>
  <c r="AG5" i="82"/>
  <c r="AH5" i="82"/>
  <c r="AI5" i="82"/>
  <c r="AJ5" i="82"/>
  <c r="AK5" i="82"/>
  <c r="AL5" i="82"/>
  <c r="B5" i="82"/>
  <c r="G14" i="96" l="1"/>
  <c r="G12" i="96"/>
  <c r="G9" i="96"/>
  <c r="G16" i="96"/>
  <c r="M3" i="98" l="1"/>
  <c r="M4" i="98"/>
  <c r="N4" i="98" s="1"/>
  <c r="M5" i="98"/>
  <c r="N5" i="98" s="1"/>
  <c r="M6" i="98"/>
  <c r="N6" i="98" s="1"/>
  <c r="M7" i="98"/>
  <c r="N7" i="98" s="1"/>
  <c r="M8" i="98"/>
  <c r="N8" i="98" s="1"/>
  <c r="M9" i="98"/>
  <c r="N9" i="98" s="1"/>
  <c r="M10" i="98"/>
  <c r="N10" i="98" s="1"/>
  <c r="M11" i="98"/>
  <c r="N11" i="98" s="1"/>
  <c r="M12" i="98"/>
  <c r="N12" i="98" s="1"/>
  <c r="M22" i="98"/>
  <c r="N22" i="98" s="1"/>
  <c r="M13" i="98"/>
  <c r="N13" i="98" s="1"/>
  <c r="M14" i="98"/>
  <c r="N14" i="98" s="1"/>
  <c r="M15" i="98"/>
  <c r="N15" i="98" s="1"/>
  <c r="M16" i="98"/>
  <c r="N16" i="98" s="1"/>
  <c r="M17" i="98"/>
  <c r="N17" i="98" s="1"/>
  <c r="M18" i="98"/>
  <c r="N18" i="98" s="1"/>
  <c r="M19" i="98"/>
  <c r="N19" i="98" s="1"/>
  <c r="M20" i="98"/>
  <c r="N20" i="98" s="1"/>
  <c r="M21" i="98"/>
  <c r="N21" i="98" s="1"/>
  <c r="M79" i="98"/>
  <c r="M114" i="98"/>
  <c r="M115" i="98"/>
  <c r="M116" i="98"/>
  <c r="M117" i="98"/>
  <c r="M118" i="98"/>
  <c r="M119" i="98"/>
  <c r="M120" i="98"/>
  <c r="M121" i="98"/>
  <c r="M122" i="98"/>
  <c r="M123" i="98"/>
  <c r="M124" i="98"/>
  <c r="M125" i="98"/>
  <c r="M126" i="98"/>
  <c r="M127" i="98"/>
  <c r="M128" i="98"/>
  <c r="M129" i="98"/>
  <c r="M130" i="98"/>
  <c r="M131" i="98"/>
  <c r="M132" i="98"/>
  <c r="M134" i="98"/>
  <c r="N134" i="98" s="1"/>
  <c r="G3" i="96"/>
  <c r="G4" i="96"/>
  <c r="G5" i="96"/>
  <c r="G6" i="96"/>
  <c r="G7" i="96"/>
  <c r="G8" i="96"/>
  <c r="G11" i="96"/>
  <c r="G13" i="96"/>
  <c r="N79" i="98" l="1"/>
  <c r="N64" i="98"/>
  <c r="N69" i="98"/>
  <c r="N78" i="98"/>
  <c r="N59" i="98"/>
  <c r="N75" i="98"/>
  <c r="N72" i="98"/>
  <c r="N73" i="98"/>
  <c r="N70" i="98"/>
  <c r="N66" i="98"/>
  <c r="N68" i="98"/>
  <c r="N60" i="98"/>
  <c r="N63" i="98"/>
  <c r="N74" i="98"/>
  <c r="N67" i="98"/>
  <c r="N77" i="98"/>
  <c r="N65" i="98"/>
  <c r="N61" i="98"/>
  <c r="N62" i="98"/>
  <c r="N76" i="98"/>
  <c r="N71" i="98"/>
  <c r="N114" i="98"/>
  <c r="N129" i="98"/>
  <c r="N128" i="98"/>
  <c r="N120" i="98"/>
  <c r="N122" i="98"/>
  <c r="N132" i="98"/>
  <c r="N125" i="98"/>
  <c r="N124" i="98"/>
  <c r="N117" i="98"/>
  <c r="N118" i="98"/>
  <c r="N121" i="98"/>
  <c r="N116" i="98"/>
  <c r="N133" i="98"/>
  <c r="N3" i="98"/>
  <c r="N28" i="98" s="1"/>
  <c r="N127" i="98"/>
  <c r="N119" i="98"/>
  <c r="N131" i="98"/>
  <c r="N123" i="98"/>
  <c r="N126" i="98"/>
  <c r="N115" i="98"/>
  <c r="N130" i="98"/>
  <c r="O59" i="98" l="1"/>
  <c r="O123" i="98"/>
  <c r="N135" i="98"/>
  <c r="N81" i="98"/>
  <c r="N80" i="98"/>
  <c r="N82" i="98"/>
  <c r="N137" i="98"/>
  <c r="N136" i="98"/>
  <c r="B13" i="93" l="1"/>
  <c r="B16" i="93" s="1"/>
  <c r="C13" i="93"/>
  <c r="C16" i="93" s="1"/>
  <c r="D13" i="93"/>
  <c r="D16" i="93" s="1"/>
  <c r="E13" i="93"/>
  <c r="E16" i="93" s="1"/>
  <c r="F13" i="93"/>
  <c r="F16" i="93" s="1"/>
  <c r="G13" i="93"/>
  <c r="G16" i="93" s="1"/>
  <c r="H13" i="93"/>
  <c r="H16" i="93" s="1"/>
  <c r="I13" i="93"/>
  <c r="I16" i="93" s="1"/>
  <c r="J13" i="93"/>
  <c r="J16" i="93" s="1"/>
  <c r="K13" i="93"/>
  <c r="K16" i="93" s="1"/>
  <c r="L13" i="93"/>
  <c r="L16" i="93" s="1"/>
  <c r="M13" i="93"/>
  <c r="M16" i="93" s="1"/>
  <c r="N13" i="93"/>
  <c r="N16" i="93" s="1"/>
  <c r="O13" i="93"/>
  <c r="O16" i="93" s="1"/>
  <c r="P13" i="93"/>
  <c r="P16" i="93" s="1"/>
  <c r="Q13" i="93"/>
  <c r="Q16" i="93" s="1"/>
  <c r="R13" i="93"/>
  <c r="R16" i="93" s="1"/>
  <c r="S13" i="93"/>
  <c r="S16" i="93" s="1"/>
  <c r="T13" i="93"/>
  <c r="T16" i="93" s="1"/>
  <c r="U13" i="93"/>
  <c r="U16" i="93" s="1"/>
  <c r="V13" i="93"/>
  <c r="V16" i="93" s="1"/>
  <c r="B14" i="93"/>
  <c r="B17" i="93" s="1"/>
  <c r="C14" i="93"/>
  <c r="C17" i="93" s="1"/>
  <c r="D14" i="93"/>
  <c r="D17" i="93" s="1"/>
  <c r="E14" i="93"/>
  <c r="E17" i="93" s="1"/>
  <c r="F14" i="93"/>
  <c r="F17" i="93" s="1"/>
  <c r="G14" i="93"/>
  <c r="G17" i="93" s="1"/>
  <c r="H14" i="93"/>
  <c r="H17" i="93" s="1"/>
  <c r="I14" i="93"/>
  <c r="I17" i="93" s="1"/>
  <c r="J14" i="93"/>
  <c r="J17" i="93" s="1"/>
  <c r="K14" i="93"/>
  <c r="K17" i="93" s="1"/>
  <c r="L14" i="93"/>
  <c r="L17" i="93" s="1"/>
  <c r="M14" i="93"/>
  <c r="M17" i="93" s="1"/>
  <c r="N14" i="93"/>
  <c r="N17" i="93" s="1"/>
  <c r="O14" i="93"/>
  <c r="O17" i="93" s="1"/>
  <c r="P14" i="93"/>
  <c r="P17" i="93" s="1"/>
  <c r="Q14" i="93"/>
  <c r="Q17" i="93" s="1"/>
  <c r="R14" i="93"/>
  <c r="R17" i="93" s="1"/>
  <c r="S14" i="93"/>
  <c r="S17" i="93" s="1"/>
  <c r="T14" i="93"/>
  <c r="T17" i="93" s="1"/>
  <c r="U14" i="93"/>
  <c r="U17" i="93" s="1"/>
  <c r="V14" i="93"/>
  <c r="V17" i="93" s="1"/>
  <c r="D9" i="85" l="1"/>
  <c r="E9" i="85"/>
  <c r="F9" i="85"/>
  <c r="G9" i="85"/>
  <c r="H9" i="85"/>
  <c r="I9" i="85"/>
  <c r="J9" i="85"/>
  <c r="K9" i="85"/>
  <c r="L9" i="85"/>
  <c r="M9" i="85"/>
  <c r="N9" i="85"/>
  <c r="O9" i="85"/>
  <c r="AT12" i="82" l="1"/>
  <c r="G10" i="81" l="1"/>
  <c r="H10" i="81"/>
  <c r="I10" i="81"/>
  <c r="J10" i="81"/>
  <c r="K10" i="81"/>
  <c r="L10" i="81"/>
  <c r="M10" i="81"/>
  <c r="N10" i="81"/>
  <c r="O10" i="81"/>
  <c r="P10" i="81"/>
  <c r="Q10" i="81"/>
  <c r="R10" i="81"/>
  <c r="S10" i="81"/>
  <c r="T10" i="81"/>
  <c r="U10" i="81"/>
  <c r="V10" i="81"/>
  <c r="W10" i="81"/>
  <c r="X10" i="81"/>
  <c r="B7" i="74" l="1"/>
  <c r="C7" i="74"/>
  <c r="D7" i="74"/>
  <c r="E7" i="74"/>
  <c r="B7" i="75"/>
  <c r="C7" i="75"/>
  <c r="D7" i="75"/>
  <c r="E7" i="75"/>
  <c r="F7" i="75"/>
  <c r="G7" i="75"/>
  <c r="H7" i="75"/>
  <c r="I7" i="75"/>
  <c r="J7" i="75"/>
  <c r="K7" i="75"/>
  <c r="L7" i="75"/>
  <c r="M7" i="75"/>
  <c r="N7" i="75"/>
  <c r="Y29" i="67" l="1"/>
  <c r="AA29" i="67" s="1"/>
  <c r="Z29" i="67"/>
  <c r="AB29" i="67"/>
  <c r="AC29" i="67"/>
  <c r="AD29" i="67"/>
  <c r="AE29" i="67" l="1"/>
  <c r="AE31" i="67" s="1"/>
  <c r="C7" i="60" l="1"/>
  <c r="D7" i="60"/>
  <c r="E7" i="60"/>
  <c r="F7" i="60"/>
  <c r="B14" i="53" l="1"/>
  <c r="C14" i="53"/>
  <c r="D14" i="53"/>
  <c r="E14" i="53"/>
  <c r="F14" i="53"/>
  <c r="G14" i="53"/>
  <c r="H14" i="53"/>
  <c r="J14" i="53"/>
  <c r="M14" i="53"/>
  <c r="B9" i="57" l="1"/>
  <c r="M9" i="57" l="1"/>
  <c r="N9" i="57"/>
  <c r="O9" i="57"/>
  <c r="H9" i="57"/>
  <c r="P9" i="57"/>
  <c r="Q9" i="57"/>
  <c r="J9" i="57"/>
  <c r="R9" i="57"/>
  <c r="E9" i="57"/>
  <c r="F9" i="57"/>
  <c r="G9" i="57"/>
  <c r="I9" i="57"/>
  <c r="C9" i="57"/>
  <c r="K9" i="57"/>
  <c r="D9" i="57"/>
  <c r="L9" i="57"/>
  <c r="B8" i="57"/>
  <c r="B13" i="48" l="1"/>
  <c r="C13" i="48"/>
  <c r="D13" i="48"/>
  <c r="E13" i="48"/>
  <c r="F13" i="48"/>
  <c r="G13" i="48"/>
  <c r="H13" i="48"/>
  <c r="I13" i="48"/>
  <c r="J13" i="48"/>
  <c r="K13" i="48"/>
  <c r="L13" i="48"/>
  <c r="M13" i="48"/>
  <c r="N13" i="48"/>
  <c r="O13" i="48"/>
  <c r="P13" i="48"/>
  <c r="B14" i="48"/>
  <c r="C14" i="48"/>
  <c r="D14" i="48"/>
  <c r="E14" i="48"/>
  <c r="F14" i="48"/>
  <c r="G14" i="48"/>
  <c r="H14" i="48"/>
  <c r="I14" i="48"/>
  <c r="J14" i="48"/>
  <c r="K14" i="48"/>
  <c r="L14" i="48"/>
  <c r="M14" i="48"/>
  <c r="N14" i="48"/>
  <c r="O14" i="48"/>
  <c r="B15" i="48"/>
  <c r="C15" i="48"/>
  <c r="D15" i="48"/>
  <c r="E15" i="48"/>
  <c r="F15" i="48"/>
  <c r="G15" i="48"/>
  <c r="H15" i="48"/>
  <c r="I15" i="48"/>
  <c r="J15" i="48"/>
  <c r="K15" i="48"/>
  <c r="L15" i="48"/>
  <c r="M15" i="48"/>
  <c r="N15" i="48"/>
  <c r="O15" i="48"/>
  <c r="P15" i="48"/>
  <c r="G6" i="46" l="1"/>
  <c r="F6" i="46"/>
  <c r="E6" i="46"/>
  <c r="D6" i="46"/>
  <c r="C6" i="46"/>
  <c r="B6" i="46"/>
  <c r="O10" i="43" l="1"/>
  <c r="O12" i="43" s="1"/>
  <c r="M10" i="43"/>
  <c r="M12" i="43" s="1"/>
  <c r="K10" i="43"/>
  <c r="K12" i="43" s="1"/>
  <c r="V10" i="43"/>
  <c r="R10" i="43"/>
  <c r="Q10" i="43"/>
  <c r="Q12" i="43" s="1"/>
  <c r="P10" i="43"/>
  <c r="P12" i="43" s="1"/>
  <c r="N10" i="43"/>
  <c r="N12" i="43" s="1"/>
  <c r="U10" i="43"/>
  <c r="S10" i="43"/>
  <c r="H10" i="43"/>
  <c r="H12" i="43" s="1"/>
  <c r="G10" i="43"/>
  <c r="G12" i="43" s="1"/>
  <c r="F10" i="43"/>
  <c r="F12" i="43" s="1"/>
  <c r="E10" i="43"/>
  <c r="E12" i="43" s="1"/>
  <c r="D10" i="43"/>
  <c r="D12" i="43" s="1"/>
  <c r="C10" i="43"/>
  <c r="C12" i="43" s="1"/>
  <c r="B10" i="43"/>
  <c r="B12" i="43" s="1"/>
  <c r="T10" i="43"/>
  <c r="L10" i="43"/>
  <c r="L12" i="43" s="1"/>
  <c r="J10" i="43"/>
  <c r="J12" i="43" s="1"/>
  <c r="I10" i="43"/>
  <c r="I12" i="43" s="1"/>
  <c r="V11" i="43" l="1"/>
  <c r="V12" i="43"/>
  <c r="R11" i="43"/>
  <c r="AB11" i="43" s="1"/>
  <c r="R12" i="43"/>
  <c r="AB10" i="43"/>
  <c r="T11" i="43"/>
  <c r="T12" i="43"/>
  <c r="S11" i="43"/>
  <c r="S12" i="43"/>
  <c r="U11" i="43"/>
  <c r="U12" i="43"/>
  <c r="C12" i="41"/>
  <c r="B12" i="41"/>
  <c r="B5" i="40"/>
  <c r="C5" i="40"/>
  <c r="D5" i="40"/>
  <c r="E5" i="40"/>
  <c r="F5" i="40"/>
  <c r="G5" i="40"/>
  <c r="H5" i="40"/>
  <c r="I5" i="40"/>
  <c r="J5" i="40"/>
  <c r="K5" i="40"/>
  <c r="L5" i="40"/>
  <c r="M5" i="40"/>
  <c r="N5" i="40"/>
  <c r="Q7" i="36" l="1"/>
  <c r="P7" i="36"/>
  <c r="O7" i="36"/>
  <c r="N7" i="36"/>
  <c r="M7" i="36"/>
  <c r="L7" i="36"/>
  <c r="K7" i="36"/>
  <c r="J7" i="36"/>
  <c r="I7" i="36"/>
  <c r="H7" i="36"/>
  <c r="G7" i="36"/>
  <c r="F7" i="36"/>
  <c r="E7" i="36"/>
  <c r="D7" i="36"/>
  <c r="C7" i="36"/>
  <c r="B7" i="36"/>
  <c r="B8" i="35"/>
  <c r="R7" i="31" l="1"/>
  <c r="Q7" i="31"/>
  <c r="P7" i="31"/>
  <c r="O7" i="31"/>
  <c r="N7" i="31"/>
  <c r="M7" i="31"/>
  <c r="L7" i="31"/>
  <c r="K7" i="31"/>
  <c r="J7" i="31"/>
  <c r="I7" i="31"/>
  <c r="H7" i="31"/>
  <c r="G7" i="31"/>
  <c r="F7" i="31"/>
  <c r="E7" i="31"/>
  <c r="D7" i="31"/>
  <c r="C7" i="31"/>
  <c r="B7" i="31"/>
  <c r="R5" i="31"/>
  <c r="Q5" i="31"/>
  <c r="P5" i="31"/>
  <c r="O5" i="31"/>
  <c r="N5" i="31"/>
  <c r="M5" i="31"/>
  <c r="L5" i="31"/>
  <c r="K5" i="31"/>
  <c r="J5" i="31"/>
  <c r="I5" i="31"/>
  <c r="H5" i="31"/>
  <c r="G5" i="31"/>
  <c r="F5" i="31"/>
  <c r="E5" i="31"/>
  <c r="D5" i="31"/>
  <c r="C5" i="31"/>
  <c r="B5" i="31"/>
  <c r="R7" i="30"/>
  <c r="Q7" i="30"/>
  <c r="P7" i="30"/>
  <c r="O7" i="30"/>
  <c r="N7" i="30"/>
  <c r="M7" i="30"/>
  <c r="L7" i="30"/>
  <c r="K7" i="30"/>
  <c r="J7" i="30"/>
  <c r="I7" i="30"/>
  <c r="H7" i="30"/>
  <c r="G7" i="30"/>
  <c r="F7" i="30"/>
  <c r="E7" i="30"/>
  <c r="D7" i="30"/>
  <c r="C7" i="30"/>
  <c r="R5" i="30"/>
  <c r="Q5" i="30"/>
  <c r="P5" i="30"/>
  <c r="O5" i="30"/>
  <c r="N5" i="30"/>
  <c r="M5" i="30"/>
  <c r="L5" i="30"/>
  <c r="E31" i="13" l="1"/>
  <c r="E32" i="13" s="1"/>
  <c r="E30" i="13"/>
  <c r="V22" i="27" l="1"/>
  <c r="V23" i="27" s="1"/>
  <c r="U22" i="27"/>
  <c r="U23" i="27" s="1"/>
  <c r="T22" i="27"/>
  <c r="T23" i="27" s="1"/>
  <c r="S22" i="27"/>
  <c r="S23" i="27" s="1"/>
  <c r="R22" i="27"/>
  <c r="R23" i="27" s="1"/>
  <c r="Q22" i="27"/>
  <c r="Q23" i="27" s="1"/>
  <c r="P22" i="27"/>
  <c r="P23" i="27" s="1"/>
  <c r="O22" i="27"/>
  <c r="O23" i="27" s="1"/>
  <c r="N22" i="27"/>
  <c r="N23" i="27" s="1"/>
  <c r="M22" i="27"/>
  <c r="M23" i="27" s="1"/>
  <c r="L22" i="27"/>
  <c r="L23" i="27" s="1"/>
  <c r="K22" i="27"/>
  <c r="K23" i="27" s="1"/>
  <c r="J22" i="27"/>
  <c r="J23" i="27" s="1"/>
  <c r="I22" i="27"/>
  <c r="I23" i="27" s="1"/>
  <c r="H22" i="27"/>
  <c r="H23" i="27" s="1"/>
  <c r="G22" i="27"/>
  <c r="G23" i="27" s="1"/>
  <c r="F22" i="27"/>
  <c r="F23" i="27" s="1"/>
  <c r="E22" i="27"/>
  <c r="E23" i="27" s="1"/>
  <c r="V21" i="27"/>
  <c r="U21" i="27"/>
  <c r="T21" i="27"/>
  <c r="S21" i="27"/>
  <c r="R21" i="27"/>
  <c r="Q21" i="27"/>
  <c r="P21" i="27"/>
  <c r="O21" i="27"/>
  <c r="N21" i="27"/>
  <c r="H28" i="11" l="1"/>
  <c r="J70" i="10" s="1"/>
  <c r="B10" i="6" l="1"/>
  <c r="B12" i="6" s="1"/>
  <c r="D13" i="8"/>
  <c r="D15" i="8" s="1"/>
  <c r="B13" i="8" l="1"/>
  <c r="B15" i="8" s="1"/>
  <c r="C13" i="8" l="1"/>
  <c r="C15" i="8" s="1"/>
  <c r="B6" i="4" l="1"/>
  <c r="C6" i="4"/>
  <c r="D6" i="4"/>
  <c r="E6" i="4"/>
  <c r="F6" i="4"/>
  <c r="G6" i="4"/>
  <c r="H6" i="4"/>
  <c r="I6" i="4"/>
  <c r="J6" i="4"/>
  <c r="K6" i="4"/>
  <c r="L6" i="4"/>
  <c r="M6" i="4"/>
  <c r="N6" i="4"/>
  <c r="O6" i="4"/>
  <c r="P6" i="4"/>
  <c r="Q6" i="4"/>
  <c r="R6" i="4"/>
  <c r="S6" i="4"/>
  <c r="T6" i="4"/>
  <c r="U6" i="4"/>
  <c r="V6" i="4"/>
  <c r="N7" i="74" l="1"/>
  <c r="M7" i="74"/>
  <c r="V7" i="74"/>
  <c r="L7" i="74"/>
  <c r="I7" i="74"/>
  <c r="Q7" i="74"/>
  <c r="P7" i="74"/>
  <c r="U7" i="74"/>
  <c r="K7" i="74"/>
  <c r="O7" i="74"/>
  <c r="T7" i="74"/>
  <c r="G7" i="74"/>
  <c r="H7" i="74"/>
  <c r="R7" i="74"/>
  <c r="J7" i="74"/>
  <c r="S7" i="74"/>
  <c r="K7" i="60"/>
  <c r="G7" i="60"/>
  <c r="Q7" i="60"/>
  <c r="I7" i="60"/>
  <c r="N7" i="60"/>
  <c r="P7" i="60"/>
  <c r="U7" i="60"/>
  <c r="V7" i="60"/>
  <c r="S7" i="60"/>
  <c r="O7" i="60"/>
  <c r="L7" i="60"/>
  <c r="J7" i="60"/>
  <c r="H7" i="60"/>
  <c r="T7" i="60"/>
  <c r="M7" i="60"/>
  <c r="R7" i="60"/>
  <c r="W14" i="5"/>
  <c r="W17" i="5" s="1"/>
  <c r="W40" i="5"/>
  <c r="W66" i="5"/>
  <c r="W22" i="5"/>
  <c r="W8" i="5"/>
  <c r="W11" i="5" s="1"/>
  <c r="W98" i="5" l="1"/>
  <c r="W103" i="5" s="1"/>
  <c r="W106" i="5" s="1"/>
  <c r="W47" i="5"/>
  <c r="W52" i="5" s="1"/>
  <c r="W69" i="5"/>
  <c r="W101" i="5" s="1"/>
  <c r="W87" i="5"/>
  <c r="W90"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DD</author>
    <author/>
  </authors>
  <commentList>
    <comment ref="A3" authorId="0" shapeId="0" xr:uid="{27F5738B-85ED-FE41-A6F5-C9311FA7EA88}">
      <text>
        <r>
          <rPr>
            <sz val="10"/>
            <color rgb="FF000000"/>
            <rFont val="Aptos Narrow"/>
            <family val="2"/>
          </rPr>
          <t>Private Dwellings occupied by usual residents. Years between census data points are based on CAGR between census, i.e. betweeen the 2016 and 2021 Census of Population. Statistics Canada. 2023. (table). </t>
        </r>
        <r>
          <rPr>
            <i/>
            <sz val="10"/>
            <color rgb="FF000000"/>
            <rFont val="Aptos Narrow"/>
            <family val="2"/>
          </rPr>
          <t>Census Profile</t>
        </r>
        <r>
          <rPr>
            <sz val="10"/>
            <color rgb="FF000000"/>
            <rFont val="Aptos Narrow"/>
            <family val="2"/>
          </rPr>
          <t xml:space="preserve">. 2021 Census of Population. Statistics Canada Catalogue no. 98-316-X2021001. Ottawa. Released March 29, 2023. https://www12.statcan.gc.ca/census-recensement/2021/dp-pd/prof/index.cfm?Lang=E (accessed August 19, 2023) 
</t>
        </r>
      </text>
    </comment>
    <comment ref="A5" authorId="0" shapeId="0" xr:uid="{628A1017-B857-7A43-9B79-F6F7AF1CBE9A}">
      <text>
        <r>
          <rPr>
            <b/>
            <sz val="10"/>
            <color rgb="FF000000"/>
            <rFont val="Tahoma"/>
            <family val="2"/>
          </rPr>
          <t>DD:</t>
        </r>
        <r>
          <rPr>
            <sz val="10"/>
            <color rgb="FF000000"/>
            <rFont val="Tahoma"/>
            <family val="2"/>
          </rPr>
          <t xml:space="preserve">
</t>
        </r>
        <r>
          <rPr>
            <sz val="10"/>
            <color rgb="FF000000"/>
            <rFont val="Tahoma"/>
            <family val="2"/>
          </rPr>
          <t xml:space="preserve">Statistics Canada (2017). Table 203-0021 Survey of household spending (SHS), household spending, Canada, regions and provinces. </t>
        </r>
      </text>
    </comment>
    <comment ref="A9" authorId="0" shapeId="0" xr:uid="{E4093889-7D19-6F4E-B39B-AFAA31B77A5C}">
      <text>
        <r>
          <rPr>
            <sz val="12"/>
            <color rgb="FF000000"/>
            <rFont val="+mn-lt"/>
            <charset val="1"/>
          </rPr>
          <t xml:space="preserve">Includes: Home entertainment equipment and services, computer equipment and supplies, video game systems and accessories, and purchase of telephones and equipment. Statistics Canada. Table 11-10-0222-01  Household spending, Canada, regions and provinces. https://www150.statcan.gc.ca/t1/tbl1/en/tv.action?pid=1110022201
</t>
        </r>
      </text>
    </comment>
    <comment ref="A19" authorId="0" shapeId="0" xr:uid="{33F21112-5031-2747-ADAE-4EFE54D506C3}">
      <text>
        <r>
          <rPr>
            <sz val="10"/>
            <color rgb="FF000000"/>
            <rFont val="Tahoma"/>
            <family val="2"/>
          </rPr>
          <t xml:space="preserve">Includes Communications as defined by Stats Canada, i.e. landline telephone services, cellphone and pager services, and internet access services but excludes purchases of telephones and equipment, Digital services, postal, courier, delivery and other commuications services. </t>
        </r>
        <r>
          <rPr>
            <sz val="10"/>
            <color rgb="FF000000"/>
            <rFont val="Aptos Narrow"/>
            <family val="2"/>
          </rPr>
          <t>Statistics Canada. Table 11-10-0222-01  Household spending, Canada, regions and provinces. https://www150.statcan.gc.ca/t1/tbl1/en/tv.action?pid=1110022201</t>
        </r>
        <r>
          <rPr>
            <sz val="10"/>
            <color rgb="FF000000"/>
            <rFont val="Tahoma"/>
            <family val="2"/>
          </rPr>
          <t>.</t>
        </r>
      </text>
    </comment>
    <comment ref="A20" authorId="0" shapeId="0" xr:uid="{91E89DB3-BAFB-7B46-B1B9-3A61934D295C}">
      <text>
        <r>
          <rPr>
            <sz val="12"/>
            <color rgb="FF000000"/>
            <rFont val="+mn-lt"/>
            <charset val="1"/>
          </rPr>
          <t xml:space="preserve">Includes: Home entertainment equipment and services, computer equipment and supplies, video game systems and accessories, and purchase of telephones and equipment. Statistics Canada. Table 11-10-0222-01  Household spending, Canada, regions and provinces. https://www150.statcan.gc.ca/t1/tbl1/en/tv.action?pid=1110022201
</t>
        </r>
      </text>
    </comment>
    <comment ref="A21" authorId="0" shapeId="0" xr:uid="{53C8FF91-0DFE-1B4C-B25E-3C9D7B53D658}">
      <text>
        <r>
          <rPr>
            <sz val="11"/>
            <color rgb="FF000000"/>
            <rFont val="+mn-lt"/>
            <charset val="1"/>
          </rPr>
          <t xml:space="preserve">Includes: Television and satellite radio services (including installation, service and pay TV charges) until 2010 and then replaced by Cable, satellite and other program distribution services, newspapers, magazines, books (excluding school books), maps, sheet music and other printed matter, cultural services such as live performing arts, admissions to museums, live sporting sporting and performing arts events, and rental of pre-recorded audio and video cassettes, CDs, DVD and video games. 
</t>
        </r>
        <r>
          <rPr>
            <sz val="11"/>
            <color rgb="FF000000"/>
            <rFont val="+mn-lt"/>
            <charset val="1"/>
          </rPr>
          <t xml:space="preserve">Statistics Canada. Table 11-10-0222-01  Household spending, Canada, regions and provinces. </t>
        </r>
        <r>
          <rPr>
            <u/>
            <sz val="11"/>
            <color rgb="FF000000"/>
            <rFont val="+mn-lt"/>
            <charset val="1"/>
          </rPr>
          <t>https://www150.statcan.gc.ca/t1/tbl1/en/tv.action?pid=1110022201</t>
        </r>
        <r>
          <rPr>
            <sz val="11"/>
            <color rgb="FF000000"/>
            <rFont val="+mn-lt"/>
            <charset val="1"/>
          </rPr>
          <t xml:space="preserve">; Statistics Canada. Table 36-10-0124-01  Detailed household final consumption expenditure, Canada, quarterly (x 1,000,000). </t>
        </r>
        <r>
          <rPr>
            <u/>
            <sz val="11"/>
            <color rgb="FF000000"/>
            <rFont val="+mn-lt"/>
            <charset val="1"/>
          </rPr>
          <t>https://www150.statcan.gc.ca/t1/tbl1/en/tv.action?pid=3610012401</t>
        </r>
        <r>
          <rPr>
            <sz val="11"/>
            <color rgb="FF000000"/>
            <rFont val="+mn-lt"/>
            <charset val="1"/>
          </rPr>
          <t xml:space="preserve"> 
</t>
        </r>
      </text>
    </comment>
    <comment ref="S21" authorId="0" shapeId="0" xr:uid="{05F03143-E3EE-BA43-898D-3CC6B7CC4862}">
      <text>
        <r>
          <rPr>
            <sz val="10"/>
            <color rgb="FF000000"/>
            <rFont val="Aptos Narrow"/>
            <family val="2"/>
          </rPr>
          <t xml:space="preserve">Statistics Canada. Table 11-10-0222-01  Household spending, Canada, regions and provinces. https://www150.statcan.gc.ca/t1/tbl1/en/tv.action?pid=1110022201
</t>
        </r>
      </text>
    </comment>
    <comment ref="T21" authorId="0" shapeId="0" xr:uid="{F35932F6-1E48-C047-A70D-CF60BEDBC0F5}">
      <text>
        <r>
          <rPr>
            <sz val="12"/>
            <color rgb="FF000000"/>
            <rFont val="+mn-lt"/>
            <charset val="1"/>
          </rPr>
          <t xml:space="preserve">Statistics Canada. Table 11-10-0222-01  Household spending, Canada, regions and provinces. https://www150.statcan.gc.ca/t1/tbl1/en/tv.action?pid=1110022201
</t>
        </r>
      </text>
    </comment>
    <comment ref="U21" authorId="0" shapeId="0" xr:uid="{95B8A729-5A51-2D4E-846A-5AAF015C24EA}">
      <text>
        <r>
          <rPr>
            <sz val="12"/>
            <color rgb="FF000000"/>
            <rFont val="+mn-lt"/>
            <charset val="1"/>
          </rPr>
          <t xml:space="preserve">Statistics Canada. Table 11-10-0222-01  Household spending, Canada, regions and provinces. https://www150.statcan.gc.ca/t1/tbl1/en/tv.action?pid=1110022201
</t>
        </r>
      </text>
    </comment>
    <comment ref="V21" authorId="0" shapeId="0" xr:uid="{6CC2FDCF-835B-494E-9BAC-43BC188AFB50}">
      <text>
        <r>
          <rPr>
            <sz val="10"/>
            <color rgb="FF000000"/>
            <rFont val="Calibri"/>
            <family val="2"/>
          </rPr>
          <t xml:space="preserve"> Statistics Canada. Table 11-10-0222-01  Household spending, Canada, regions and provinces. https://www150.statcan.gc.ca/t1/tbl1/en/tv.action?pid=1110022201</t>
        </r>
      </text>
    </comment>
    <comment ref="U25" authorId="1" shapeId="0" xr:uid="{21CF6F62-4363-3744-ABD4-F1BFBDD8E1CF}">
      <text>
        <r>
          <rPr>
            <sz val="10"/>
            <color rgb="FF000000"/>
            <rFont val="Tahoma"/>
            <family val="2"/>
          </rPr>
          <t xml:space="preserve">Statistics Canada (Aug. 30, 2024). Table 36-10-0124-01) Detailed household final consumption expenditure, Canada, quarterly (x 1,000,000). https://www150.statcan.gc.ca/t1/tbl1/en/tv.action?pid=3610012401
</t>
        </r>
      </text>
    </comment>
    <comment ref="V25" authorId="1" shapeId="0" xr:uid="{C9E16E64-7B84-DE46-A90C-72FE0656CA98}">
      <text>
        <r>
          <rPr>
            <sz val="10"/>
            <color rgb="FF000000"/>
            <rFont val="Tahoma"/>
            <family val="2"/>
          </rPr>
          <t>Statistics Canada. Table 11-10-0222-01  Household spending, Canada, regions and provinces. https://www150.statcan.gc.ca/t1/tbl1/en/tv.action?pid=1110022201</t>
        </r>
      </text>
    </comment>
    <comment ref="W25" authorId="0" shapeId="0" xr:uid="{8F67B296-4498-7044-8891-4080C3550AF7}">
      <text>
        <r>
          <rPr>
            <sz val="10"/>
            <color rgb="FF000000"/>
            <rFont val="Aptos Narrow"/>
            <family val="2"/>
            <scheme val="minor"/>
          </rPr>
          <t xml:space="preserve">Statistics Canada. Table 11-10-0222-01  Household spending, Canada, regions and provinces. https://www150.statcan.gc.ca/t1/tbl1/en/tv.action?pid=1110022201 up to 2023. Estimate for 2024 based on decline of 1.5% based on decline in ARPU reported by CRTC Communication Market Reports. Tab MB-I8: Highlights of retail mobile financial performance, 2017-2024. </t>
        </r>
        <r>
          <rPr>
            <sz val="10"/>
            <color rgb="FF000000"/>
            <rFont val="Aptos Narrow"/>
            <family val="2"/>
            <scheme val="minor"/>
          </rPr>
          <t xml:space="preserve">
</t>
        </r>
      </text>
    </comment>
    <comment ref="U26" authorId="1" shapeId="0" xr:uid="{6FF51F46-35B0-B745-9213-D48BA16100FC}">
      <text>
        <r>
          <rPr>
            <sz val="10"/>
            <color rgb="FF000000"/>
            <rFont val="Tahoma"/>
            <family val="2"/>
          </rPr>
          <t xml:space="preserve">Statistics Canada (Aug. 30, 2024). Table 36-10-0124-01) Detailed household final consumption expenditure, Canada, quarterly (x 1,000,000). https://www150.statcan.gc.ca/t1/tbl1/en/tv.action?pid=3610012401
</t>
        </r>
      </text>
    </comment>
    <comment ref="A30" authorId="0" shapeId="0" xr:uid="{05CB4FD4-B836-E34E-811F-3A2A85173399}">
      <text>
        <r>
          <rPr>
            <b/>
            <sz val="10"/>
            <color rgb="FF000000"/>
            <rFont val="Tahoma"/>
            <family val="2"/>
          </rPr>
          <t>DD:</t>
        </r>
        <r>
          <rPr>
            <sz val="10"/>
            <color rgb="FF000000"/>
            <rFont val="Tahoma"/>
            <family val="2"/>
          </rPr>
          <t xml:space="preserve">
</t>
        </r>
        <r>
          <rPr>
            <sz val="10"/>
            <color rgb="FF000000"/>
            <rFont val="Tahoma"/>
            <family val="2"/>
          </rPr>
          <t xml:space="preserve">1982 and 1986 based on 1984 and 1988 data. </t>
        </r>
      </text>
    </comment>
    <comment ref="A31" authorId="0" shapeId="0" xr:uid="{E318B69A-8C9F-F442-855A-BF4297609AA7}">
      <text>
        <r>
          <rPr>
            <sz val="11"/>
            <color rgb="FF000000"/>
            <rFont val="+mn-lt"/>
            <charset val="1"/>
          </rPr>
          <t xml:space="preserve">Includes: Television and satellite radio services (including installation, service and pay TV charges) until 2010 and then replaced by Cable, satellite and other program distribution services, newspapers, magazines, books (excluding school books), maps, sheet music and other printed matter, cultural services such as live performing arts, admissions to museums, live sporting sporting and performing arts events, and rental of pre-recorded audio and video cassettes, CDs, DVD and video games. 
</t>
        </r>
        <r>
          <rPr>
            <sz val="11"/>
            <color rgb="FF000000"/>
            <rFont val="+mn-lt"/>
            <charset val="1"/>
          </rPr>
          <t xml:space="preserve">In this row, traditional BDU services have been removed and presented elsewhere on a stand-alone basis to (a) reveal spending on online media services such as Netflix, Crave and Spotify and (b) present spending on traditional BDU services on a stand-alone basis). 
</t>
        </r>
        <r>
          <rPr>
            <sz val="11"/>
            <color rgb="FF000000"/>
            <rFont val="+mn-lt"/>
            <charset val="1"/>
          </rPr>
          <t xml:space="preserve">Statistics Canada. Table 11-10-0222-01  Household spending, Canada, regions and provinces. </t>
        </r>
        <r>
          <rPr>
            <u/>
            <sz val="11"/>
            <color rgb="FF000000"/>
            <rFont val="+mn-lt"/>
            <charset val="1"/>
          </rPr>
          <t>https://www150.statcan.gc.ca/t1/tbl1/en/tv.action?pid=1110022201</t>
        </r>
        <r>
          <rPr>
            <sz val="11"/>
            <color rgb="FF000000"/>
            <rFont val="+mn-lt"/>
            <charset val="1"/>
          </rPr>
          <t xml:space="preserve">; Statistics Canada. Table 36-10-0124-01  Detailed household final consumption expenditure, Canada, quarterly (x 1,000,000). </t>
        </r>
        <r>
          <rPr>
            <u/>
            <sz val="11"/>
            <color rgb="FF000000"/>
            <rFont val="+mn-lt"/>
            <charset val="1"/>
          </rPr>
          <t>https://www150.statcan.gc.ca/t1/tbl1/en/tv.action?pid=3610012401</t>
        </r>
        <r>
          <rPr>
            <sz val="11"/>
            <color rgb="FF000000"/>
            <rFont val="+mn-lt"/>
            <charset val="1"/>
          </rPr>
          <t xml:space="preserve"> 
</t>
        </r>
      </text>
    </comment>
    <comment ref="E33" authorId="1" shapeId="0" xr:uid="{82FECCDC-7EA2-4D46-A467-A79539347266}">
      <text>
        <r>
          <rPr>
            <sz val="10"/>
            <color rgb="FF000000"/>
            <rFont val="Verdana"/>
            <family val="2"/>
          </rPr>
          <t>CBC AR 1996-1997, p. 54.</t>
        </r>
      </text>
    </comment>
    <comment ref="F33" authorId="1" shapeId="0" xr:uid="{4456E655-114E-0E4F-9FDD-77240F20082B}">
      <text>
        <r>
          <rPr>
            <sz val="10"/>
            <color rgb="FF000000"/>
            <rFont val="Verdana"/>
            <family val="2"/>
          </rPr>
          <t>CBC AR 2000-2001, 46.</t>
        </r>
      </text>
    </comment>
    <comment ref="H33" authorId="1" shapeId="0" xr:uid="{230F304D-DB11-DB4D-9B5B-6234F873D98D}">
      <text>
        <r>
          <rPr>
            <sz val="10"/>
            <color rgb="FF000000"/>
            <rFont val="Verdana"/>
            <family val="2"/>
          </rPr>
          <t xml:space="preserve">original value 1096.0, CBC AR 2008-2009, vol. 2, p. 31.
</t>
        </r>
        <r>
          <rPr>
            <sz val="10"/>
            <color rgb="FF000000"/>
            <rFont val="Verdana"/>
            <family val="2"/>
          </rPr>
          <t xml:space="preserve">
</t>
        </r>
        <r>
          <rPr>
            <sz val="10"/>
            <color rgb="FF000000"/>
            <rFont val="Verdana"/>
            <family val="2"/>
          </rPr>
          <t xml:space="preserve">revision: CBC AR 2008-2009, p. 46
</t>
        </r>
        <r>
          <rPr>
            <sz val="10"/>
            <color rgb="FF000000"/>
            <rFont val="Verdana"/>
            <family val="2"/>
          </rPr>
          <t xml:space="preserve">
</t>
        </r>
        <r>
          <rPr>
            <sz val="10"/>
            <color rgb="FF000000"/>
            <rFont val="Verdana"/>
            <family val="2"/>
          </rPr>
          <t>https://site-cbc.radio-canada.ca/documents/impact-and-accountability/finances/2008-2009-ar.pdf</t>
        </r>
      </text>
    </comment>
    <comment ref="I33" authorId="1" shapeId="0" xr:uid="{11E9E5E9-D682-4041-9DE3-1878574F5346}">
      <text>
        <r>
          <rPr>
            <sz val="10"/>
            <color rgb="FF000000"/>
            <rFont val="Verdana"/>
            <family val="2"/>
          </rPr>
          <t>CBC, AR 2010-2011, p. 44.</t>
        </r>
      </text>
    </comment>
    <comment ref="J33" authorId="1" shapeId="0" xr:uid="{0E3F1A9F-095D-874C-AC3F-B42BCC9C9FBA}">
      <text>
        <r>
          <rPr>
            <sz val="10"/>
            <color rgb="FF000000"/>
            <rFont val="Verdana"/>
            <family val="2"/>
          </rPr>
          <t>CBC, AR 2010-2011, p. 44.</t>
        </r>
      </text>
    </comment>
    <comment ref="K33" authorId="1" shapeId="0" xr:uid="{8C38AE80-73D5-3748-B53C-84C5DB97103E}">
      <text>
        <r>
          <rPr>
            <sz val="10"/>
            <color rgb="FF000000"/>
            <rFont val="Verdana"/>
            <family val="2"/>
          </rPr>
          <t>CBC AR 2012-2013, p. 78.</t>
        </r>
      </text>
    </comment>
    <comment ref="L33" authorId="1" shapeId="0" xr:uid="{727A0404-6A66-7D4A-8333-F882B3BD20BC}">
      <text>
        <r>
          <rPr>
            <sz val="10"/>
            <color rgb="FF000000"/>
            <rFont val="Verdana"/>
            <family val="2"/>
          </rPr>
          <t>CBC AR 2012-2013, p. 78.</t>
        </r>
      </text>
    </comment>
    <comment ref="M33" authorId="1" shapeId="0" xr:uid="{0A7E7321-35C4-2C4C-8C68-D5AF07969379}">
      <text>
        <r>
          <rPr>
            <sz val="10"/>
            <color rgb="FF000000"/>
            <rFont val="Verdana"/>
            <family val="2"/>
          </rPr>
          <t>CBC AR 2013-2014, p. 59.</t>
        </r>
      </text>
    </comment>
    <comment ref="N33" authorId="1" shapeId="0" xr:uid="{C0E84E2C-7DC3-0C4C-AADE-367C1B0D6C00}">
      <text>
        <r>
          <rPr>
            <sz val="10"/>
            <color rgb="FF000000"/>
            <rFont val="Verdana"/>
            <family val="2"/>
          </rPr>
          <t>CBC AR 2014-2015, p.73.</t>
        </r>
      </text>
    </comment>
    <comment ref="O33" authorId="1" shapeId="0" xr:uid="{C5EA4315-7328-4443-8EC1-68BA998613D2}">
      <text>
        <r>
          <rPr>
            <sz val="10"/>
            <color rgb="FF000000"/>
            <rFont val="Verdana"/>
            <family val="2"/>
          </rPr>
          <t>CBC AR 2015-2016, p. 51.</t>
        </r>
      </text>
    </comment>
    <comment ref="P33" authorId="1" shapeId="0" xr:uid="{EE355B51-8CA3-7A4E-B30F-A605FF2ACD9E}">
      <text>
        <r>
          <rPr>
            <sz val="10"/>
            <color rgb="FF000000"/>
            <rFont val="Verdana"/>
            <family val="2"/>
          </rPr>
          <t>CBC AR 2016-2017, pp. 39-44. The federal government invested "an additional $75 million in 2016-2017 and $150 million per year thereafter on an ongoing basis" (p. 36). New $ began to flow this year.</t>
        </r>
      </text>
    </comment>
    <comment ref="Q33" authorId="1" shapeId="0" xr:uid="{99FA2951-1E46-8644-BE14-1BFB854D9ED2}">
      <text>
        <r>
          <rPr>
            <sz val="10"/>
            <color rgb="FF000000"/>
            <rFont val="Verdana"/>
            <family val="2"/>
          </rPr>
          <t>CBC AR 2017-2018, p. 34. The federal government invested "an additional $75 million in 2016-2017  (p. 36). That figure rose $150 million per year beginning in the 2017/8 operating year and is slated to continue for the next four years.</t>
        </r>
      </text>
    </comment>
    <comment ref="R33" authorId="1" shapeId="0" xr:uid="{ADC8C723-CAF5-CA4B-AA66-02B937CBA732}">
      <text>
        <r>
          <rPr>
            <sz val="10"/>
            <color rgb="FF000000"/>
            <rFont val="Verdana"/>
            <family val="2"/>
          </rPr>
          <t>CBC AR 2018-19, p. 4.</t>
        </r>
      </text>
    </comment>
    <comment ref="S33" authorId="1" shapeId="0" xr:uid="{23AEC5E4-95EF-BA42-A3AC-54DE907062B4}">
      <text>
        <r>
          <rPr>
            <sz val="10"/>
            <color rgb="FF000000"/>
            <rFont val="Verdana"/>
            <family val="2"/>
          </rPr>
          <t>CBC AR 2019-20, p. 36.</t>
        </r>
      </text>
    </comment>
    <comment ref="T33" authorId="1" shapeId="0" xr:uid="{10774039-D95E-CF45-AD6D-AC072D56AC39}">
      <text>
        <r>
          <rPr>
            <sz val="10"/>
            <color rgb="FF000000"/>
            <rFont val="Verdana"/>
            <family val="2"/>
          </rPr>
          <t>CBC AR 2020-21, p. 32.</t>
        </r>
      </text>
    </comment>
    <comment ref="U35" authorId="1" shapeId="0" xr:uid="{85B05B74-12BC-6942-B3D0-36D312AB8404}">
      <text>
        <r>
          <rPr>
            <sz val="10"/>
            <color rgb="FF000000"/>
            <rFont val="Verdana"/>
            <family val="2"/>
          </rPr>
          <t>C3CBC AR 2021-22, p. 39.</t>
        </r>
      </text>
    </comment>
    <comment ref="A58" authorId="0" shapeId="0" xr:uid="{D848ED2D-A51D-E549-B7E3-66EF5649A05B}">
      <text>
        <r>
          <rPr>
            <b/>
            <sz val="10"/>
            <color rgb="FF000000"/>
            <rFont val="Tahoma"/>
            <family val="2"/>
          </rPr>
          <t>DD:</t>
        </r>
        <r>
          <rPr>
            <sz val="10"/>
            <color rgb="FF000000"/>
            <rFont val="Tahoma"/>
            <family val="2"/>
          </rPr>
          <t xml:space="preserve">
</t>
        </r>
        <r>
          <rPr>
            <sz val="10"/>
            <color rgb="FF000000"/>
            <rFont val="Tahoma"/>
            <family val="2"/>
          </rPr>
          <t xml:space="preserve">1982 and 1986 based on 1984 and 1988 data. </t>
        </r>
      </text>
    </comment>
    <comment ref="A59" authorId="0" shapeId="0" xr:uid="{E32BB52B-6D51-7546-8245-EFF9F04DA43E}">
      <text>
        <r>
          <rPr>
            <sz val="12"/>
            <color rgb="FF000000"/>
            <rFont val="+mn-lt"/>
            <charset val="1"/>
          </rPr>
          <t>Includes: Cinema, recording media such as CDs, DVDs, casette tapes, etc., books, newspapers, magazines and other printed matter, cultural services such as live performing arts, admissions to museums, live music and sporting sporting events, pre-recorded audio and video cassettes, CDs, DVD and video games. Cable, satellite and other program distribution services are included but traditional BDU services have been removed and presented elsewhere on a stand-alone basis to (a) reveal spending on online media services such as Netflix, Crave and Spotify and (b) present spending on traditional BDU services on a stand-alone basis).</t>
        </r>
      </text>
    </comment>
    <comment ref="E61" authorId="1" shapeId="0" xr:uid="{C55F6C47-A1C4-1C47-A61B-BC3B229D9787}">
      <text>
        <r>
          <rPr>
            <sz val="10"/>
            <color rgb="FF000000"/>
            <rFont val="Verdana"/>
            <family val="2"/>
          </rPr>
          <t>CBC AR 1996-1997, p. 54.</t>
        </r>
      </text>
    </comment>
    <comment ref="F61" authorId="1" shapeId="0" xr:uid="{50B3B226-C126-C14C-98E2-F439F430B4E7}">
      <text>
        <r>
          <rPr>
            <sz val="10"/>
            <color rgb="FF000000"/>
            <rFont val="Verdana"/>
            <family val="2"/>
          </rPr>
          <t>CBC AR 2000-2001, 46.</t>
        </r>
      </text>
    </comment>
    <comment ref="H61" authorId="1" shapeId="0" xr:uid="{FC99C7E8-0E9A-3E47-BF93-7B5718C244FC}">
      <text>
        <r>
          <rPr>
            <sz val="10"/>
            <color rgb="FF000000"/>
            <rFont val="Verdana"/>
            <family val="2"/>
          </rPr>
          <t xml:space="preserve">original value 1096.0, CBC AR 2008-2009, vol. 2, p. 31.
</t>
        </r>
        <r>
          <rPr>
            <sz val="10"/>
            <color rgb="FF000000"/>
            <rFont val="Verdana"/>
            <family val="2"/>
          </rPr>
          <t xml:space="preserve">
</t>
        </r>
        <r>
          <rPr>
            <sz val="10"/>
            <color rgb="FF000000"/>
            <rFont val="Verdana"/>
            <family val="2"/>
          </rPr>
          <t xml:space="preserve">revision: CBC AR 2008-2009, p. 46
</t>
        </r>
        <r>
          <rPr>
            <sz val="10"/>
            <color rgb="FF000000"/>
            <rFont val="Verdana"/>
            <family val="2"/>
          </rPr>
          <t xml:space="preserve">
</t>
        </r>
        <r>
          <rPr>
            <sz val="10"/>
            <color rgb="FF000000"/>
            <rFont val="Verdana"/>
            <family val="2"/>
          </rPr>
          <t>https://site-cbc.radio-canada.ca/documents/impact-and-accountability/finances/2008-2009-ar.pdf</t>
        </r>
      </text>
    </comment>
    <comment ref="I61" authorId="1" shapeId="0" xr:uid="{35F079D8-CFFE-F749-86F4-FACF9351B794}">
      <text>
        <r>
          <rPr>
            <sz val="10"/>
            <color rgb="FF000000"/>
            <rFont val="Verdana"/>
            <family val="2"/>
          </rPr>
          <t>CBC, AR 2010-2011, p. 44.</t>
        </r>
      </text>
    </comment>
    <comment ref="J61" authorId="1" shapeId="0" xr:uid="{F77A03D8-CAC0-E342-90A8-C6E18F1EE6C3}">
      <text>
        <r>
          <rPr>
            <sz val="10"/>
            <color rgb="FF000000"/>
            <rFont val="Verdana"/>
            <family val="2"/>
          </rPr>
          <t>CBC, AR 2010-2011, p. 44.</t>
        </r>
      </text>
    </comment>
    <comment ref="K61" authorId="1" shapeId="0" xr:uid="{26715839-98B6-B04B-8F01-31DA3E307420}">
      <text>
        <r>
          <rPr>
            <sz val="10"/>
            <color rgb="FF000000"/>
            <rFont val="Verdana"/>
            <family val="2"/>
          </rPr>
          <t>CBC AR 2012-2013, p. 78.</t>
        </r>
      </text>
    </comment>
    <comment ref="L61" authorId="1" shapeId="0" xr:uid="{09177E86-333D-8740-B2B2-F9A4B4363DB5}">
      <text>
        <r>
          <rPr>
            <sz val="10"/>
            <color rgb="FF000000"/>
            <rFont val="Verdana"/>
            <family val="2"/>
          </rPr>
          <t>CBC AR 2012-2013, p. 78.</t>
        </r>
      </text>
    </comment>
    <comment ref="M61" authorId="1" shapeId="0" xr:uid="{110DEB39-7B0C-4B4A-935C-03D40F8416A4}">
      <text>
        <r>
          <rPr>
            <sz val="10"/>
            <color rgb="FF000000"/>
            <rFont val="Verdana"/>
            <family val="2"/>
          </rPr>
          <t>CBC AR 2013-2014, p. 59.</t>
        </r>
      </text>
    </comment>
    <comment ref="N61" authorId="1" shapeId="0" xr:uid="{96E20F37-5EF8-DA45-A5ED-4BE9701D9AC2}">
      <text>
        <r>
          <rPr>
            <sz val="10"/>
            <color rgb="FF000000"/>
            <rFont val="Verdana"/>
            <family val="2"/>
          </rPr>
          <t>CBC AR 2014-2015, p.73.</t>
        </r>
      </text>
    </comment>
    <comment ref="O61" authorId="1" shapeId="0" xr:uid="{57E18CA3-B8A5-BF4B-8AD3-9AB42AACC9A8}">
      <text>
        <r>
          <rPr>
            <sz val="10"/>
            <color rgb="FF000000"/>
            <rFont val="Verdana"/>
            <family val="2"/>
          </rPr>
          <t>CBC AR 2015-2016, p. 51.</t>
        </r>
      </text>
    </comment>
    <comment ref="P61" authorId="1" shapeId="0" xr:uid="{F2CA8F91-5685-F246-8E79-FCD2583F8B23}">
      <text>
        <r>
          <rPr>
            <sz val="10"/>
            <color rgb="FF000000"/>
            <rFont val="Verdana"/>
            <family val="2"/>
          </rPr>
          <t>CBC AR 2016-2017, pp. 39-44. The federal government invested "an additional $75 million in 2016-2017 and $150 million per year thereafter on an ongoing basis" (p. 36). New $ began to flow this year.</t>
        </r>
      </text>
    </comment>
    <comment ref="Q61" authorId="1" shapeId="0" xr:uid="{C69CB8DA-C379-6D4E-A561-DAE922A864C5}">
      <text>
        <r>
          <rPr>
            <sz val="10"/>
            <color rgb="FF000000"/>
            <rFont val="Verdana"/>
            <family val="2"/>
          </rPr>
          <t>CBC AR 2017-2018, p. 34. The federal government invested "an additional $75 million in 2016-2017  (p. 36). That figure rose $150 million per year beginning in the 2017/8 operating year and is slated to continue for the next four years.</t>
        </r>
      </text>
    </comment>
    <comment ref="R61" authorId="1" shapeId="0" xr:uid="{F6AC7742-C5F7-B94D-BDE3-FF40D1E21F1C}">
      <text>
        <r>
          <rPr>
            <sz val="10"/>
            <color rgb="FF000000"/>
            <rFont val="Verdana"/>
            <family val="2"/>
          </rPr>
          <t>CBC AR 2018-19, p. 4.</t>
        </r>
      </text>
    </comment>
    <comment ref="S61" authorId="1" shapeId="0" xr:uid="{118283D5-B3E5-CC4F-B570-0A76D540FED1}">
      <text>
        <r>
          <rPr>
            <sz val="10"/>
            <color rgb="FF000000"/>
            <rFont val="Verdana"/>
            <family val="2"/>
          </rPr>
          <t>CBC AR 2019-20, p. 36.</t>
        </r>
      </text>
    </comment>
    <comment ref="T61" authorId="1" shapeId="0" xr:uid="{32811728-26E0-4C40-BB19-307FC9CAD50E}">
      <text>
        <r>
          <rPr>
            <sz val="10"/>
            <color rgb="FF000000"/>
            <rFont val="Verdana"/>
            <family val="2"/>
          </rPr>
          <t>CBC AR 2020-21, p. 32.</t>
        </r>
      </text>
    </comment>
    <comment ref="A66" authorId="0" shapeId="0" xr:uid="{1F748E7C-D468-1445-B952-BA2712E086EF}">
      <text>
        <r>
          <rPr>
            <sz val="10"/>
            <color rgb="FF000000"/>
            <rFont val="Tahoma"/>
            <family val="2"/>
          </rPr>
          <t xml:space="preserve">Includes Communications as defined by Stats Canada, i.e. landline telephone services, cellphone and pager services, and internet access services but excludes purchases of telephones and equipment, Digital services, postal, courier, delivery and other commuications services. </t>
        </r>
        <r>
          <rPr>
            <sz val="10"/>
            <color rgb="FF000000"/>
            <rFont val="Aptos Narrow"/>
            <family val="2"/>
          </rPr>
          <t>Statistics Canada. Table 11-10-0222-01  Household spending, Canada, regions and provinces. https://www150.statcan.gc.ca/t1/tbl1/en/tv.action?pid=1110022201</t>
        </r>
        <r>
          <rPr>
            <sz val="10"/>
            <color rgb="FF000000"/>
            <rFont val="Tahoma"/>
            <family val="2"/>
          </rPr>
          <t>.</t>
        </r>
      </text>
    </comment>
    <comment ref="A67" authorId="0" shapeId="0" xr:uid="{B93F509F-DE3B-5441-8006-CC0D3EAE2517}">
      <text>
        <r>
          <rPr>
            <sz val="12"/>
            <color rgb="FF000000"/>
            <rFont val="+mn-lt"/>
            <charset val="1"/>
          </rPr>
          <t xml:space="preserve">Includes: Home entertainment equipment and services, computer equipment and supplies, video game systems and accessories, and purchase of telephones and equipment. Statistics Canada. Table 11-10-0222-01  Household spending, Canada, regions and provinces. https://www150.statcan.gc.ca/t1/tbl1/en/tv.action?pid=1110022201
</t>
        </r>
      </text>
    </comment>
    <comment ref="A68" authorId="0" shapeId="0" xr:uid="{EF30927C-D123-AC41-B721-05F9C6335A13}">
      <text>
        <r>
          <rPr>
            <sz val="11"/>
            <color rgb="FF000000"/>
            <rFont val="+mn-lt"/>
            <charset val="1"/>
          </rPr>
          <t xml:space="preserve">Includes: Television and satellite radio services (including installation, service and pay TV charges) until 2010 and then replaced by Cable, satellite and other program distribution services, newspapers, magazines, books (excluding school books), maps, sheet music and other printed matter, cultural services such as live performing arts, admissions to museums, live sporting sporting and performing arts events, and rental of pre-recorded audio and video cassettes, CDs, DVD and video games. 
</t>
        </r>
        <r>
          <rPr>
            <sz val="11"/>
            <color rgb="FF000000"/>
            <rFont val="+mn-lt"/>
            <charset val="1"/>
          </rPr>
          <t xml:space="preserve">Statistics Canada. Table 11-10-0222-01  Household spending, Canada, regions and provinces. </t>
        </r>
        <r>
          <rPr>
            <u/>
            <sz val="11"/>
            <color rgb="FF000000"/>
            <rFont val="+mn-lt"/>
            <charset val="1"/>
          </rPr>
          <t>https://www150.statcan.gc.ca/t1/tbl1/en/tv.action?pid=1110022201</t>
        </r>
        <r>
          <rPr>
            <sz val="11"/>
            <color rgb="FF000000"/>
            <rFont val="+mn-lt"/>
            <charset val="1"/>
          </rPr>
          <t xml:space="preserve">; Statistics Canada. Table 36-10-0124-01  Detailed household final consumption expenditure, Canada, quarterly (x 1,000,000). </t>
        </r>
        <r>
          <rPr>
            <u/>
            <sz val="11"/>
            <color rgb="FF000000"/>
            <rFont val="+mn-lt"/>
            <charset val="1"/>
          </rPr>
          <t>https://www150.statcan.gc.ca/t1/tbl1/en/tv.action?pid=3610012401</t>
        </r>
        <r>
          <rPr>
            <sz val="11"/>
            <color rgb="FF000000"/>
            <rFont val="+mn-lt"/>
            <charset val="1"/>
          </rPr>
          <t xml:space="preserve"> 
</t>
        </r>
      </text>
    </comment>
    <comment ref="S68" authorId="0" shapeId="0" xr:uid="{F5A14FFB-9C6B-444E-9722-27049E977A2E}">
      <text>
        <r>
          <rPr>
            <sz val="10"/>
            <color rgb="FF000000"/>
            <rFont val="Aptos Narrow"/>
            <family val="2"/>
          </rPr>
          <t xml:space="preserve">Statistics Canada. Table 11-10-0222-01  Household spending, Canada, regions and provinces. https://www150.statcan.gc.ca/t1/tbl1/en/tv.action?pid=1110022201
</t>
        </r>
      </text>
    </comment>
    <comment ref="T68" authorId="0" shapeId="0" xr:uid="{70296D77-2BFF-1A45-B618-4812C046FA7C}">
      <text>
        <r>
          <rPr>
            <sz val="12"/>
            <color rgb="FF000000"/>
            <rFont val="+mn-lt"/>
            <charset val="1"/>
          </rPr>
          <t xml:space="preserve">Statistics Canada. Table 11-10-0222-01  Household spending, Canada, regions and provinces. https://www150.statcan.gc.ca/t1/tbl1/en/tv.action?pid=1110022201
</t>
        </r>
      </text>
    </comment>
    <comment ref="U68" authorId="0" shapeId="0" xr:uid="{B44EC51A-C4B7-554B-BCDF-959A7C56FAAE}">
      <text>
        <r>
          <rPr>
            <sz val="12"/>
            <color rgb="FF000000"/>
            <rFont val="+mn-lt"/>
            <charset val="1"/>
          </rPr>
          <t xml:space="preserve">Statistics Canada. Table 11-10-0222-01  Household spending, Canada, regions and provinces. https://www150.statcan.gc.ca/t1/tbl1/en/tv.action?pid=1110022201
</t>
        </r>
      </text>
    </comment>
    <comment ref="V68" authorId="0" shapeId="0" xr:uid="{AF6FD85E-B0E2-BA43-ADFC-BC5DF7DE7F84}">
      <text>
        <r>
          <rPr>
            <sz val="10"/>
            <color rgb="FF000000"/>
            <rFont val="Calibri"/>
            <family val="2"/>
          </rPr>
          <t xml:space="preserve"> Statistics Canada. Table 11-10-0222-01  Household spending, Canada, regions and provinces. https://www150.statcan.gc.ca/t1/tbl1/en/tv.action?pid=1110022201</t>
        </r>
      </text>
    </comment>
    <comment ref="U72" authorId="1" shapeId="0" xr:uid="{DE5EE3F0-65D9-0C40-A618-1C411B19F335}">
      <text>
        <r>
          <rPr>
            <sz val="10"/>
            <color rgb="FF000000"/>
            <rFont val="Tahoma"/>
            <family val="2"/>
          </rPr>
          <t xml:space="preserve">Statistics Canada (Aug. 30, 2024). Table 36-10-0124-01) Detailed household final consumption expenditure, Canada, quarterly (x 1,000,000). https://www150.statcan.gc.ca/t1/tbl1/en/tv.action?pid=3610012401
</t>
        </r>
      </text>
    </comment>
    <comment ref="V72" authorId="1" shapeId="0" xr:uid="{D6154591-4D54-CA45-AB72-672B0CB5AB01}">
      <text>
        <r>
          <rPr>
            <sz val="10"/>
            <color rgb="FF000000"/>
            <rFont val="Tahoma"/>
            <family val="2"/>
          </rPr>
          <t>Statistics Canada. Table 11-10-0222-01  Household spending, Canada, regions and provinces. https://www150.statcan.gc.ca/t1/tbl1/en/tv.action?pid=1110022201</t>
        </r>
      </text>
    </comment>
    <comment ref="W72" authorId="0" shapeId="0" xr:uid="{6B1F3BAF-FF03-C34B-9253-71C4870A37A7}">
      <text>
        <r>
          <rPr>
            <sz val="10"/>
            <color rgb="FF000000"/>
            <rFont val="Aptos Narrow"/>
            <family val="2"/>
          </rPr>
          <t xml:space="preserve">Statistics Canada. Table 11-10-0222-01  Household spending, Canada, regions and provinces. https://www150.statcan.gc.ca/t1/tbl1/en/tv.action?pid=1110022201
</t>
        </r>
      </text>
    </comment>
    <comment ref="U73" authorId="1" shapeId="0" xr:uid="{9A004EC8-E4C2-EB49-8B71-669B5F41094F}">
      <text>
        <r>
          <rPr>
            <sz val="10"/>
            <color rgb="FF000000"/>
            <rFont val="Tahoma"/>
            <family val="2"/>
          </rPr>
          <t xml:space="preserve">Statistics Canada (Aug. 30, 2024). Table 36-10-0124-01) Detailed household final consumption expenditure, Canada, quarterly (x 1,000,000). https://www150.statcan.gc.ca/t1/tbl1/en/tv.action?pid=3610012401
</t>
        </r>
      </text>
    </comment>
    <comment ref="A78" authorId="0" shapeId="0" xr:uid="{91C2F26A-B993-AF42-AE95-DD858345DF74}">
      <text>
        <r>
          <rPr>
            <b/>
            <sz val="10"/>
            <color rgb="FF000000"/>
            <rFont val="Tahoma"/>
            <family val="2"/>
          </rPr>
          <t>DD:</t>
        </r>
        <r>
          <rPr>
            <sz val="10"/>
            <color rgb="FF000000"/>
            <rFont val="Tahoma"/>
            <family val="2"/>
          </rPr>
          <t xml:space="preserve">
</t>
        </r>
        <r>
          <rPr>
            <sz val="10"/>
            <color rgb="FF000000"/>
            <rFont val="Tahoma"/>
            <family val="2"/>
          </rPr>
          <t xml:space="preserve">1982 and 1986 based on 1984 and 1988 data. </t>
        </r>
      </text>
    </comment>
    <comment ref="A79" authorId="0" shapeId="0" xr:uid="{638072A5-11C4-1741-8F93-39C0B859E8B8}">
      <text>
        <r>
          <rPr>
            <sz val="11"/>
            <color rgb="FF000000"/>
            <rFont val="+mn-lt"/>
            <charset val="1"/>
          </rPr>
          <t xml:space="preserve">Includes: Television and satellite radio services (including installation, service and pay TV charges) until 2010 and then replaced by Cable, satellite and other program distribution services, newspapers, magazines, books (excluding school books), maps, sheet music and other printed matter, cultural services such as live performing arts, admissions to museums, live sporting sporting and performing arts events, and rental of pre-recorded audio and video cassettes, CDs, DVD and video games. 
</t>
        </r>
        <r>
          <rPr>
            <sz val="11"/>
            <color rgb="FF000000"/>
            <rFont val="+mn-lt"/>
            <charset val="1"/>
          </rPr>
          <t xml:space="preserve">In this row, traditional BDU services have been removed and presented elsewhere on a stand-alone basis to (a) reveal spending on online media services such as Netflix, Crave and Spotify and (b) present spending on traditional BDU services on a stand-alone basis). 
</t>
        </r>
        <r>
          <rPr>
            <sz val="11"/>
            <color rgb="FF000000"/>
            <rFont val="+mn-lt"/>
            <charset val="1"/>
          </rPr>
          <t xml:space="preserve">Statistics Canada. Table 11-10-0222-01  Household spending, Canada, regions and provinces. </t>
        </r>
        <r>
          <rPr>
            <u/>
            <sz val="11"/>
            <color rgb="FF000000"/>
            <rFont val="+mn-lt"/>
            <charset val="1"/>
          </rPr>
          <t>https://www150.statcan.gc.ca/t1/tbl1/en/tv.action?pid=1110022201</t>
        </r>
        <r>
          <rPr>
            <sz val="11"/>
            <color rgb="FF000000"/>
            <rFont val="+mn-lt"/>
            <charset val="1"/>
          </rPr>
          <t xml:space="preserve">; Statistics Canada. Table 36-10-0124-01  Detailed household final consumption expenditure, Canada, quarterly (x 1,000,000). </t>
        </r>
        <r>
          <rPr>
            <u/>
            <sz val="11"/>
            <color rgb="FF000000"/>
            <rFont val="+mn-lt"/>
            <charset val="1"/>
          </rPr>
          <t>https://www150.statcan.gc.ca/t1/tbl1/en/tv.action?pid=3610012401</t>
        </r>
        <r>
          <rPr>
            <sz val="11"/>
            <color rgb="FF000000"/>
            <rFont val="+mn-lt"/>
            <charset val="1"/>
          </rPr>
          <t xml:space="preserve"> 
</t>
        </r>
      </text>
    </comment>
    <comment ref="E81" authorId="1" shapeId="0" xr:uid="{FA796B75-1DEC-4344-B4E0-C712717DCFA8}">
      <text>
        <r>
          <rPr>
            <sz val="10"/>
            <color rgb="FF000000"/>
            <rFont val="Verdana"/>
            <family val="2"/>
          </rPr>
          <t>CBC AR 1996-1997, p. 54.</t>
        </r>
      </text>
    </comment>
    <comment ref="F81" authorId="1" shapeId="0" xr:uid="{5E093864-60F9-934C-BFD1-3721EAF2D82A}">
      <text>
        <r>
          <rPr>
            <sz val="10"/>
            <color rgb="FF000000"/>
            <rFont val="Verdana"/>
            <family val="2"/>
          </rPr>
          <t>CBC AR 2000-2001, 46.</t>
        </r>
      </text>
    </comment>
    <comment ref="H81" authorId="1" shapeId="0" xr:uid="{77A0025C-70C4-344A-8644-CDE4AD8861D8}">
      <text>
        <r>
          <rPr>
            <sz val="10"/>
            <color rgb="FF000000"/>
            <rFont val="Verdana"/>
            <family val="2"/>
          </rPr>
          <t xml:space="preserve">original value 1096.0, CBC AR 2008-2009, vol. 2, p. 31.
</t>
        </r>
        <r>
          <rPr>
            <sz val="10"/>
            <color rgb="FF000000"/>
            <rFont val="Verdana"/>
            <family val="2"/>
          </rPr>
          <t xml:space="preserve">
</t>
        </r>
        <r>
          <rPr>
            <sz val="10"/>
            <color rgb="FF000000"/>
            <rFont val="Verdana"/>
            <family val="2"/>
          </rPr>
          <t xml:space="preserve">revision: CBC AR 2008-2009, p. 46
</t>
        </r>
        <r>
          <rPr>
            <sz val="10"/>
            <color rgb="FF000000"/>
            <rFont val="Verdana"/>
            <family val="2"/>
          </rPr>
          <t xml:space="preserve">
</t>
        </r>
        <r>
          <rPr>
            <sz val="10"/>
            <color rgb="FF000000"/>
            <rFont val="Verdana"/>
            <family val="2"/>
          </rPr>
          <t>https://site-cbc.radio-canada.ca/documents/impact-and-accountability/finances/2008-2009-ar.pdf</t>
        </r>
      </text>
    </comment>
    <comment ref="I81" authorId="1" shapeId="0" xr:uid="{254255AE-CA80-C24E-B6AE-7231B2E641D5}">
      <text>
        <r>
          <rPr>
            <sz val="10"/>
            <color rgb="FF000000"/>
            <rFont val="Verdana"/>
            <family val="2"/>
          </rPr>
          <t>CBC, AR 2010-2011, p. 44.</t>
        </r>
      </text>
    </comment>
    <comment ref="J81" authorId="1" shapeId="0" xr:uid="{B61BAEE9-8DD2-C545-ACF3-A638293225E2}">
      <text>
        <r>
          <rPr>
            <sz val="10"/>
            <color rgb="FF000000"/>
            <rFont val="Verdana"/>
            <family val="2"/>
          </rPr>
          <t>CBC, AR 2010-2011, p. 44.</t>
        </r>
      </text>
    </comment>
    <comment ref="K81" authorId="1" shapeId="0" xr:uid="{3CB7BD0D-A98B-5E40-888F-75BCC8075084}">
      <text>
        <r>
          <rPr>
            <sz val="10"/>
            <color rgb="FF000000"/>
            <rFont val="Verdana"/>
            <family val="2"/>
          </rPr>
          <t>CBC AR 2012-2013, p. 78.</t>
        </r>
      </text>
    </comment>
    <comment ref="L81" authorId="1" shapeId="0" xr:uid="{C1F72C51-A426-0047-B72B-4F85D443FDBC}">
      <text>
        <r>
          <rPr>
            <sz val="10"/>
            <color rgb="FF000000"/>
            <rFont val="Verdana"/>
            <family val="2"/>
          </rPr>
          <t>CBC AR 2012-2013, p. 78.</t>
        </r>
      </text>
    </comment>
    <comment ref="M81" authorId="1" shapeId="0" xr:uid="{B3C42CAC-4941-B647-80D1-0BA119A6F835}">
      <text>
        <r>
          <rPr>
            <sz val="10"/>
            <color rgb="FF000000"/>
            <rFont val="Verdana"/>
            <family val="2"/>
          </rPr>
          <t>CBC AR 2013-2014, p. 59.</t>
        </r>
      </text>
    </comment>
    <comment ref="N81" authorId="1" shapeId="0" xr:uid="{8D1C6F6A-FC44-4544-9592-6340F688F4C7}">
      <text>
        <r>
          <rPr>
            <sz val="10"/>
            <color rgb="FF000000"/>
            <rFont val="Verdana"/>
            <family val="2"/>
          </rPr>
          <t>CBC AR 2014-2015, p.73.</t>
        </r>
      </text>
    </comment>
    <comment ref="O81" authorId="1" shapeId="0" xr:uid="{BBB9DFD1-657F-9349-B714-743FF7574E2D}">
      <text>
        <r>
          <rPr>
            <sz val="10"/>
            <color rgb="FF000000"/>
            <rFont val="Verdana"/>
            <family val="2"/>
          </rPr>
          <t>CBC AR 2015-2016, p. 51.</t>
        </r>
      </text>
    </comment>
    <comment ref="P81" authorId="1" shapeId="0" xr:uid="{E6176070-2A8F-5744-9902-4E2001F2A774}">
      <text>
        <r>
          <rPr>
            <sz val="10"/>
            <color rgb="FF000000"/>
            <rFont val="Verdana"/>
            <family val="2"/>
          </rPr>
          <t>CBC AR 2016-2017, pp. 39-44. The federal government invested "an additional $75 million in 2016-2017 and $150 million per year thereafter on an ongoing basis" (p. 36). New $ began to flow this year.</t>
        </r>
      </text>
    </comment>
    <comment ref="Q81" authorId="1" shapeId="0" xr:uid="{22AA964B-48FA-FB41-8E9C-F4AF1910B692}">
      <text>
        <r>
          <rPr>
            <sz val="10"/>
            <color rgb="FF000000"/>
            <rFont val="Verdana"/>
            <family val="2"/>
          </rPr>
          <t>CBC AR 2017-2018, p. 34. The federal government invested "an additional $75 million in 2016-2017  (p. 36). That figure rose $150 million per year beginning in the 2017/8 operating year and is slated to continue for the next four years.</t>
        </r>
      </text>
    </comment>
    <comment ref="R81" authorId="1" shapeId="0" xr:uid="{8C7A1207-FD47-DC48-826D-BB3F9521E91E}">
      <text>
        <r>
          <rPr>
            <sz val="10"/>
            <color rgb="FF000000"/>
            <rFont val="Verdana"/>
            <family val="2"/>
          </rPr>
          <t>CBC AR 2018-19, p. 4.</t>
        </r>
      </text>
    </comment>
    <comment ref="S81" authorId="1" shapeId="0" xr:uid="{7EBF4C6D-6DAD-634D-A06A-16C95512DAD0}">
      <text>
        <r>
          <rPr>
            <sz val="10"/>
            <color rgb="FF000000"/>
            <rFont val="Verdana"/>
            <family val="2"/>
          </rPr>
          <t>CBC AR 2019-20, p. 36.</t>
        </r>
      </text>
    </comment>
    <comment ref="T81" authorId="1" shapeId="0" xr:uid="{669DCD61-93B6-1A46-A438-2837BDEB3FD1}">
      <text>
        <r>
          <rPr>
            <sz val="10"/>
            <color rgb="FF000000"/>
            <rFont val="Verdana"/>
            <family val="2"/>
          </rPr>
          <t>CBC AR 2020-21, p. 32.</t>
        </r>
      </text>
    </comment>
    <comment ref="U83" authorId="1" shapeId="0" xr:uid="{6095F2B7-9AD4-E840-9BDD-489D7D9DAAD6}">
      <text>
        <r>
          <rPr>
            <sz val="10"/>
            <color rgb="FF000000"/>
            <rFont val="Verdana"/>
            <family val="2"/>
          </rPr>
          <t>C3CBC AR 2021-22, p. 39.</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Dwayne Winseck</author>
    <author>DD</author>
    <author>Pheasant</author>
  </authors>
  <commentList>
    <comment ref="J3" authorId="0" shapeId="0" xr:uid="{9F103E0B-108B-254E-899A-42AF81B85065}">
      <text>
        <r>
          <rPr>
            <sz val="9"/>
            <color rgb="FF000000"/>
            <rFont val="Arial"/>
            <family val="2"/>
          </rPr>
          <t>Newspapers Canada (2014). Revenue Report: Daily Newspapers, p. 5.</t>
        </r>
      </text>
    </comment>
    <comment ref="S3" authorId="1" shapeId="0" xr:uid="{6ADF0809-635D-BA49-9C4B-41BAD222D6E0}">
      <text>
        <r>
          <rPr>
            <b/>
            <sz val="10"/>
            <color rgb="FF000000"/>
            <rFont val="Tahoma"/>
            <family val="2"/>
          </rPr>
          <t>DD:</t>
        </r>
        <r>
          <rPr>
            <sz val="10"/>
            <color rgb="FF000000"/>
            <rFont val="Tahoma"/>
            <family val="2"/>
          </rPr>
          <t xml:space="preserve">
</t>
        </r>
        <r>
          <rPr>
            <sz val="10"/>
            <color rgb="FF000000"/>
            <rFont val="Arial"/>
            <family val="2"/>
          </rPr>
          <t xml:space="preserve">Stats Can (2023). Table 21-10-0193-01 (formerly361-0083) https://www150.statcan.gc.ca/t1/tbl1/en/tv.action?pid=2110019301. 2018 marks a change in data sources to Stats Can (2021). Table 21-10-0193-01 (formerly361-0083) https://www150.statcan.gc.ca/t1/tbl1/en/tv.action?pid=2110019301 from News Media Canada (2019). Newspaper Net Advertising Revenue 2018. This was because NMC appears to be increasingly unreliable and untimely in its data releses. Also, Stats Can covers all news papers rather than only those that are NMC members. </t>
        </r>
      </text>
    </comment>
    <comment ref="T3" authorId="1" shapeId="0" xr:uid="{47425265-FD5C-E647-97EC-20FB425E091B}">
      <text>
        <r>
          <rPr>
            <sz val="10"/>
            <color rgb="FF000000"/>
            <rFont val="Arial"/>
            <family val="2"/>
          </rPr>
          <t xml:space="preserve">
</t>
        </r>
      </text>
    </comment>
    <comment ref="U3" authorId="1" shapeId="0" xr:uid="{9C40B76A-7AF1-A648-B914-1E6E91F5BF63}">
      <text>
        <r>
          <rPr>
            <b/>
            <sz val="10"/>
            <color rgb="FF000000"/>
            <rFont val="Tahoma"/>
            <family val="2"/>
          </rPr>
          <t>DD:</t>
        </r>
        <r>
          <rPr>
            <sz val="10"/>
            <color rgb="FF000000"/>
            <rFont val="Tahoma"/>
            <family val="2"/>
          </rPr>
          <t xml:space="preserve">
</t>
        </r>
        <r>
          <rPr>
            <sz val="10"/>
            <color rgb="FF000000"/>
            <rFont val="Arial"/>
            <family val="2"/>
          </rPr>
          <t xml:space="preserve">Stats Can (2021). Table 21-10-0193-01 (formerly361-0083) https://www150.statcan.gc.ca/t1/tbl1/en/tv.action?pid=2110019301
</t>
        </r>
      </text>
    </comment>
    <comment ref="V3" authorId="1" shapeId="0" xr:uid="{E640EAEA-9030-8B43-933B-B1BC07579B5D}">
      <text>
        <r>
          <rPr>
            <sz val="10"/>
            <color rgb="FF000000"/>
            <rFont val="+mn-lt"/>
            <charset val="1"/>
          </rPr>
          <t xml:space="preserve">Estimate based on average of 2020 and 2022, as per </t>
        </r>
        <r>
          <rPr>
            <sz val="10"/>
            <color rgb="FF000000"/>
            <rFont val="Arial"/>
            <family val="2"/>
          </rPr>
          <t xml:space="preserve">Stats Can (2023). Table 21-10-0193-01 (formerly361-0083) https://www150.statcan.gc.ca/t1/tbl1/en/tv.action?pid=2110019301
</t>
        </r>
      </text>
    </comment>
    <comment ref="W3" authorId="1" shapeId="0" xr:uid="{D0C115C6-F40A-3A40-8FBE-70D0B1F9A593}">
      <text>
        <r>
          <rPr>
            <sz val="12"/>
            <color rgb="FF000000"/>
            <rFont val="Times New Roman"/>
            <family val="18"/>
          </rPr>
          <t xml:space="preserve">Stats Can (2023). Table 21-10-0193-01 (formerly361-0083) https://www150.statcan.gc.ca/t1/tbl1/en/tv.action?pid=2110019301
</t>
        </r>
      </text>
    </comment>
    <comment ref="X3" authorId="1" shapeId="0" xr:uid="{9825BA8F-50A2-DC46-9B91-D6AF302AEAB6}">
      <text>
        <r>
          <rPr>
            <sz val="10"/>
            <color rgb="FF000000"/>
            <rFont val="Arial"/>
            <family val="2"/>
          </rPr>
          <t xml:space="preserve">Estimate based on y-o-y decline of .13%.
</t>
        </r>
      </text>
    </comment>
    <comment ref="J4" authorId="0" shapeId="0" xr:uid="{1D3B60AA-651F-7644-9BF8-D15243390C75}">
      <text>
        <r>
          <rPr>
            <sz val="9"/>
            <color rgb="FF000000"/>
            <rFont val="Arial"/>
            <family val="2"/>
          </rPr>
          <t>Newspapers Canada (2014). Revenue Report: Daily Newspapers, p. 7.</t>
        </r>
      </text>
    </comment>
    <comment ref="K4" authorId="0" shapeId="0" xr:uid="{9ED7197A-08C5-344A-AA65-D9BBC640E27F}">
      <text>
        <r>
          <rPr>
            <sz val="9"/>
            <color rgb="FF000000"/>
            <rFont val="Arial"/>
            <family val="2"/>
          </rPr>
          <t>Newspapers Canada (2014). Revenue Report: Daily Newspapers, p. 7.</t>
        </r>
      </text>
    </comment>
    <comment ref="L4" authorId="0" shapeId="0" xr:uid="{679CE2B6-837C-F54C-B968-F4C27013860F}">
      <text>
        <r>
          <rPr>
            <sz val="9"/>
            <color rgb="FF000000"/>
            <rFont val="Arial"/>
            <family val="2"/>
          </rPr>
          <t xml:space="preserve">Newspapers Canada (2014). Revenue Report: Daily Newspapers, p. 7.
</t>
        </r>
      </text>
    </comment>
    <comment ref="M4" authorId="0" shapeId="0" xr:uid="{55B759AD-214C-9F45-918D-82592D34C92F}">
      <text>
        <r>
          <rPr>
            <sz val="9"/>
            <color rgb="FF000000"/>
            <rFont val="Arial"/>
            <family val="2"/>
          </rPr>
          <t>Newspapers Canada (2014). Revenue Report: Daily Newspapers, p. 7.</t>
        </r>
      </text>
    </comment>
    <comment ref="N4" authorId="0" shapeId="0" xr:uid="{56FF35F6-D3C9-5C48-BE31-57BBFE2520BE}">
      <text>
        <r>
          <rPr>
            <sz val="9"/>
            <color rgb="FF000000"/>
            <rFont val="Arial"/>
            <family val="2"/>
          </rPr>
          <t>Newspapers Canada (2014). Revenue Report: Daily Newspapers, p. 7.</t>
        </r>
      </text>
    </comment>
    <comment ref="O4" authorId="0" shapeId="0" xr:uid="{928B1CEE-64A0-E04F-8FD0-69F18E9ADD38}">
      <text>
        <r>
          <rPr>
            <sz val="10"/>
            <color rgb="FF000000"/>
            <rFont val="Arial"/>
            <family val="2"/>
          </rPr>
          <t>Stats Can (2023). Table 21-10-0193-01 (formerly361-0083) https://www150.statcan.gc.ca/t1/tbl1/en/tv.action?pid=2110019301</t>
        </r>
        <r>
          <rPr>
            <sz val="9"/>
            <color rgb="FF000000"/>
            <rFont val="Arial"/>
            <family val="2"/>
          </rPr>
          <t xml:space="preserve">
</t>
        </r>
      </text>
    </comment>
    <comment ref="P4" authorId="0" shapeId="0" xr:uid="{2B23D599-CA07-1444-B28B-79098AEDD3F4}">
      <text>
        <r>
          <rPr>
            <b/>
            <sz val="10"/>
            <color rgb="FF000000"/>
            <rFont val="Calibri"/>
            <family val="2"/>
          </rPr>
          <t>Dwayne Winseck:</t>
        </r>
        <r>
          <rPr>
            <sz val="10"/>
            <color rgb="FF000000"/>
            <rFont val="Calibri"/>
            <family val="2"/>
          </rPr>
          <t xml:space="preserve">
</t>
        </r>
        <r>
          <rPr>
            <sz val="10"/>
            <color rgb="FF000000"/>
            <rFont val="Calibri"/>
            <family val="2"/>
          </rPr>
          <t>NMC (2017). Newspaper Circulation Revenue Trending 2016</t>
        </r>
      </text>
    </comment>
    <comment ref="Q4" authorId="0" shapeId="0" xr:uid="{39BFE8B4-BCCC-E440-A0E9-3849A392F0D7}">
      <text>
        <r>
          <rPr>
            <b/>
            <sz val="10"/>
            <color rgb="FF000000"/>
            <rFont val="Calibri"/>
            <family val="2"/>
          </rPr>
          <t>Dwayne Winseck:</t>
        </r>
        <r>
          <rPr>
            <sz val="10"/>
            <color rgb="FF000000"/>
            <rFont val="Calibri"/>
            <family val="2"/>
          </rPr>
          <t xml:space="preserve">
</t>
        </r>
        <r>
          <rPr>
            <sz val="10"/>
            <color rgb="FF000000"/>
            <rFont val="Calibri"/>
            <family val="2"/>
          </rPr>
          <t>NMC (2017). Newspaper Circulation Revenue Trending 2016</t>
        </r>
      </text>
    </comment>
    <comment ref="R4" authorId="2" shapeId="0" xr:uid="{46332C18-AD31-6A4A-9161-1FFA017C37FB}">
      <text>
        <r>
          <rPr>
            <sz val="10"/>
            <color rgb="FF000000"/>
            <rFont val="Arial"/>
            <family val="2"/>
          </rPr>
          <t xml:space="preserve">Stats Can (2023). Table 21-10-0193-01 (formerly361-0083) https://www150.statcan.gc.ca/t1/tbl1/en/tv.action?pid=2110019301
</t>
        </r>
      </text>
    </comment>
    <comment ref="S4" authorId="1" shapeId="0" xr:uid="{7366D209-9D09-F84B-8263-1E4F0F21A38B}">
      <text>
        <r>
          <rPr>
            <sz val="10"/>
            <color rgb="FF000000"/>
            <rFont val="Arial"/>
            <family val="2"/>
          </rPr>
          <t xml:space="preserve">Stats Can (2023). Table 21-10-0193-01 (formerly361-0083) https://www150.statcan.gc.ca/t1/tbl1/en/tv.action?pid=2110019301
</t>
        </r>
      </text>
    </comment>
    <comment ref="T4" authorId="1" shapeId="0" xr:uid="{2CAE49A3-AE12-4144-BFD4-8103CCC0BD55}">
      <text>
        <r>
          <rPr>
            <b/>
            <sz val="10"/>
            <color rgb="FF000000"/>
            <rFont val="Tahoma"/>
            <family val="2"/>
          </rPr>
          <t>DD:</t>
        </r>
        <r>
          <rPr>
            <sz val="10"/>
            <color rgb="FF000000"/>
            <rFont val="Tahoma"/>
            <family val="2"/>
          </rPr>
          <t xml:space="preserve">
</t>
        </r>
        <r>
          <rPr>
            <sz val="10"/>
            <color rgb="FF000000"/>
            <rFont val="Arial"/>
            <family val="2"/>
          </rPr>
          <t xml:space="preserve">News Media Canada (2020). Newspaper Net Advertising Revenue 2019.
</t>
        </r>
      </text>
    </comment>
    <comment ref="U4" authorId="1" shapeId="0" xr:uid="{6B72946E-3E1F-1947-8E7D-3D270D901529}">
      <text>
        <r>
          <rPr>
            <sz val="10"/>
            <color rgb="FF000000"/>
            <rFont val="Arial"/>
            <family val="2"/>
          </rPr>
          <t xml:space="preserve">Stats Can (2023). Table 21-10-0193-01 (formerly361-0083) https://www150.statcan.gc.ca/t1/tbl1/en/tv.action?pid=2110019301
</t>
        </r>
      </text>
    </comment>
    <comment ref="V4" authorId="1" shapeId="0" xr:uid="{270430A9-A332-A244-88FA-84BD7E8CD6B7}">
      <text>
        <r>
          <rPr>
            <sz val="10"/>
            <color rgb="FF000000"/>
            <rFont val="Arial"/>
            <family val="2"/>
          </rPr>
          <t xml:space="preserve">Estimate based on average of 2020 and 2022, as per Stats Can (2023). Table 21-10-0193-01 (formerly361-0083) https://www150.statcan.gc.ca/t1/tbl1/en/tv.action?pid=2110019301
</t>
        </r>
      </text>
    </comment>
    <comment ref="W4" authorId="1" shapeId="0" xr:uid="{C5089D32-95BC-4141-9015-B7168637A723}">
      <text>
        <r>
          <rPr>
            <sz val="12"/>
            <color rgb="FF000000"/>
            <rFont val="Times New Roman"/>
            <family val="18"/>
          </rPr>
          <t>Stats Can (2023). Table 21-10-0193-01 (formerly361-0083) https://www150.statcan.gc.ca/t1/tbl1/en/tv.action?pid=2110019301</t>
        </r>
      </text>
    </comment>
    <comment ref="R5" authorId="2" shapeId="0" xr:uid="{3955FD58-3EAF-5C42-853D-87F87AC60452}">
      <text>
        <r>
          <rPr>
            <b/>
            <sz val="10"/>
            <color rgb="FF000000"/>
            <rFont val="Tahoma"/>
            <family val="2"/>
          </rPr>
          <t>Pheasant:</t>
        </r>
        <r>
          <rPr>
            <sz val="10"/>
            <color rgb="FF000000"/>
            <rFont val="Tahoma"/>
            <family val="2"/>
          </rPr>
          <t xml:space="preserve">
</t>
        </r>
        <r>
          <rPr>
            <sz val="10"/>
            <color rgb="FF000000"/>
            <rFont val="Arial"/>
            <family val="2"/>
          </rPr>
          <t xml:space="preserve">News Media Canada (2018). Newspaper Net Advertising Revenue 2017.
</t>
        </r>
      </text>
    </comment>
    <comment ref="S5" authorId="1" shapeId="0" xr:uid="{A78C11F0-FDF7-7848-9AC8-7285E4A351AB}">
      <text>
        <r>
          <rPr>
            <b/>
            <sz val="10"/>
            <color rgb="FF000000"/>
            <rFont val="Tahoma"/>
            <family val="2"/>
          </rPr>
          <t>DD:</t>
        </r>
        <r>
          <rPr>
            <sz val="10"/>
            <color rgb="FF000000"/>
            <rFont val="Tahoma"/>
            <family val="2"/>
          </rPr>
          <t xml:space="preserve">
</t>
        </r>
        <r>
          <rPr>
            <sz val="10"/>
            <color rgb="FF000000"/>
            <rFont val="Arial"/>
            <family val="2"/>
          </rPr>
          <t xml:space="preserve">News Media Canada (2019). Newspaper Net Advertising Revenue 2018.
</t>
        </r>
      </text>
    </comment>
    <comment ref="J6" authorId="0" shapeId="0" xr:uid="{31ABCCA8-7077-9748-B61D-77BCCF7FABA0}">
      <text>
        <r>
          <rPr>
            <sz val="9"/>
            <color rgb="FF000000"/>
            <rFont val="Arial"/>
            <family val="2"/>
          </rPr>
          <t>Newspapers Canada (2014). Revenue Report: Daily Newspapers, p. 6.</t>
        </r>
      </text>
    </comment>
    <comment ref="K6" authorId="0" shapeId="0" xr:uid="{3EC95C29-8210-EE46-9734-66445C64C2B9}">
      <text>
        <r>
          <rPr>
            <sz val="9"/>
            <color rgb="FF000000"/>
            <rFont val="Arial"/>
            <family val="2"/>
          </rPr>
          <t>Newspapers Canada (2014). Revenue Report: Daily Newspapers, p. 6.</t>
        </r>
      </text>
    </comment>
    <comment ref="L6" authorId="0" shapeId="0" xr:uid="{FF8D392C-699F-A849-8835-70D46E9F14F4}">
      <text>
        <r>
          <rPr>
            <b/>
            <sz val="10"/>
            <color rgb="FF000000"/>
            <rFont val="Calibri"/>
            <family val="2"/>
          </rPr>
          <t>Dwayne Winseck:</t>
        </r>
        <r>
          <rPr>
            <sz val="10"/>
            <color rgb="FF000000"/>
            <rFont val="Calibri"/>
            <family val="2"/>
          </rPr>
          <t xml:space="preserve">
</t>
        </r>
        <r>
          <rPr>
            <sz val="10"/>
            <color rgb="FF000000"/>
            <rFont val="Calibri"/>
            <family val="2"/>
          </rPr>
          <t>News Media Canada (2017). Newspaper Net Advertising Revenue 2016</t>
        </r>
      </text>
    </comment>
    <comment ref="M6" authorId="0" shapeId="0" xr:uid="{A4E0B8F4-5057-4841-A516-7E32F4B5550B}">
      <text>
        <r>
          <rPr>
            <b/>
            <sz val="10"/>
            <color rgb="FF000000"/>
            <rFont val="Calibri"/>
            <family val="2"/>
          </rPr>
          <t>Dwayne Winseck:</t>
        </r>
        <r>
          <rPr>
            <sz val="10"/>
            <color rgb="FF000000"/>
            <rFont val="Calibri"/>
            <family val="2"/>
          </rPr>
          <t xml:space="preserve">
</t>
        </r>
        <r>
          <rPr>
            <sz val="10"/>
            <color rgb="FF000000"/>
            <rFont val="Calibri"/>
            <family val="2"/>
          </rPr>
          <t>News Media Canada (2017). Newspaper Net Advertising Revenue 2016</t>
        </r>
      </text>
    </comment>
    <comment ref="N6" authorId="0" shapeId="0" xr:uid="{833C8494-56AB-054E-924E-3F087FF382CA}">
      <text>
        <r>
          <rPr>
            <b/>
            <sz val="10"/>
            <color rgb="FF000000"/>
            <rFont val="Calibri"/>
            <family val="2"/>
          </rPr>
          <t>Dwayne Winseck:</t>
        </r>
        <r>
          <rPr>
            <sz val="10"/>
            <color rgb="FF000000"/>
            <rFont val="Calibri"/>
            <family val="2"/>
          </rPr>
          <t xml:space="preserve">
</t>
        </r>
        <r>
          <rPr>
            <sz val="10"/>
            <color rgb="FF000000"/>
            <rFont val="Calibri"/>
            <family val="2"/>
          </rPr>
          <t>News Media Canada (2017). Newspaper Net Advertising Revenue 2016</t>
        </r>
      </text>
    </comment>
    <comment ref="O6" authorId="0" shapeId="0" xr:uid="{4F350572-4390-8747-9B42-7EB16E053EAF}">
      <text>
        <r>
          <rPr>
            <b/>
            <sz val="10"/>
            <color rgb="FF000000"/>
            <rFont val="Calibri"/>
            <family val="2"/>
          </rPr>
          <t>Dwayne Winseck:</t>
        </r>
        <r>
          <rPr>
            <sz val="10"/>
            <color rgb="FF000000"/>
            <rFont val="Calibri"/>
            <family val="2"/>
          </rPr>
          <t xml:space="preserve">
</t>
        </r>
        <r>
          <rPr>
            <sz val="10"/>
            <color rgb="FF000000"/>
            <rFont val="Calibri"/>
            <family val="2"/>
          </rPr>
          <t>News Media Canada (2017). Newspaper Net Advertising Revenue 2016</t>
        </r>
      </text>
    </comment>
    <comment ref="P6" authorId="0" shapeId="0" xr:uid="{52CD61D6-9C03-174C-96A4-71095AD57422}">
      <text>
        <r>
          <rPr>
            <b/>
            <sz val="10"/>
            <color rgb="FF000000"/>
            <rFont val="Calibri"/>
            <family val="2"/>
          </rPr>
          <t>Dwayne Winseck:</t>
        </r>
        <r>
          <rPr>
            <sz val="10"/>
            <color rgb="FF000000"/>
            <rFont val="Calibri"/>
            <family val="2"/>
          </rPr>
          <t xml:space="preserve">
</t>
        </r>
        <r>
          <rPr>
            <sz val="10"/>
            <color rgb="FF000000"/>
            <rFont val="Calibri"/>
            <family val="2"/>
          </rPr>
          <t>News Media Canada (2017). Newspaper Net Advertising Revenue 2016</t>
        </r>
      </text>
    </comment>
    <comment ref="Q6" authorId="0" shapeId="0" xr:uid="{69EA27FF-19AB-A344-ADF5-C7153FAFC689}">
      <text>
        <r>
          <rPr>
            <b/>
            <sz val="10"/>
            <color rgb="FF000000"/>
            <rFont val="Calibri"/>
            <family val="2"/>
          </rPr>
          <t>Dwayne Winseck:</t>
        </r>
        <r>
          <rPr>
            <sz val="10"/>
            <color rgb="FF000000"/>
            <rFont val="Calibri"/>
            <family val="2"/>
          </rPr>
          <t xml:space="preserve">
</t>
        </r>
        <r>
          <rPr>
            <sz val="10"/>
            <color rgb="FF000000"/>
            <rFont val="Calibri"/>
            <family val="2"/>
          </rPr>
          <t>News Media Canada (2017). Newspaper Net Advertising Revenue 2016</t>
        </r>
      </text>
    </comment>
    <comment ref="R6" authorId="2" shapeId="0" xr:uid="{3479EB28-61E9-F64A-8758-0764BDD63FBF}">
      <text>
        <r>
          <rPr>
            <b/>
            <sz val="10"/>
            <color rgb="FF000000"/>
            <rFont val="Tahoma"/>
            <family val="2"/>
          </rPr>
          <t>Pheasant:</t>
        </r>
        <r>
          <rPr>
            <sz val="10"/>
            <color rgb="FF000000"/>
            <rFont val="Tahoma"/>
            <family val="2"/>
          </rPr>
          <t xml:space="preserve">
</t>
        </r>
        <r>
          <rPr>
            <sz val="10"/>
            <color rgb="FF000000"/>
            <rFont val="Arial"/>
            <family val="2"/>
          </rPr>
          <t xml:space="preserve">News Media Canada (2018). Newspaper Net Advertising Revenue 2017.
</t>
        </r>
      </text>
    </comment>
    <comment ref="S6" authorId="1" shapeId="0" xr:uid="{C75D89B7-81C1-0F4F-A0FF-382DCFBC62DA}">
      <text>
        <r>
          <rPr>
            <b/>
            <sz val="10"/>
            <color rgb="FF000000"/>
            <rFont val="Tahoma"/>
            <family val="2"/>
          </rPr>
          <t>DD:</t>
        </r>
        <r>
          <rPr>
            <sz val="10"/>
            <color rgb="FF000000"/>
            <rFont val="Tahoma"/>
            <family val="2"/>
          </rPr>
          <t xml:space="preserve">
</t>
        </r>
        <r>
          <rPr>
            <sz val="10"/>
            <color rgb="FF000000"/>
            <rFont val="Arial"/>
            <family val="2"/>
          </rPr>
          <t xml:space="preserve">News Media Canada (2019). Newspaper Net Advertising Revenue 2018.
</t>
        </r>
      </text>
    </comment>
    <comment ref="T6" authorId="1" shapeId="0" xr:uid="{33EDE484-AE47-ED46-BE9B-0DA86FC867A2}">
      <text>
        <r>
          <rPr>
            <b/>
            <sz val="10"/>
            <color rgb="FF000000"/>
            <rFont val="Tahoma"/>
            <family val="2"/>
          </rPr>
          <t>DD:</t>
        </r>
        <r>
          <rPr>
            <sz val="10"/>
            <color rgb="FF000000"/>
            <rFont val="Tahoma"/>
            <family val="2"/>
          </rPr>
          <t xml:space="preserve">
</t>
        </r>
        <r>
          <rPr>
            <sz val="10"/>
            <color rgb="FF000000"/>
            <rFont val="Arial"/>
            <family val="2"/>
          </rPr>
          <t xml:space="preserve">News Media Canada (2020). Newspaper Net Advertising Revenue 2019.
</t>
        </r>
      </text>
    </comment>
    <comment ref="U6" authorId="1" shapeId="0" xr:uid="{E6D01128-9979-A842-AEE4-17D5AD16FFE2}">
      <text>
        <r>
          <rPr>
            <b/>
            <sz val="10"/>
            <color rgb="FF000000"/>
            <rFont val="Tahoma"/>
            <family val="2"/>
          </rPr>
          <t>DD:</t>
        </r>
        <r>
          <rPr>
            <sz val="10"/>
            <color rgb="FF000000"/>
            <rFont val="Tahoma"/>
            <family val="2"/>
          </rPr>
          <t xml:space="preserve">
</t>
        </r>
        <r>
          <rPr>
            <sz val="10"/>
            <color rgb="FF000000"/>
            <rFont val="Arial"/>
            <family val="2"/>
          </rPr>
          <t>ThinkTV (October 2020). Net Advertising Volumes Report. https://thinktv.ca/wp-content/uploads/2018/05/2020-Net-Ad-Volume-new-IAB-format-Newspaper-Revenue_Jan27_2022-StatsCan-Update.pdf</t>
        </r>
      </text>
    </comment>
    <comment ref="V6" authorId="1" shapeId="0" xr:uid="{ED0BBD2B-9606-2E49-AF0B-610A522903EC}">
      <text>
        <r>
          <rPr>
            <sz val="12"/>
            <color rgb="FF000000"/>
            <rFont val="+mn-lt"/>
            <charset val="1"/>
          </rPr>
          <t xml:space="preserve">News Media Canada (2022). </t>
        </r>
        <r>
          <rPr>
            <i/>
            <sz val="12"/>
            <color rgb="FF000000"/>
            <rFont val="+mn-lt"/>
            <charset val="1"/>
          </rPr>
          <t>Newspaper Net Advertising Revenue 2021</t>
        </r>
        <r>
          <rPr>
            <sz val="12"/>
            <color rgb="FF000000"/>
            <rFont val="+mn-lt"/>
            <charset val="1"/>
          </rPr>
          <t xml:space="preserve">.
</t>
        </r>
      </text>
    </comment>
    <comment ref="W6" authorId="1" shapeId="0" xr:uid="{549DC53D-1DC8-8F42-8A35-A75B9551308F}">
      <text>
        <r>
          <rPr>
            <sz val="10"/>
            <color rgb="FF000000"/>
            <rFont val="Arial"/>
            <family val="2"/>
          </rPr>
          <t xml:space="preserve">ThinkTV (2023). Net Advertising Volume, 2012-2022. https://thinktv.ca/research/advertising-revenue-by-media/
</t>
        </r>
      </text>
    </comment>
    <comment ref="A7" authorId="1" shapeId="0" xr:uid="{816B52CB-C425-9C42-8E1A-21B78E7A0AED}">
      <text>
        <r>
          <rPr>
            <b/>
            <sz val="10"/>
            <color rgb="FF000000"/>
            <rFont val="Tahoma"/>
            <family val="2"/>
          </rPr>
          <t>DD:</t>
        </r>
        <r>
          <rPr>
            <sz val="10"/>
            <color rgb="FF000000"/>
            <rFont val="Tahoma"/>
            <family val="2"/>
          </rPr>
          <t xml:space="preserve">
</t>
        </r>
        <r>
          <rPr>
            <sz val="10"/>
            <color rgb="FF000000"/>
            <rFont val="Tahoma"/>
            <family val="2"/>
          </rPr>
          <t>Includes funding from the Supporting Canadian Journalism program of $595 million announced in the 2019 budget (</t>
        </r>
        <r>
          <rPr>
            <sz val="10"/>
            <color rgb="FF000000"/>
            <rFont val="Arial"/>
            <family val="2"/>
          </rPr>
          <t xml:space="preserve">https://www.budget.gc.ca/2019/docs/tm-mf/si-is-en.html) </t>
        </r>
        <r>
          <rPr>
            <sz val="10"/>
            <color rgb="FF000000"/>
            <rFont val="Tahoma"/>
            <family val="2"/>
          </rPr>
          <t xml:space="preserve">and disttributed over 5 years according to figures noted in this table https://www.budget.gc.ca/2019/docs/plan/chap-04-en.html </t>
        </r>
      </text>
    </comment>
    <comment ref="A8" authorId="1" shapeId="0" xr:uid="{38121F0D-3E80-CB43-80F4-4C68BA8B8753}">
      <text>
        <r>
          <rPr>
            <sz val="10"/>
            <color rgb="FF000000"/>
            <rFont val="Tahoma"/>
            <family val="2"/>
          </rPr>
          <t>"I</t>
        </r>
        <r>
          <rPr>
            <sz val="10"/>
            <color rgb="FF000000"/>
            <rFont val="Arial"/>
            <family val="2"/>
          </rPr>
          <t xml:space="preserve">n 2019, the Local Journalism Initiative was launched as a five-year commitment with a budget of $50 million to ensure trusted, local perspectives are available and to encourage local community engagement. The Recovery Fund for Arts, Culture, Heritage and Sport Sectors increased the initial funding support to $60 million over five years. The Budget 2022 funding commitments are further strengthening this support to a total of $70 million over five years." The program runs until 2023-2024. The $20 million added in 2021 and the 2022 budget to the original LJI funding was split evenly across 3 years, as shown in this table.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DD</author>
  </authors>
  <commentList>
    <comment ref="A5" authorId="0" shapeId="0" xr:uid="{23B31FF2-B209-F442-B9D4-8E53512BA706}">
      <text>
        <r>
          <rPr>
            <sz val="10"/>
            <color rgb="FF000000"/>
            <rFont val="Tahoma"/>
            <family val="2"/>
          </rPr>
          <t xml:space="preserve">Excludes video sharing platforms based on UGC, eg. YouTube, Twitch, etc.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Roy Winseck, Dwayne (CRTC)</author>
  </authors>
  <commentList>
    <comment ref="A1" authorId="0" shapeId="0" xr:uid="{F35DFBBF-B810-4C4E-A0CF-081EBBB3C32B}">
      <text>
        <r>
          <rPr>
            <b/>
            <sz val="9"/>
            <color rgb="FF000000"/>
            <rFont val="Tahoma"/>
            <family val="2"/>
          </rPr>
          <t>Roy Winseck, Dwayne (CRTC):</t>
        </r>
        <r>
          <rPr>
            <sz val="9"/>
            <color rgb="FF000000"/>
            <rFont val="Tahoma"/>
            <family val="2"/>
          </rPr>
          <t xml:space="preserve">
</t>
        </r>
        <r>
          <rPr>
            <sz val="9"/>
            <color rgb="FF000000"/>
            <rFont val="Tahoma"/>
            <family val="2"/>
          </rPr>
          <t xml:space="preserve">This needs correcting. Row 46 was incorrect and that messed up the concentration metrics across the board and there were other things.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DD</author>
    <author>Dwayne Winseck</author>
    <author>Pheasant</author>
  </authors>
  <commentList>
    <comment ref="V8" authorId="0" shapeId="0" xr:uid="{6655BBCB-F843-CE41-920A-E035B54C5820}">
      <text>
        <r>
          <rPr>
            <sz val="10"/>
            <color rgb="FF000000"/>
            <rFont val="Tahoma"/>
            <family val="2"/>
          </rPr>
          <t xml:space="preserve">Estimate based on advertising accounting for 7.6% of magazine revenue and estimated y-o-y decline of total revenue of 3.06%, as per PWC Global entertainment and media outlook, 2024-2028. </t>
        </r>
      </text>
    </comment>
    <comment ref="V9" authorId="0" shapeId="0" xr:uid="{14FCFEAB-1CD3-9745-850E-42654CD9128A}">
      <text>
        <r>
          <rPr>
            <sz val="10"/>
            <color rgb="FF000000"/>
            <rFont val="Tahoma"/>
            <family val="2"/>
          </rPr>
          <t xml:space="preserve">Estimate of y-o-y growth of 17.27% based on PWC Global entertainment &amp; media outlook, 2024-2028. </t>
        </r>
      </text>
    </comment>
    <comment ref="A12" authorId="0" shapeId="0" xr:uid="{3C999CB1-ED90-A04E-A2E3-4B7EE172619E}">
      <text>
        <r>
          <rPr>
            <b/>
            <sz val="10"/>
            <color rgb="FF000000"/>
            <rFont val="Tahoma"/>
            <family val="2"/>
          </rPr>
          <t>DD:</t>
        </r>
        <r>
          <rPr>
            <sz val="10"/>
            <color rgb="FF000000"/>
            <rFont val="Tahoma"/>
            <family val="2"/>
          </rPr>
          <t xml:space="preserve">
</t>
        </r>
        <r>
          <rPr>
            <sz val="10"/>
            <color rgb="FF000000"/>
            <rFont val="Tahoma"/>
            <family val="2"/>
          </rPr>
          <t>https://www150.statcan.gc.ca/t1/tbl1/en/tv.action?pid=1710000501</t>
        </r>
      </text>
    </comment>
    <comment ref="A13" authorId="0" shapeId="0" xr:uid="{9E36B8A8-4C50-9C4F-AC74-A2F988031EE7}">
      <text>
        <r>
          <rPr>
            <sz val="10"/>
            <color rgb="FF000000"/>
            <rFont val="Arial"/>
            <family val="2"/>
          </rPr>
          <t>Private Dwellings occupied by usual residents. Years between census data points are based on CAGR between census, i.e. betweeen the 2016 and 2021 Census of Population. Statistics Canada. 2023. (table). </t>
        </r>
        <r>
          <rPr>
            <i/>
            <sz val="10"/>
            <color rgb="FF000000"/>
            <rFont val="Arial"/>
            <family val="2"/>
          </rPr>
          <t>Census Profile</t>
        </r>
        <r>
          <rPr>
            <sz val="10"/>
            <color rgb="FF000000"/>
            <rFont val="Arial"/>
            <family val="2"/>
          </rPr>
          <t xml:space="preserve">. 2021 Census of Population. Statistics Canada Catalogue no. 98-316-X2021001. Ottawa. Released March 29, 2023. https://www12.statcan.gc.ca/census-recensement/2021/dp-pd/prof/index.cfm?Lang=E (accessed August 19, 2023) 
</t>
        </r>
      </text>
    </comment>
    <comment ref="T27" authorId="0" shapeId="0" xr:uid="{69E3B61B-3455-1147-812E-FABA1FFB29B2}">
      <text>
        <r>
          <rPr>
            <b/>
            <sz val="10"/>
            <color rgb="FF000000"/>
            <rFont val="Tahoma"/>
            <family val="2"/>
          </rPr>
          <t>DD:</t>
        </r>
        <r>
          <rPr>
            <sz val="10"/>
            <color rgb="FF000000"/>
            <rFont val="Tahoma"/>
            <family val="2"/>
          </rPr>
          <t xml:space="preserve"> CRTC </t>
        </r>
        <r>
          <rPr>
            <sz val="10"/>
            <color rgb="FF000000"/>
            <rFont val="Arial"/>
            <family val="2"/>
          </rPr>
          <t xml:space="preserve">2021 Broadcasting Financial Summaries--Conventional Television. https://crtc.gc.ca/eng/industr/fin.htm 
</t>
        </r>
        <r>
          <rPr>
            <sz val="10"/>
            <color rgb="FF000000"/>
            <rFont val="Arial"/>
            <family val="2"/>
          </rPr>
          <t xml:space="preserve">
</t>
        </r>
      </text>
    </comment>
    <comment ref="U27" authorId="0" shapeId="0" xr:uid="{033A4EAE-3722-D34F-991B-B2EA049AC437}">
      <text>
        <r>
          <rPr>
            <sz val="10"/>
            <color rgb="FF000000"/>
            <rFont val="Arial"/>
            <family val="2"/>
          </rPr>
          <t>CRTC’s Financial Summaries for the Broadcasting Sector (Conventional Television) (https://crtc.gc.ca/eng/industr/fin.htm) + CBC Annual Reports (https://cbc.radio-canada.ca/en/impact-and-accountability/finances/annual-reports)</t>
        </r>
      </text>
    </comment>
    <comment ref="T28" authorId="0" shapeId="0" xr:uid="{63F318A9-948B-0E44-A93E-2FCF55F79847}">
      <text>
        <r>
          <rPr>
            <b/>
            <sz val="10"/>
            <color rgb="FF000000"/>
            <rFont val="Tahoma"/>
            <family val="2"/>
          </rPr>
          <t>DD:</t>
        </r>
        <r>
          <rPr>
            <sz val="10"/>
            <color rgb="FF000000"/>
            <rFont val="Tahoma"/>
            <family val="2"/>
          </rPr>
          <t xml:space="preserve"> </t>
        </r>
        <r>
          <rPr>
            <sz val="10"/>
            <color rgb="FF000000"/>
            <rFont val="Arial"/>
            <family val="2"/>
          </rPr>
          <t xml:space="preserve">CRTC 2021 Broadcasting Financial Summaries--Discretionary and On Demand. https://crtc.gc.ca/eng/industr/fin.htm 
</t>
        </r>
      </text>
    </comment>
    <comment ref="T29" authorId="0" shapeId="0" xr:uid="{2EF72FAA-2236-3A4D-B2B6-6CC4FBACE1C6}">
      <text>
        <r>
          <rPr>
            <sz val="10"/>
            <color rgb="FF000000"/>
            <rFont val="Arial"/>
            <family val="2"/>
          </rPr>
          <t xml:space="preserve">CRTC 2021 Broadcasting Financial Summaries--Conventional Television. https://crtc.gc.ca/eng/industr/fin.htm </t>
        </r>
      </text>
    </comment>
    <comment ref="T30" authorId="0" shapeId="0" xr:uid="{7E00CC2A-8B5C-5C4B-8D38-65BD220EC432}">
      <text>
        <r>
          <rPr>
            <b/>
            <sz val="10"/>
            <color rgb="FF000000"/>
            <rFont val="Tahoma"/>
            <family val="2"/>
          </rPr>
          <t>DD:</t>
        </r>
        <r>
          <rPr>
            <sz val="10"/>
            <color rgb="FF000000"/>
            <rFont val="Tahoma"/>
            <family val="2"/>
          </rPr>
          <t xml:space="preserve"> Estimate based on Think TV Net Advertising Volume Report (various years),</t>
        </r>
      </text>
    </comment>
    <comment ref="Q33" authorId="0" shapeId="0" xr:uid="{B095EF40-F7AD-9E4C-A1E0-69FC0223E9C3}">
      <text>
        <r>
          <rPr>
            <b/>
            <sz val="10"/>
            <color rgb="FF000000"/>
            <rFont val="Tahoma"/>
            <family val="2"/>
          </rPr>
          <t>DD:</t>
        </r>
        <r>
          <rPr>
            <sz val="10"/>
            <color rgb="FF000000"/>
            <rFont val="Tahoma"/>
            <family val="2"/>
          </rPr>
          <t xml:space="preserve">
</t>
        </r>
        <r>
          <rPr>
            <sz val="10"/>
            <color rgb="FF000000"/>
            <rFont val="Arial"/>
            <family val="2"/>
          </rPr>
          <t xml:space="preserve">2018 marks a change in data sources to Stats Can (2021). Table 21-10-0193-01 (formerly361-0083) https://www150.statcan.gc.ca/t1/tbl1/en/tv.action?pid=2110019301 from News Media Canada (2019). Newspaper Net Advertising Revenue 2018. This was because NMC appears to be increasingly unreliable and untimely in its data releses. Also, Stats Can covers all news papers rather than only those that are NMC members. </t>
        </r>
      </text>
    </comment>
    <comment ref="R33" authorId="0" shapeId="0" xr:uid="{CD1BD18F-2B8A-764D-BABA-A7A84506E2E3}">
      <text>
        <r>
          <rPr>
            <sz val="10"/>
            <color rgb="FF000000"/>
            <rFont val="Arial"/>
            <family val="2"/>
          </rPr>
          <t xml:space="preserve">
</t>
        </r>
      </text>
    </comment>
    <comment ref="S33" authorId="0" shapeId="0" xr:uid="{76F58CC2-E626-1F46-A578-17929885C65C}">
      <text>
        <r>
          <rPr>
            <b/>
            <sz val="10"/>
            <color rgb="FF000000"/>
            <rFont val="Tahoma"/>
            <family val="2"/>
          </rPr>
          <t>DD:</t>
        </r>
        <r>
          <rPr>
            <sz val="10"/>
            <color rgb="FF000000"/>
            <rFont val="Tahoma"/>
            <family val="2"/>
          </rPr>
          <t xml:space="preserve">
</t>
        </r>
        <r>
          <rPr>
            <sz val="10"/>
            <color rgb="FF000000"/>
            <rFont val="Arial"/>
            <family val="2"/>
          </rPr>
          <t xml:space="preserve">Stats Can (2021). Table 21-10-0193-01 (formerly361-0083) https://www150.statcan.gc.ca/t1/tbl1/en/tv.action?pid=2110019301
</t>
        </r>
      </text>
    </comment>
    <comment ref="T33" authorId="0" shapeId="0" xr:uid="{64663F63-FFAA-C840-802C-47A27856ECD2}">
      <text>
        <r>
          <rPr>
            <sz val="10"/>
            <color rgb="FF000000"/>
            <rFont val="+mn-lt"/>
            <charset val="1"/>
          </rPr>
          <t xml:space="preserve">Estimate based on y-o-y growth of 1.7% based on News Media Canada's .Net Adverising Volume. </t>
        </r>
      </text>
    </comment>
    <comment ref="U33" authorId="0" shapeId="0" xr:uid="{395F98E3-C11D-8D4C-B175-C0E14A29FAC5}">
      <text>
        <r>
          <rPr>
            <sz val="10"/>
            <color rgb="FF000000"/>
            <rFont val="Arial"/>
            <family val="2"/>
          </rPr>
          <t xml:space="preserve">Estimate based on y-o-y growth of ad revenue for Postmedia &amp; FP Newspapers (known data) and estimate for Globe &amp; Mail of 6.12%.
</t>
        </r>
      </text>
    </comment>
    <comment ref="H38" authorId="1" shapeId="0" xr:uid="{D2B620D1-8B4D-C346-A004-66623DE56458}">
      <text>
        <r>
          <rPr>
            <sz val="9"/>
            <color rgb="FF000000"/>
            <rFont val="Arial"/>
            <family val="2"/>
          </rPr>
          <t>Newspapers Canada (2014). Revenue Report: Daily Newspapers, p. 6.</t>
        </r>
      </text>
    </comment>
    <comment ref="I38" authorId="1" shapeId="0" xr:uid="{830D28ED-FA6D-5843-936C-6565B632DDCF}">
      <text>
        <r>
          <rPr>
            <sz val="9"/>
            <color rgb="FF000000"/>
            <rFont val="Arial"/>
            <family val="2"/>
          </rPr>
          <t>Newspapers Canada (2014). Revenue Report: Daily Newspapers, p. 6.</t>
        </r>
      </text>
    </comment>
    <comment ref="J38" authorId="1" shapeId="0" xr:uid="{A7050C88-26EF-0745-81BE-02187987E24F}">
      <text>
        <r>
          <rPr>
            <b/>
            <sz val="10"/>
            <color rgb="FF000000"/>
            <rFont val="Calibri"/>
            <family val="2"/>
          </rPr>
          <t>Dwayne Winseck:</t>
        </r>
        <r>
          <rPr>
            <sz val="10"/>
            <color rgb="FF000000"/>
            <rFont val="Calibri"/>
            <family val="2"/>
          </rPr>
          <t xml:space="preserve">
</t>
        </r>
        <r>
          <rPr>
            <sz val="10"/>
            <color rgb="FF000000"/>
            <rFont val="Calibri"/>
            <family val="2"/>
          </rPr>
          <t>News Media Canada (2017). Newspaper Net Advertising Revenue 2016</t>
        </r>
      </text>
    </comment>
    <comment ref="K38" authorId="1" shapeId="0" xr:uid="{1DAC506F-75D1-7C43-AF42-8EB5A986424A}">
      <text>
        <r>
          <rPr>
            <b/>
            <sz val="10"/>
            <color indexed="81"/>
            <rFont val="Calibri"/>
            <family val="2"/>
          </rPr>
          <t>Dwayne Winseck:</t>
        </r>
        <r>
          <rPr>
            <sz val="10"/>
            <color indexed="81"/>
            <rFont val="Calibri"/>
            <family val="2"/>
          </rPr>
          <t xml:space="preserve">
News Media Canada (2017). Newspaper Net Advertising Revenue 2016</t>
        </r>
      </text>
    </comment>
    <comment ref="L38" authorId="1" shapeId="0" xr:uid="{BB013875-776B-744F-A302-57364E351511}">
      <text>
        <r>
          <rPr>
            <b/>
            <sz val="10"/>
            <color rgb="FF000000"/>
            <rFont val="Calibri"/>
            <family val="2"/>
          </rPr>
          <t>Dwayne Winseck:</t>
        </r>
        <r>
          <rPr>
            <sz val="10"/>
            <color rgb="FF000000"/>
            <rFont val="Calibri"/>
            <family val="2"/>
          </rPr>
          <t xml:space="preserve">
</t>
        </r>
        <r>
          <rPr>
            <sz val="10"/>
            <color rgb="FF000000"/>
            <rFont val="Calibri"/>
            <family val="2"/>
          </rPr>
          <t>News Media Canada (2017). Newspaper Net Advertising Revenue 2016</t>
        </r>
      </text>
    </comment>
    <comment ref="M38" authorId="1" shapeId="0" xr:uid="{2D8738DB-0405-334D-96F0-B0845601CA03}">
      <text>
        <r>
          <rPr>
            <b/>
            <sz val="10"/>
            <color rgb="FF000000"/>
            <rFont val="Calibri"/>
            <family val="2"/>
          </rPr>
          <t>Dwayne Winseck:</t>
        </r>
        <r>
          <rPr>
            <sz val="10"/>
            <color rgb="FF000000"/>
            <rFont val="Calibri"/>
            <family val="2"/>
          </rPr>
          <t xml:space="preserve">
</t>
        </r>
        <r>
          <rPr>
            <sz val="10"/>
            <color rgb="FF000000"/>
            <rFont val="Calibri"/>
            <family val="2"/>
          </rPr>
          <t>News Media Canada (2017). Newspaper Net Advertising Revenue 2016</t>
        </r>
      </text>
    </comment>
    <comment ref="N38" authorId="1" shapeId="0" xr:uid="{F4D8343B-6A9B-D04D-AF1A-B204E49228B3}">
      <text>
        <r>
          <rPr>
            <b/>
            <sz val="10"/>
            <color rgb="FF000000"/>
            <rFont val="Calibri"/>
            <family val="2"/>
          </rPr>
          <t>Dwayne Winseck:</t>
        </r>
        <r>
          <rPr>
            <sz val="10"/>
            <color rgb="FF000000"/>
            <rFont val="Calibri"/>
            <family val="2"/>
          </rPr>
          <t xml:space="preserve">
</t>
        </r>
        <r>
          <rPr>
            <sz val="10"/>
            <color rgb="FF000000"/>
            <rFont val="Calibri"/>
            <family val="2"/>
          </rPr>
          <t>News Media Canada (2017). Newspaper Net Advertising Revenue 2016</t>
        </r>
      </text>
    </comment>
    <comment ref="O38" authorId="1" shapeId="0" xr:uid="{A8696240-A428-9E43-8A5E-BC8589E91CD6}">
      <text>
        <r>
          <rPr>
            <b/>
            <sz val="10"/>
            <color rgb="FF000000"/>
            <rFont val="Calibri"/>
            <family val="2"/>
          </rPr>
          <t>Dwayne Winseck:</t>
        </r>
        <r>
          <rPr>
            <sz val="10"/>
            <color rgb="FF000000"/>
            <rFont val="Calibri"/>
            <family val="2"/>
          </rPr>
          <t xml:space="preserve">
</t>
        </r>
        <r>
          <rPr>
            <sz val="10"/>
            <color rgb="FF000000"/>
            <rFont val="Calibri"/>
            <family val="2"/>
          </rPr>
          <t>News Media Canada (2017). Newspaper Net Advertising Revenue 2016</t>
        </r>
      </text>
    </comment>
    <comment ref="P38" authorId="2" shapeId="0" xr:uid="{F86559BA-3684-FD40-AF87-54F03E21502D}">
      <text>
        <r>
          <rPr>
            <b/>
            <sz val="10"/>
            <color rgb="FF000000"/>
            <rFont val="Tahoma"/>
            <family val="2"/>
          </rPr>
          <t>Pheasant:</t>
        </r>
        <r>
          <rPr>
            <sz val="10"/>
            <color rgb="FF000000"/>
            <rFont val="Tahoma"/>
            <family val="2"/>
          </rPr>
          <t xml:space="preserve">
</t>
        </r>
        <r>
          <rPr>
            <sz val="10"/>
            <color rgb="FF000000"/>
            <rFont val="Arial"/>
            <family val="2"/>
          </rPr>
          <t xml:space="preserve">News Media Canada (2018). Newspaper Net Advertising Revenue 2017.
</t>
        </r>
      </text>
    </comment>
    <comment ref="Q38" authorId="0" shapeId="0" xr:uid="{36D4FD81-D10C-FC43-B4EC-6A68CF927BEA}">
      <text>
        <r>
          <rPr>
            <b/>
            <sz val="10"/>
            <color rgb="FF000000"/>
            <rFont val="Tahoma"/>
            <family val="2"/>
          </rPr>
          <t>DD:</t>
        </r>
        <r>
          <rPr>
            <sz val="10"/>
            <color rgb="FF000000"/>
            <rFont val="Tahoma"/>
            <family val="2"/>
          </rPr>
          <t xml:space="preserve">
</t>
        </r>
        <r>
          <rPr>
            <sz val="10"/>
            <color rgb="FF000000"/>
            <rFont val="Arial"/>
            <family val="2"/>
          </rPr>
          <t xml:space="preserve">News Media Canada (2019). Newspaper Net Advertising Revenue 2018.
</t>
        </r>
      </text>
    </comment>
    <comment ref="B41" authorId="0" shapeId="0" xr:uid="{B2E8A9D0-7FEF-6F49-85CB-D3165C9CFA74}">
      <text>
        <r>
          <rPr>
            <b/>
            <sz val="10"/>
            <color rgb="FF000000"/>
            <rFont val="Tahoma"/>
            <family val="2"/>
          </rPr>
          <t>DD:</t>
        </r>
        <r>
          <rPr>
            <sz val="10"/>
            <color rgb="FF000000"/>
            <rFont val="Tahoma"/>
            <family val="2"/>
          </rPr>
          <t xml:space="preserve">
</t>
        </r>
        <r>
          <rPr>
            <sz val="10"/>
            <color rgb="FF000000"/>
            <rFont val="Tahoma"/>
            <family val="2"/>
          </rPr>
          <t xml:space="preserve">Does not include online advertising to avoid double counting. </t>
        </r>
      </text>
    </comment>
    <comment ref="L41" authorId="1" shapeId="0" xr:uid="{87283084-1EF4-F04B-9A0A-C1FA0506098D}">
      <text>
        <r>
          <rPr>
            <sz val="9"/>
            <color rgb="FF000000"/>
            <rFont val="Arial"/>
            <family val="2"/>
          </rPr>
          <t xml:space="preserve">TVB NAV Rpt 2004-2014.
</t>
        </r>
      </text>
    </comment>
    <comment ref="M41" authorId="1" shapeId="0" xr:uid="{EAC80428-7863-E745-9511-5099C9726C90}">
      <text>
        <r>
          <rPr>
            <sz val="9"/>
            <color rgb="FF000000"/>
            <rFont val="Arial"/>
            <family val="2"/>
          </rPr>
          <t xml:space="preserve">News Media Canada (2017). Newspaper Net Advertising Revenue 2016.
</t>
        </r>
      </text>
    </comment>
    <comment ref="N41" authorId="1" shapeId="0" xr:uid="{7FFABB1E-00F3-954B-816B-ECF64EA0FB1C}">
      <text>
        <r>
          <rPr>
            <b/>
            <sz val="10"/>
            <color rgb="FF000000"/>
            <rFont val="Calibri"/>
            <family val="2"/>
          </rPr>
          <t>Dwayne Winseck:</t>
        </r>
        <r>
          <rPr>
            <sz val="10"/>
            <color rgb="FF000000"/>
            <rFont val="Calibri"/>
            <family val="2"/>
          </rPr>
          <t xml:space="preserve">
</t>
        </r>
        <r>
          <rPr>
            <sz val="10"/>
            <color rgb="FF000000"/>
            <rFont val="Calibri"/>
            <family val="2"/>
          </rPr>
          <t>News Media Canada (2017). Newspaper Net Advertising Revenue 2016.</t>
        </r>
      </text>
    </comment>
    <comment ref="O41" authorId="1" shapeId="0" xr:uid="{E4BED3EB-D0CC-2542-BF64-FAF1C4A36B43}">
      <text>
        <r>
          <rPr>
            <sz val="10"/>
            <color rgb="FF000000"/>
            <rFont val="Calibri"/>
            <family val="2"/>
          </rPr>
          <t>News Media Canada (2017). Newspaper Net Advertising Revenue 2016.</t>
        </r>
      </text>
    </comment>
    <comment ref="P41" authorId="2" shapeId="0" xr:uid="{86BD94F9-6E54-8645-92CE-9E1800B31352}">
      <text>
        <r>
          <rPr>
            <b/>
            <sz val="10"/>
            <color rgb="FF000000"/>
            <rFont val="Tahoma"/>
            <family val="2"/>
          </rPr>
          <t>Pheasant:</t>
        </r>
        <r>
          <rPr>
            <sz val="10"/>
            <color rgb="FF000000"/>
            <rFont val="Tahoma"/>
            <family val="2"/>
          </rPr>
          <t xml:space="preserve">
</t>
        </r>
        <r>
          <rPr>
            <sz val="10"/>
            <color rgb="FF000000"/>
            <rFont val="Arial"/>
            <family val="2"/>
          </rPr>
          <t xml:space="preserve">News Media Canada (2018). Newspaper Net Advertising Revenue 2017.
</t>
        </r>
      </text>
    </comment>
    <comment ref="Q41" authorId="0" shapeId="0" xr:uid="{92433AAA-C21B-894A-8876-A885C8F4CCA2}">
      <text>
        <r>
          <rPr>
            <b/>
            <sz val="10"/>
            <color rgb="FF000000"/>
            <rFont val="Tahoma"/>
            <family val="2"/>
          </rPr>
          <t>DD:</t>
        </r>
        <r>
          <rPr>
            <sz val="10"/>
            <color rgb="FF000000"/>
            <rFont val="Tahoma"/>
            <family val="2"/>
          </rPr>
          <t xml:space="preserve">
</t>
        </r>
        <r>
          <rPr>
            <sz val="10"/>
            <color rgb="FF000000"/>
            <rFont val="Arial"/>
            <family val="2"/>
          </rPr>
          <t xml:space="preserve">News Media Canada (2019). Newspaper Net Advertising Revenue 2018. 
</t>
        </r>
      </text>
    </comment>
    <comment ref="R41" authorId="0" shapeId="0" xr:uid="{9AEB462A-D59C-924E-8BA3-6BE269F2C055}">
      <text>
        <r>
          <rPr>
            <sz val="10"/>
            <color rgb="FF000000"/>
            <rFont val="Arial"/>
            <family val="2"/>
          </rPr>
          <t xml:space="preserve">News Media Canada (2020). Newspaper Net Advertising Revenue 2019. </t>
        </r>
      </text>
    </comment>
    <comment ref="S41" authorId="0" shapeId="0" xr:uid="{8D53A143-F8B0-A24C-A5C8-6198E7EA95C9}">
      <text>
        <r>
          <rPr>
            <sz val="10"/>
            <color rgb="FF000000"/>
            <rFont val="Arial"/>
            <family val="2"/>
          </rPr>
          <t xml:space="preserve">News Media Canada (2022). Newspaper Net Advertising Revenue 2021. 
</t>
        </r>
      </text>
    </comment>
    <comment ref="T41" authorId="0" shapeId="0" xr:uid="{577BC2C5-3E63-7B4E-A10A-65999DE41B97}">
      <text>
        <r>
          <rPr>
            <sz val="10"/>
            <color rgb="FF000000"/>
            <rFont val="Arial"/>
            <family val="2"/>
          </rPr>
          <t xml:space="preserve">News Media Canada (2022). Newspaper Net Advertising Revenue 2021. </t>
        </r>
      </text>
    </comment>
    <comment ref="U41" authorId="0" shapeId="0" xr:uid="{8E6EEB33-0288-584C-8773-3B5CA2F9CFF3}">
      <text>
        <r>
          <rPr>
            <sz val="10"/>
            <color rgb="FF000000"/>
            <rFont val="Tahoma"/>
            <family val="2"/>
          </rPr>
          <t>Estimate based on y-o-y decline of 2.67%, as per News Media Canada / ThinkTV Net Advertising Volume, 2012-2021.</t>
        </r>
      </text>
    </comment>
    <comment ref="H46" authorId="1" shapeId="0" xr:uid="{FA63EE26-F120-344E-9311-DDEC1F9A265A}">
      <text>
        <r>
          <rPr>
            <b/>
            <sz val="10"/>
            <color rgb="FF000000"/>
            <rFont val="Calibri"/>
            <family val="2"/>
          </rPr>
          <t>Dwayne Winseck:</t>
        </r>
        <r>
          <rPr>
            <sz val="10"/>
            <color rgb="FF000000"/>
            <rFont val="Calibri"/>
            <family val="2"/>
          </rPr>
          <t xml:space="preserve">
</t>
        </r>
        <r>
          <rPr>
            <sz val="10"/>
            <color rgb="FF000000"/>
            <rFont val="Calibri"/>
            <family val="2"/>
          </rPr>
          <t>News Media Canada (2017). Newspaper Net Advertising Revenue 2016.</t>
        </r>
      </text>
    </comment>
    <comment ref="I46" authorId="1" shapeId="0" xr:uid="{433A470E-4F97-8949-AEA7-6CEBE055D1A4}">
      <text>
        <r>
          <rPr>
            <b/>
            <sz val="10"/>
            <color rgb="FF000000"/>
            <rFont val="Calibri"/>
            <family val="2"/>
          </rPr>
          <t>Dwayne Winseck:</t>
        </r>
        <r>
          <rPr>
            <sz val="10"/>
            <color rgb="FF000000"/>
            <rFont val="Calibri"/>
            <family val="2"/>
          </rPr>
          <t xml:space="preserve">
</t>
        </r>
        <r>
          <rPr>
            <sz val="10"/>
            <color rgb="FF000000"/>
            <rFont val="Calibri"/>
            <family val="2"/>
          </rPr>
          <t>News Media Canada (2017). Newspaper Net Advertising Revenue 2016.</t>
        </r>
      </text>
    </comment>
    <comment ref="J46" authorId="1" shapeId="0" xr:uid="{660AE55F-9F95-AA44-B900-861534FD9850}">
      <text>
        <r>
          <rPr>
            <b/>
            <sz val="10"/>
            <color indexed="81"/>
            <rFont val="Calibri"/>
            <family val="2"/>
          </rPr>
          <t>Dwayne Winseck:</t>
        </r>
        <r>
          <rPr>
            <sz val="10"/>
            <color indexed="81"/>
            <rFont val="Calibri"/>
            <family val="2"/>
          </rPr>
          <t xml:space="preserve">
News Media Canada (2017). Newspaper Net Advertising Revenue 2016.</t>
        </r>
      </text>
    </comment>
    <comment ref="K46" authorId="1" shapeId="0" xr:uid="{9160C5A1-9D84-C54A-8FEF-F9B0FE48AE23}">
      <text>
        <r>
          <rPr>
            <b/>
            <sz val="10"/>
            <color rgb="FF000000"/>
            <rFont val="Calibri"/>
            <family val="2"/>
          </rPr>
          <t>Dwayne Winseck:</t>
        </r>
        <r>
          <rPr>
            <sz val="10"/>
            <color rgb="FF000000"/>
            <rFont val="Calibri"/>
            <family val="2"/>
          </rPr>
          <t xml:space="preserve">
</t>
        </r>
        <r>
          <rPr>
            <sz val="10"/>
            <color rgb="FF000000"/>
            <rFont val="Calibri"/>
            <family val="2"/>
          </rPr>
          <t>News Media Canada (2017). Newspaper Net Advertising Revenue 2016.</t>
        </r>
      </text>
    </comment>
    <comment ref="L46" authorId="1" shapeId="0" xr:uid="{F526BF92-90DD-5D4E-B7C0-1D8787B9B408}">
      <text>
        <r>
          <rPr>
            <b/>
            <sz val="10"/>
            <color indexed="81"/>
            <rFont val="Calibri"/>
            <family val="2"/>
          </rPr>
          <t>Dwayne Winseck:</t>
        </r>
        <r>
          <rPr>
            <sz val="10"/>
            <color indexed="81"/>
            <rFont val="Calibri"/>
            <family val="2"/>
          </rPr>
          <t xml:space="preserve">
News Media Canada (2017). Newspaper Net Advertising Revenue 2016.</t>
        </r>
      </text>
    </comment>
    <comment ref="M46" authorId="1" shapeId="0" xr:uid="{063E8265-595F-B345-8D06-5E45C675C4E4}">
      <text>
        <r>
          <rPr>
            <b/>
            <sz val="10"/>
            <color rgb="FF000000"/>
            <rFont val="Calibri"/>
            <family val="2"/>
          </rPr>
          <t>Dwayne Winseck:</t>
        </r>
        <r>
          <rPr>
            <sz val="10"/>
            <color rgb="FF000000"/>
            <rFont val="Calibri"/>
            <family val="2"/>
          </rPr>
          <t xml:space="preserve">
</t>
        </r>
        <r>
          <rPr>
            <sz val="10"/>
            <color rgb="FF000000"/>
            <rFont val="Calibri"/>
            <family val="2"/>
          </rPr>
          <t>News Media Canada (2017). Newspaper Net Advertising Revenue 2016.</t>
        </r>
      </text>
    </comment>
    <comment ref="N46" authorId="1" shapeId="0" xr:uid="{F1E5739E-8C14-8F45-A0C9-C085A5C8CF2D}">
      <text>
        <r>
          <rPr>
            <b/>
            <sz val="10"/>
            <color rgb="FF000000"/>
            <rFont val="Calibri"/>
            <family val="2"/>
          </rPr>
          <t>Dwayne Winseck:</t>
        </r>
        <r>
          <rPr>
            <sz val="10"/>
            <color rgb="FF000000"/>
            <rFont val="Calibri"/>
            <family val="2"/>
          </rPr>
          <t xml:space="preserve">
</t>
        </r>
        <r>
          <rPr>
            <sz val="10"/>
            <color rgb="FF000000"/>
            <rFont val="Calibri"/>
            <family val="2"/>
          </rPr>
          <t>News Media Canada (2017). Newspaper Net Advertising Revenue 2016.</t>
        </r>
      </text>
    </comment>
    <comment ref="O46" authorId="1" shapeId="0" xr:uid="{B9419CE3-6514-3243-B286-D6F048A86839}">
      <text>
        <r>
          <rPr>
            <b/>
            <sz val="10"/>
            <color rgb="FF000000"/>
            <rFont val="Calibri"/>
            <family val="2"/>
          </rPr>
          <t>Dwayne Winseck:</t>
        </r>
        <r>
          <rPr>
            <sz val="10"/>
            <color rgb="FF000000"/>
            <rFont val="Calibri"/>
            <family val="2"/>
          </rPr>
          <t xml:space="preserve">
</t>
        </r>
        <r>
          <rPr>
            <sz val="10"/>
            <color rgb="FF000000"/>
            <rFont val="Calibri"/>
            <family val="2"/>
          </rPr>
          <t>News Media Canada (2017). Newspaper Net Advertising Revenue 2016.NMC (2017). Newspaper Circulation Revenue Trending 2016</t>
        </r>
      </text>
    </comment>
    <comment ref="P46" authorId="2" shapeId="0" xr:uid="{CDF687F0-8ABD-3D4B-AAF7-D614B9632BBE}">
      <text>
        <r>
          <rPr>
            <b/>
            <sz val="10"/>
            <color rgb="FF000000"/>
            <rFont val="Tahoma"/>
            <family val="2"/>
          </rPr>
          <t>Pheasant:</t>
        </r>
        <r>
          <rPr>
            <sz val="10"/>
            <color rgb="FF000000"/>
            <rFont val="Tahoma"/>
            <family val="2"/>
          </rPr>
          <t xml:space="preserve">
</t>
        </r>
        <r>
          <rPr>
            <sz val="10"/>
            <color rgb="FF000000"/>
            <rFont val="Arial"/>
            <family val="2"/>
          </rPr>
          <t xml:space="preserve">News Media Canada (2018). Newspaper Net Advertising Revenue 2017.
</t>
        </r>
      </text>
    </comment>
    <comment ref="U46" authorId="0" shapeId="0" xr:uid="{95A48F0D-E316-0E4C-81D4-42FA16B11222}">
      <text>
        <r>
          <rPr>
            <sz val="10"/>
            <color rgb="FF000000"/>
            <rFont val="Arial"/>
            <family val="2"/>
          </rPr>
          <t xml:space="preserve">News Media Canada / ThinkTV Net Advertising Volume, 2012-2022.
</t>
        </r>
      </text>
    </comment>
    <comment ref="T50" authorId="0" shapeId="0" xr:uid="{9573833F-3CD2-114B-BE33-38F4F7EA4F10}">
      <text>
        <r>
          <rPr>
            <b/>
            <sz val="10"/>
            <color rgb="FF000000"/>
            <rFont val="Tahoma"/>
            <family val="2"/>
          </rPr>
          <t>DD:</t>
        </r>
        <r>
          <rPr>
            <sz val="10"/>
            <color rgb="FF000000"/>
            <rFont val="Tahoma"/>
            <family val="2"/>
          </rPr>
          <t xml:space="preserve"> </t>
        </r>
        <r>
          <rPr>
            <sz val="10"/>
            <color rgb="FF000000"/>
            <rFont val="Arial"/>
            <family val="2"/>
          </rPr>
          <t xml:space="preserve">CRTC 2021 Broadcasting Financial Summaries--Radio. https://crtc.gc.ca/eng/industr/fin.htm 
</t>
        </r>
        <r>
          <rPr>
            <sz val="10"/>
            <color rgb="FF000000"/>
            <rFont val="Arial"/>
            <family val="2"/>
          </rPr>
          <t xml:space="preserve">
</t>
        </r>
      </text>
    </comment>
    <comment ref="U50" authorId="0" shapeId="0" xr:uid="{CDD77476-5D62-884A-83FE-CE431E1D8B5F}">
      <text>
        <r>
          <rPr>
            <sz val="10"/>
            <color rgb="FF000000"/>
            <rFont val="Arial"/>
            <family val="2"/>
          </rPr>
          <t xml:space="preserve">CRTC 2022 Broadcasting Financial Summaries--Radio. https://crtc.gc.ca/eng/industr/fin.htm 
</t>
        </r>
      </text>
    </comment>
    <comment ref="T55" authorId="0" shapeId="0" xr:uid="{0107BA2E-085B-4649-9146-0AC53760550C}">
      <text>
        <r>
          <rPr>
            <b/>
            <sz val="10"/>
            <color rgb="FF000000"/>
            <rFont val="Tahoma"/>
            <family val="2"/>
          </rPr>
          <t>DD:</t>
        </r>
        <r>
          <rPr>
            <sz val="10"/>
            <color rgb="FF000000"/>
            <rFont val="Tahoma"/>
            <family val="2"/>
          </rPr>
          <t xml:space="preserve">
</t>
        </r>
        <r>
          <rPr>
            <sz val="10"/>
            <color rgb="FF000000"/>
            <rFont val="Calibri"/>
            <family val="2"/>
          </rPr>
          <t xml:space="preserve">Iab.Canada (June 2022). 2021 Internet Ad Revenue Survey https://iabcanada.com/content/uploads/2022/06/IAB-Canada-Revenue-Survey-2021-Final.pdf. </t>
        </r>
      </text>
    </comment>
    <comment ref="U55" authorId="0" shapeId="0" xr:uid="{BF89D597-67F8-C144-A581-28538D901D75}">
      <text>
        <r>
          <rPr>
            <sz val="10"/>
            <color rgb="FF000000"/>
            <rFont val="Arial"/>
            <family val="2"/>
          </rPr>
          <t xml:space="preserve">Iab.Canada (June 2023). 2022 Internet Ad Revenue Survey https://iabcanada.com/content/uploads/2023/06/IABCanadaRevenueSurvey2022_Final.pdf. </t>
        </r>
        <r>
          <rPr>
            <i/>
            <sz val="10"/>
            <color rgb="FF000000"/>
            <rFont val="Arial"/>
            <family val="2"/>
          </rPr>
          <t xml:space="preserve"> </t>
        </r>
      </text>
    </comment>
    <comment ref="N59" authorId="1" shapeId="0" xr:uid="{359A95A8-FD85-404E-B2F7-D1CB68D7B519}">
      <text>
        <r>
          <rPr>
            <b/>
            <sz val="9"/>
            <color rgb="FF000000"/>
            <rFont val="Arial"/>
            <family val="2"/>
          </rPr>
          <t>Dwayne Winseck:</t>
        </r>
        <r>
          <rPr>
            <sz val="9"/>
            <color rgb="FF000000"/>
            <rFont val="Arial"/>
            <family val="2"/>
          </rPr>
          <t xml:space="preserve">
</t>
        </r>
        <r>
          <rPr>
            <sz val="9"/>
            <color rgb="FF000000"/>
            <rFont val="Arial"/>
            <family val="2"/>
          </rPr>
          <t xml:space="preserve">Not stand alone but combines other categories, so do not double count. </t>
        </r>
      </text>
    </comment>
    <comment ref="V66" authorId="0" shapeId="0" xr:uid="{8C3EC9D9-265D-FF42-BF9C-9AD47A708651}">
      <text>
        <r>
          <rPr>
            <sz val="10"/>
            <color rgb="FF000000"/>
            <rFont val="Tahoma"/>
            <family val="2"/>
          </rPr>
          <t xml:space="preserve">Estimate based on advertising accounting for 7.6% of magazine revenue and estimated y-o-y decline of total revenue of 3.06%, as per PWC Global entertainment and media outlook, 2024-2028. </t>
        </r>
      </text>
    </comment>
    <comment ref="V67" authorId="0" shapeId="0" xr:uid="{AA9C9D91-D0F5-2340-A10B-8683C470B2CB}">
      <text>
        <r>
          <rPr>
            <sz val="10"/>
            <color rgb="FF000000"/>
            <rFont val="Tahoma"/>
            <family val="2"/>
          </rPr>
          <t xml:space="preserve">Estimate of y-o-y growth of 17.27% based on PWC Global entertainment &amp; media outlook, 2024-2028. </t>
        </r>
      </text>
    </comment>
    <comment ref="A70" authorId="2" shapeId="0" xr:uid="{C581101C-5DEE-2246-817B-06BEB4C4D829}">
      <text>
        <r>
          <rPr>
            <b/>
            <sz val="10"/>
            <color rgb="FF000000"/>
            <rFont val="Tahoma"/>
            <family val="2"/>
          </rPr>
          <t>Pheasant:</t>
        </r>
        <r>
          <rPr>
            <sz val="10"/>
            <color rgb="FF000000"/>
            <rFont val="Tahoma"/>
            <family val="2"/>
          </rPr>
          <t xml:space="preserve">
</t>
        </r>
        <r>
          <rPr>
            <sz val="10"/>
            <color rgb="FF000000"/>
            <rFont val="Tahoma"/>
            <family val="2"/>
          </rPr>
          <t xml:space="preserve">Total excludes online advertising for TV, Radio and Newspapers to avoid double counting. Those revenues are included in the "Internet Advertising" category. </t>
        </r>
      </text>
    </comment>
    <comment ref="O74" authorId="1" shapeId="0" xr:uid="{5642480B-9FF8-9648-81E9-963337E786DF}">
      <text>
        <r>
          <rPr>
            <b/>
            <sz val="10"/>
            <color rgb="FF000000"/>
            <rFont val="Calibri"/>
            <family val="2"/>
          </rPr>
          <t>Dwayne Winseck:</t>
        </r>
        <r>
          <rPr>
            <sz val="10"/>
            <color rgb="FF000000"/>
            <rFont val="Calibri"/>
            <family val="2"/>
          </rPr>
          <t xml:space="preserve">
</t>
        </r>
        <r>
          <rPr>
            <sz val="10"/>
            <color rgb="FF000000"/>
            <rFont val="Calibri"/>
            <family val="2"/>
          </rPr>
          <t>CRTC Financial Summaries for Broadcasting Sectors (based on local and national time sales + "Other Revenue" for private conventional broadcasters and CBC. http://www.crtc.gc.ca/eng/publications/reports/branalysis/tv2016/tv1.htm + http://www.crtc.gc.ca/eng/publications/reports/branalysis/tv2016/tv13.htm</t>
        </r>
      </text>
    </comment>
    <comment ref="A107" authorId="0" shapeId="0" xr:uid="{527C6E50-6292-6B4A-9C8D-86A614FCB756}">
      <text>
        <r>
          <rPr>
            <sz val="10"/>
            <color rgb="FF000000"/>
            <rFont val="Aptos Narrow"/>
            <family val="2"/>
          </rPr>
          <t>Private Dwellings occupied by usual residents. Years between census data points are based on CAGR between census, i.e. betweeen the 2016 and 2021 Census of Population. Statistics Canada. 2023. (table). </t>
        </r>
        <r>
          <rPr>
            <i/>
            <sz val="10"/>
            <color rgb="FF000000"/>
            <rFont val="Aptos Narrow"/>
            <family val="2"/>
          </rPr>
          <t>Census Profile</t>
        </r>
        <r>
          <rPr>
            <sz val="10"/>
            <color rgb="FF000000"/>
            <rFont val="Aptos Narrow"/>
            <family val="2"/>
          </rPr>
          <t xml:space="preserve">. 2021 Census of Population. Statistics Canada Catalogue no. 98-316-X2021001. Ottawa. Released March 29, 2023. https://www12.statcan.gc.ca/census-recensement/2021/dp-pd/prof/index.cfm?Lang=E (accessed August 19, 2023) 
</t>
        </r>
      </text>
    </comment>
    <comment ref="A114" authorId="0" shapeId="0" xr:uid="{636EE394-8BB9-2241-A627-4FB99037C619}">
      <text>
        <r>
          <rPr>
            <b/>
            <sz val="10"/>
            <color rgb="FF000000"/>
            <rFont val="Tahoma"/>
            <family val="2"/>
          </rPr>
          <t>DD:</t>
        </r>
        <r>
          <rPr>
            <sz val="10"/>
            <color rgb="FF000000"/>
            <rFont val="Tahoma"/>
            <family val="2"/>
          </rPr>
          <t xml:space="preserve">
</t>
        </r>
        <r>
          <rPr>
            <sz val="10"/>
            <color rgb="FF000000"/>
            <rFont val="Tahoma"/>
            <family val="2"/>
          </rPr>
          <t>https://www150.statcan.gc.ca/t1/tbl1/en/tv.action?pid=1710000501</t>
        </r>
      </text>
    </comment>
    <comment ref="A115" authorId="0" shapeId="0" xr:uid="{63C62134-DA3B-9248-B2AB-1110D9B7C393}">
      <text/>
    </comment>
    <comment ref="B130" authorId="1" shapeId="0" xr:uid="{A88315F5-5D72-BE41-BC0F-8EFF5EA519EF}">
      <text>
        <r>
          <rPr>
            <sz val="10"/>
            <color rgb="FF000000"/>
            <rFont val="Calibri"/>
            <family val="2"/>
          </rPr>
          <t>Statistics Canada T</t>
        </r>
        <r>
          <rPr>
            <sz val="10"/>
            <color rgb="FF000000"/>
            <rFont val="Arial"/>
            <family val="2"/>
          </rPr>
          <t xml:space="preserve">able: 36-10-0221-01 (formerly CANSIM  384-0037). </t>
        </r>
        <r>
          <rPr>
            <sz val="10"/>
            <color rgb="FF000000"/>
            <rFont val="Calibri"/>
            <family val="2"/>
          </rPr>
          <t xml:space="preserve">Gross Domestic Product, Income-based, Provincial and Territorial
</t>
        </r>
        <r>
          <rPr>
            <sz val="10"/>
            <color rgb="FF000000"/>
            <rFont val="Calibri"/>
            <family val="2"/>
          </rPr>
          <t xml:space="preserve">https://www150.statcan.gc.ca/t1/tbl1/en/tv.action?pid=3610022101. </t>
        </r>
      </text>
    </comment>
    <comment ref="K143" authorId="0" shapeId="0" xr:uid="{2A0ECDAB-0232-C740-A7A0-BBFF8C7DA9E7}">
      <text>
        <r>
          <rPr>
            <b/>
            <sz val="10"/>
            <color rgb="FF000000"/>
            <rFont val="Tahoma"/>
            <family val="2"/>
          </rPr>
          <t>DD:</t>
        </r>
        <r>
          <rPr>
            <sz val="10"/>
            <color rgb="FF000000"/>
            <rFont val="Tahoma"/>
            <family val="2"/>
          </rPr>
          <t xml:space="preserve">
</t>
        </r>
        <r>
          <rPr>
            <sz val="10"/>
            <color rgb="FF000000"/>
            <rFont val="Tahoma"/>
            <family val="2"/>
          </rPr>
          <t>https://www150.statcan.gc.ca/t1/tbl1/en/tv.action?pid=1710000501</t>
        </r>
      </text>
    </comment>
    <comment ref="J144" authorId="0" shapeId="0" xr:uid="{8E85B9BD-27F9-0A46-AF5A-A260FE6F0C89}">
      <text>
        <r>
          <rPr>
            <b/>
            <sz val="10"/>
            <color rgb="FF000000"/>
            <rFont val="Tahoma"/>
            <family val="2"/>
          </rPr>
          <t>DD:</t>
        </r>
        <r>
          <rPr>
            <sz val="10"/>
            <color rgb="FF000000"/>
            <rFont val="Tahoma"/>
            <family val="2"/>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Dong Blue</author>
    <author>tc={B17AEB0F-89CA-924E-B3D2-375C2C5953BA}</author>
    <author>tc={28A8FDA1-52CA-C946-B887-5875DD12D9F5}</author>
    <author>tc={F268187F-AADF-DB4C-A70B-C429CC40964A}</author>
    <author>tc={B1B0F992-099B-3440-A17C-5891BF0EBD18}</author>
    <author>tc={9059739E-1A2B-A84E-AE8A-63FD08A41255}</author>
    <author>tc={79797AAE-A354-8843-878E-AA8B27157B62}</author>
    <author>tc={43980333-7FCD-D347-882B-64560B763005}</author>
    <author>tc={96BAFDA6-2A66-F142-9348-497DCCF87B2A}</author>
    <author>tc={DD247173-4859-7843-875F-31FE800A4EC0}</author>
    <author>tc={70BE40D1-1A68-4E49-B3C5-1F4698EA44DB}</author>
    <author/>
    <author>Microsoft Office User</author>
  </authors>
  <commentList>
    <comment ref="B46" authorId="0" shapeId="0" xr:uid="{131B6EA6-E2E7-2C4D-B2F6-D8BC708CE026}">
      <text>
        <r>
          <rPr>
            <b/>
            <sz val="9"/>
            <color rgb="FF000000"/>
            <rFont val="Tahoma"/>
            <family val="2"/>
          </rPr>
          <t>Dong Blue:</t>
        </r>
        <r>
          <rPr>
            <sz val="9"/>
            <color rgb="FF000000"/>
            <rFont val="Tahoma"/>
            <family val="2"/>
          </rPr>
          <t xml:space="preserve">
</t>
        </r>
        <r>
          <rPr>
            <sz val="9"/>
            <color rgb="FF000000"/>
            <rFont val="Tahoma"/>
            <family val="2"/>
          </rPr>
          <t xml:space="preserve">BCE 2023 p.17 
</t>
        </r>
        <r>
          <rPr>
            <sz val="9"/>
            <color rgb="FF000000"/>
            <rFont val="Tahoma"/>
            <family val="2"/>
          </rPr>
          <t>https://www.bce.ca/investors/AR-2024/2024-bce-annual-financial-report.pdf</t>
        </r>
      </text>
    </comment>
    <comment ref="C46" authorId="0" shapeId="0" xr:uid="{293A1A88-0BCE-334D-A417-BA9A9093B299}">
      <text>
        <r>
          <rPr>
            <b/>
            <sz val="9"/>
            <color rgb="FF000000"/>
            <rFont val="Tahoma"/>
            <family val="2"/>
          </rPr>
          <t>Dong Blue:</t>
        </r>
        <r>
          <rPr>
            <sz val="9"/>
            <color rgb="FF000000"/>
            <rFont val="Tahoma"/>
            <family val="2"/>
          </rPr>
          <t xml:space="preserve">
24 specialty TV channels + 5 streaming services</t>
        </r>
      </text>
    </comment>
    <comment ref="B47" authorId="0" shapeId="0" xr:uid="{EBD06731-671F-FA41-B3ED-23C0CFC97C80}">
      <text>
        <r>
          <rPr>
            <b/>
            <sz val="9"/>
            <color rgb="FF000000"/>
            <rFont val="Tahoma"/>
            <family val="2"/>
          </rPr>
          <t>Dong Blue:</t>
        </r>
        <r>
          <rPr>
            <sz val="9"/>
            <color rgb="FF000000"/>
            <rFont val="Tahoma"/>
            <family val="2"/>
          </rPr>
          <t xml:space="preserve">
Corus AR2024, p.19 
https://assets.corusent.com/wp-content/uploads/2024/12/corus_ar2024_vf.pdf</t>
        </r>
      </text>
    </comment>
    <comment ref="C47" authorId="0" shapeId="0" xr:uid="{198D826C-CFA9-044F-8B58-A592B13C45B6}">
      <text>
        <r>
          <rPr>
            <b/>
            <sz val="9"/>
            <color rgb="FF000000"/>
            <rFont val="Tahoma"/>
            <family val="2"/>
          </rPr>
          <t>Dong Blue:</t>
        </r>
        <r>
          <rPr>
            <sz val="9"/>
            <color rgb="FF000000"/>
            <rFont val="Tahoma"/>
            <family val="2"/>
          </rPr>
          <t xml:space="preserve">
</t>
        </r>
        <r>
          <rPr>
            <sz val="9"/>
            <color rgb="FF000000"/>
            <rFont val="Tahoma"/>
            <family val="2"/>
          </rPr>
          <t>"33 specialty television networks"</t>
        </r>
      </text>
    </comment>
    <comment ref="B48" authorId="0" shapeId="0" xr:uid="{6AED92A7-2D96-264C-B1B8-AD545BC64DA6}">
      <text>
        <r>
          <rPr>
            <b/>
            <sz val="9"/>
            <color rgb="FF000000"/>
            <rFont val="Tahoma"/>
            <family val="2"/>
          </rPr>
          <t>Dong Blue:</t>
        </r>
        <r>
          <rPr>
            <sz val="9"/>
            <color rgb="FF000000"/>
            <rFont val="Tahoma"/>
            <family val="2"/>
          </rPr>
          <t xml:space="preserve">
Rogers AR2024, p.22
“28 TV stations and specialty channels” - 11 pay tv channels = 17
Rogers AR2022, p.29
“23 TV stations and specialty channels” - 11 pay tv channels = 12
https://about.rogers.com/wp-content/uploads/Rogers-2024-Annual-Report.pdf</t>
        </r>
      </text>
    </comment>
    <comment ref="B49" authorId="0" shapeId="0" xr:uid="{51874AEC-922C-DA45-A077-9B2C45CA2D67}">
      <text>
        <r>
          <rPr>
            <b/>
            <sz val="9"/>
            <color indexed="81"/>
            <rFont val="Tahoma"/>
            <family val="2"/>
          </rPr>
          <t>Dong Blue:</t>
        </r>
        <r>
          <rPr>
            <sz val="9"/>
            <color indexed="81"/>
            <rFont val="Tahoma"/>
            <family val="2"/>
          </rPr>
          <t xml:space="preserve">
Quebecor AR2024, p.8
 https://www.quebecor.com/documents/20143/941219/Rapport_Act2024_En.pdf/92b26f05-b78d-2220-aa28-0af9d182dfc8?t=1715251000313</t>
        </r>
      </text>
    </comment>
    <comment ref="B50" authorId="0" shapeId="0" xr:uid="{E9CD7723-9A0F-6B42-BCA4-F4AB4EF37554}">
      <text>
        <r>
          <rPr>
            <b/>
            <sz val="9"/>
            <color indexed="81"/>
            <rFont val="Tahoma"/>
            <family val="2"/>
          </rPr>
          <t>Dong Blue:</t>
        </r>
        <r>
          <rPr>
            <sz val="9"/>
            <color indexed="81"/>
            <rFont val="Tahoma"/>
            <family val="2"/>
          </rPr>
          <t xml:space="preserve">
CBC AR2024, p.19 
https://site-cbc.radio-canada.ca/documents/impact-and-accountability/finances/2024/annual-report-2023-2024.pdf</t>
        </r>
      </text>
    </comment>
    <comment ref="C50" authorId="0" shapeId="0" xr:uid="{1E73D9EE-96A0-B842-96C5-A89173682889}">
      <text>
        <r>
          <rPr>
            <b/>
            <sz val="9"/>
            <color rgb="FF000000"/>
            <rFont val="Tahoma"/>
            <family val="2"/>
          </rPr>
          <t>Dong Blue:</t>
        </r>
        <r>
          <rPr>
            <sz val="9"/>
            <color rgb="FF000000"/>
            <rFont val="Tahoma"/>
            <family val="2"/>
          </rPr>
          <t xml:space="preserve">
</t>
        </r>
        <r>
          <rPr>
            <sz val="9"/>
            <color rgb="FF000000"/>
            <rFont val="Tahoma"/>
            <family val="2"/>
          </rPr>
          <t xml:space="preserve">"27 television stations, 88 radio stations and one digital-only station. We have ve
</t>
        </r>
        <r>
          <rPr>
            <sz val="9"/>
            <color rgb="FF000000"/>
            <rFont val="Tahoma"/>
            <family val="2"/>
          </rPr>
          <t>discretionary television channels and four Canada-wide radio networks, two in each official language"</t>
        </r>
      </text>
    </comment>
    <comment ref="B56" authorId="0" shapeId="0" xr:uid="{318F62AC-3EB4-4A4C-940E-21125F9128F2}">
      <text>
        <r>
          <rPr>
            <b/>
            <sz val="9"/>
            <color indexed="81"/>
            <rFont val="Tahoma"/>
            <family val="2"/>
          </rPr>
          <t>Dong Blue:</t>
        </r>
        <r>
          <rPr>
            <sz val="9"/>
            <color indexed="81"/>
            <rFont val="Tahoma"/>
            <family val="2"/>
          </rPr>
          <t xml:space="preserve">
BCE 2023 p.79 https://www.bce.ca/investors/AR-2023/2023-bce-integrated-annual-report.pdf</t>
        </r>
      </text>
    </comment>
    <comment ref="C56" authorId="0" shapeId="0" xr:uid="{EB5B0F85-8521-504D-A9B6-A62099CBEFF2}">
      <text>
        <r>
          <rPr>
            <b/>
            <sz val="9"/>
            <color rgb="FF000000"/>
            <rFont val="Tahoma"/>
            <family val="2"/>
          </rPr>
          <t>Dong Blue:</t>
        </r>
        <r>
          <rPr>
            <sz val="9"/>
            <color rgb="FF000000"/>
            <rFont val="Tahoma"/>
            <family val="2"/>
          </rPr>
          <t xml:space="preserve">
</t>
        </r>
        <r>
          <rPr>
            <sz val="9"/>
            <color rgb="FF000000"/>
            <rFont val="Tahoma"/>
            <family val="2"/>
          </rPr>
          <t>26 specialty TV channels + 4 pay TV services and 5 streaming services</t>
        </r>
      </text>
    </comment>
    <comment ref="B57" authorId="0" shapeId="0" xr:uid="{095EAB01-7896-ED40-A42C-4197BE7026EB}">
      <text>
        <r>
          <rPr>
            <b/>
            <sz val="9"/>
            <color rgb="FF000000"/>
            <rFont val="Tahoma"/>
            <family val="2"/>
          </rPr>
          <t>Dong Blue:</t>
        </r>
        <r>
          <rPr>
            <sz val="9"/>
            <color rgb="FF000000"/>
            <rFont val="Tahoma"/>
            <family val="2"/>
          </rPr>
          <t xml:space="preserve">
</t>
        </r>
        <r>
          <rPr>
            <sz val="9"/>
            <color rgb="FF000000"/>
            <rFont val="Tahoma"/>
            <family val="2"/>
          </rPr>
          <t>Corus AR2023, p.14 https://assets.corusent.com/wp-content/uploads/2023/12/Annual-Report-2023.pdf</t>
        </r>
      </text>
    </comment>
    <comment ref="C57" authorId="0" shapeId="0" xr:uid="{1C80D0CB-222E-B44F-9B39-5ED5AFEFE76C}">
      <text>
        <r>
          <rPr>
            <b/>
            <sz val="9"/>
            <color rgb="FF000000"/>
            <rFont val="Tahoma"/>
            <family val="2"/>
          </rPr>
          <t>Dong Blue:</t>
        </r>
        <r>
          <rPr>
            <sz val="9"/>
            <color rgb="FF000000"/>
            <rFont val="Tahoma"/>
            <family val="2"/>
          </rPr>
          <t xml:space="preserve">
</t>
        </r>
        <r>
          <rPr>
            <sz val="9"/>
            <color rgb="FF000000"/>
            <rFont val="Tahoma"/>
            <family val="2"/>
          </rPr>
          <t>"33 specialty television networks"</t>
        </r>
      </text>
    </comment>
    <comment ref="B58" authorId="0" shapeId="0" xr:uid="{B36A486B-990D-244F-B984-E3C7C0545432}">
      <text>
        <r>
          <rPr>
            <b/>
            <sz val="9"/>
            <color rgb="FF000000"/>
            <rFont val="Tahoma"/>
            <family val="2"/>
          </rPr>
          <t>Dong Blue:</t>
        </r>
        <r>
          <rPr>
            <sz val="9"/>
            <color rgb="FF000000"/>
            <rFont val="Tahoma"/>
            <family val="2"/>
          </rPr>
          <t xml:space="preserve">
</t>
        </r>
        <r>
          <rPr>
            <sz val="9"/>
            <color rgb="FF000000"/>
            <rFont val="Tahoma"/>
            <family val="2"/>
          </rPr>
          <t xml:space="preserve">Rogers AR2023, p.33
</t>
        </r>
        <r>
          <rPr>
            <sz val="9"/>
            <color rgb="FF000000"/>
            <rFont val="Tahoma"/>
            <family val="2"/>
          </rPr>
          <t xml:space="preserve">
</t>
        </r>
        <r>
          <rPr>
            <sz val="9"/>
            <color rgb="FF000000"/>
            <rFont val="Tahoma"/>
            <family val="2"/>
          </rPr>
          <t xml:space="preserve">“23 TV stations and specialty channels” - 11 pay tv channels = 12
</t>
        </r>
        <r>
          <rPr>
            <sz val="9"/>
            <color rgb="FF000000"/>
            <rFont val="Tahoma"/>
            <family val="2"/>
          </rPr>
          <t xml:space="preserve">
</t>
        </r>
        <r>
          <rPr>
            <sz val="9"/>
            <color rgb="FF000000"/>
            <rFont val="Tahoma"/>
            <family val="2"/>
          </rPr>
          <t xml:space="preserve">Rogers AR2022, p.29
</t>
        </r>
        <r>
          <rPr>
            <sz val="9"/>
            <color rgb="FF000000"/>
            <rFont val="Tahoma"/>
            <family val="2"/>
          </rPr>
          <t xml:space="preserve">
</t>
        </r>
        <r>
          <rPr>
            <sz val="9"/>
            <color rgb="FF000000"/>
            <rFont val="Tahoma"/>
            <family val="2"/>
          </rPr>
          <t>“23 TV stations and specialty channels” - 11 pay tv channels = 12</t>
        </r>
      </text>
    </comment>
    <comment ref="B59" authorId="0" shapeId="0" xr:uid="{0ADB5FEE-08A3-AE4A-82C4-B302392A1D80}">
      <text>
        <r>
          <rPr>
            <b/>
            <sz val="9"/>
            <color indexed="81"/>
            <rFont val="Tahoma"/>
            <family val="2"/>
          </rPr>
          <t>Dong Blue:</t>
        </r>
        <r>
          <rPr>
            <sz val="9"/>
            <color indexed="81"/>
            <rFont val="Tahoma"/>
            <family val="2"/>
          </rPr>
          <t xml:space="preserve">
Quebecor AR2023, p.21 https://www.quebecor.com/documents/20143/941219/Rapport_Act2023_En.pdf/92b26f05-b78d-2220-aa28-0af9d182dfc8?t=1715251000313</t>
        </r>
      </text>
    </comment>
    <comment ref="B60" authorId="0" shapeId="0" xr:uid="{AB364D85-80D8-8042-A000-1AF0B3349BCB}">
      <text>
        <r>
          <rPr>
            <b/>
            <sz val="9"/>
            <color indexed="81"/>
            <rFont val="Tahoma"/>
            <family val="2"/>
          </rPr>
          <t>Dong Blue:</t>
        </r>
        <r>
          <rPr>
            <sz val="9"/>
            <color indexed="81"/>
            <rFont val="Tahoma"/>
            <family val="2"/>
          </rPr>
          <t xml:space="preserve">
CBC AR2023, p.13 https://publications.gc.ca/collections/collection_2023/radio-canada-cbc/BC1-2023-eng.pdf</t>
        </r>
      </text>
    </comment>
    <comment ref="C60" authorId="0" shapeId="0" xr:uid="{8D0B1FF2-1F2E-E04F-A9B8-F6EDA7075F3E}">
      <text>
        <r>
          <rPr>
            <b/>
            <sz val="9"/>
            <color rgb="FF000000"/>
            <rFont val="Tahoma"/>
            <family val="2"/>
          </rPr>
          <t>Dong Blue:</t>
        </r>
        <r>
          <rPr>
            <sz val="9"/>
            <color rgb="FF000000"/>
            <rFont val="Tahoma"/>
            <family val="2"/>
          </rPr>
          <t xml:space="preserve">
</t>
        </r>
        <r>
          <rPr>
            <sz val="9"/>
            <color rgb="FF000000"/>
            <rFont val="Tahoma"/>
            <family val="2"/>
          </rPr>
          <t xml:space="preserve">"27 television stations, 88 radio stations and one digital-only station. We have ve
</t>
        </r>
        <r>
          <rPr>
            <sz val="9"/>
            <color rgb="FF000000"/>
            <rFont val="Tahoma"/>
            <family val="2"/>
          </rPr>
          <t>discretionary television channels and four Canada-wide radio networks, two in each official language"</t>
        </r>
      </text>
    </comment>
    <comment ref="B65" authorId="1" shapeId="0" xr:uid="{B17AEB0F-89CA-924E-B3D2-375C2C5953BA}">
      <text>
        <t>[Threaded comment]
Your version of Excel allows you to read this threaded comment; however, any edits to it will get removed if the file is opened in a newer version of Excel. Learn more: https://go.microsoft.com/fwlink/?linkid=870924
Comment:
    BCE AR2022, p.17</t>
      </text>
    </comment>
    <comment ref="B66" authorId="2" shapeId="0" xr:uid="{28A8FDA1-52CA-C946-B887-5875DD12D9F5}">
      <text>
        <t>[Threaded comment]
Your version of Excel allows you to read this threaded comment; however, any edits to it will get removed if the file is opened in a newer version of Excel. Learn more: https://go.microsoft.com/fwlink/?linkid=870924
Comment:
    Corus AR2022, p.15</t>
      </text>
    </comment>
    <comment ref="B67" authorId="3" shapeId="0" xr:uid="{F268187F-AADF-DB4C-A70B-C429CC40964A}">
      <text>
        <t>[Threaded comment]
Your version of Excel allows you to read this threaded comment; however, any edits to it will get removed if the file is opened in a newer version of Excel. Learn more: https://go.microsoft.com/fwlink/?linkid=870924
Comment:
    Rogers AR2022, p.29
“23 TV stations and specialty channels” - 11 pay tv channels = 12</t>
      </text>
    </comment>
    <comment ref="B68" authorId="4" shapeId="0" xr:uid="{B1B0F992-099B-3440-A17C-5891BF0EBD18}">
      <text>
        <t>[Threaded comment]
Your version of Excel allows you to read this threaded comment; however, any edits to it will get removed if the file is opened in a newer version of Excel. Learn more: https://go.microsoft.com/fwlink/?linkid=870924
Comment:
    Quebecor AR2022, p.16</t>
      </text>
    </comment>
    <comment ref="B69" authorId="5" shapeId="0" xr:uid="{9059739E-1A2B-A84E-AE8A-63FD08A41255}">
      <text>
        <t>[Threaded comment]
Your version of Excel allows you to read this threaded comment; however, any edits to it will get removed if the file is opened in a newer version of Excel. Learn more: https://go.microsoft.com/fwlink/?linkid=870924
Comment:
    CBC AR2021-22, p.15</t>
      </text>
    </comment>
    <comment ref="B75" authorId="6" shapeId="0" xr:uid="{79797AAE-A354-8843-878E-AA8B27157B62}">
      <text>
        <t>[Threaded comment]
Your version of Excel allows you to read this threaded comment; however, any edits to it will get removed if the file is opened in a newer version of Excel. Learn more: https://go.microsoft.com/fwlink/?linkid=870924
Comment:
    AR2021 p.37</t>
      </text>
    </comment>
    <comment ref="B76" authorId="7" shapeId="0" xr:uid="{43980333-7FCD-D347-882B-64560B763005}">
      <text>
        <t>[Threaded comment]
Your version of Excel allows you to read this threaded comment; however, any edits to it will get removed if the file is opened in a newer version of Excel. Learn more: https://go.microsoft.com/fwlink/?linkid=870924
Comment:
    Corus AR2021, p.14</t>
      </text>
    </comment>
    <comment ref="B77" authorId="8" shapeId="0" xr:uid="{96BAFDA6-2A66-F142-9348-497DCCF87B2A}">
      <text>
        <t>[Threaded comment]
Your version of Excel allows you to read this threaded comment; however, any edits to it will get removed if the file is opened in a newer version of Excel. Learn more: https://go.microsoft.com/fwlink/?linkid=870924
Comment:
    CRTC Open Data: data-broadcasting-overview, table 6</t>
      </text>
    </comment>
    <comment ref="B78" authorId="9" shapeId="0" xr:uid="{DD247173-4859-7843-875F-31FE800A4EC0}">
      <text>
        <t>[Threaded comment]
Your version of Excel allows you to read this threaded comment; however, any edits to it will get removed if the file is opened in a newer version of Excel. Learn more: https://go.microsoft.com/fwlink/?linkid=870924
Comment:
    CRTC Open Data: data-broadcasting-overview, table 6</t>
      </text>
    </comment>
    <comment ref="B79" authorId="10" shapeId="0" xr:uid="{70BE40D1-1A68-4E49-B3C5-1F4698EA44DB}">
      <text>
        <t>[Threaded comment]
Your version of Excel allows you to read this threaded comment; however, any edits to it will get removed if the file is opened in a newer version of Excel. Learn more: https://go.microsoft.com/fwlink/?linkid=870924
Comment:
    CBC AR20-21,p.11</t>
      </text>
    </comment>
    <comment ref="B85" authorId="11" shapeId="0" xr:uid="{A4330DB1-4198-A144-AFEE-B8488487DA77}">
      <text>
        <r>
          <rPr>
            <sz val="10"/>
            <color rgb="FF000000"/>
            <rFont val="Verdana"/>
            <family val="2"/>
          </rPr>
          <t>BCE AR2020, p.37. "</t>
        </r>
        <r>
          <rPr>
            <sz val="10"/>
            <color rgb="FF000000"/>
            <rFont val="Verdana"/>
            <family val="2"/>
          </rPr>
          <t>35 conventional TV stations, including CTV, Canada’s #1 TV network for 19 consecutive years, and the French-language Noovo network in Québec</t>
        </r>
        <r>
          <rPr>
            <sz val="10"/>
            <color rgb="FF000000"/>
            <rFont val="Verdana"/>
            <family val="2"/>
          </rPr>
          <t>"</t>
        </r>
      </text>
    </comment>
    <comment ref="B86" authorId="11" shapeId="0" xr:uid="{AAC4DB67-6949-5A40-A71D-1B956E2A9BAA}">
      <text>
        <r>
          <rPr>
            <sz val="10"/>
            <color rgb="FF000000"/>
            <rFont val="Verdana"/>
            <family val="2"/>
          </rPr>
          <t>Shaw AR2020, p.102</t>
        </r>
      </text>
    </comment>
    <comment ref="B87" authorId="11" shapeId="0" xr:uid="{940B4BC3-FF11-3340-B494-8304985AC984}">
      <text>
        <r>
          <rPr>
            <sz val="10"/>
            <color rgb="FF000000"/>
            <rFont val="Verdana"/>
            <family val="2"/>
          </rPr>
          <t>CRTC</t>
        </r>
        <r>
          <rPr>
            <sz val="10"/>
            <color rgb="FF000000"/>
            <rFont val="Verdana"/>
            <family val="2"/>
          </rPr>
          <t xml:space="preserve"> </t>
        </r>
        <r>
          <rPr>
            <sz val="10"/>
            <color rgb="FF000000"/>
            <rFont val="Verdana"/>
            <family val="2"/>
          </rPr>
          <t>CMR2019</t>
        </r>
      </text>
    </comment>
    <comment ref="B88" authorId="12" shapeId="0" xr:uid="{1AB9AD07-78F0-394F-810B-6D8F13D8DB69}">
      <text>
        <r>
          <rPr>
            <b/>
            <sz val="10"/>
            <color rgb="FF000000"/>
            <rFont val="Tahoma"/>
            <family val="2"/>
          </rPr>
          <t>XF Han: CMR2019</t>
        </r>
        <r>
          <rPr>
            <sz val="10"/>
            <color rgb="FF000000"/>
            <rFont val="Tahoma"/>
            <family val="2"/>
          </rPr>
          <t xml:space="preserve">
</t>
        </r>
        <r>
          <rPr>
            <sz val="10"/>
            <color rgb="FF000000"/>
            <rFont val="Tahoma"/>
            <family val="2"/>
          </rPr>
          <t>CMR2020 is not released yet; not indicated in Qebecor's annual report and no news is found regarding the changes of conventional TV. Will update once CMR2020 is released.</t>
        </r>
      </text>
    </comment>
    <comment ref="B89" authorId="11" shapeId="0" xr:uid="{F621883C-D09D-FA4E-A44A-D3329EB4749F}">
      <text>
        <r>
          <rPr>
            <sz val="10"/>
            <color rgb="FF000000"/>
            <rFont val="Verdana"/>
            <family val="2"/>
          </rPr>
          <t xml:space="preserve">CBC AR19/20, p.11
</t>
        </r>
      </text>
    </comment>
    <comment ref="B95" authorId="11" shapeId="0" xr:uid="{B96A5F99-1B9A-124D-B1B3-8D5EF1AD42A9}">
      <text>
        <r>
          <rPr>
            <sz val="10"/>
            <color rgb="FF000000"/>
            <rFont val="Verdana"/>
            <family val="2"/>
          </rPr>
          <t>BCE AR201</t>
        </r>
        <r>
          <rPr>
            <sz val="10"/>
            <color rgb="FF000000"/>
            <rFont val="Verdana"/>
            <family val="2"/>
          </rPr>
          <t>9</t>
        </r>
        <r>
          <rPr>
            <sz val="10"/>
            <color rgb="FF000000"/>
            <rFont val="Verdana"/>
            <family val="2"/>
          </rPr>
          <t>, p.</t>
        </r>
        <r>
          <rPr>
            <sz val="10"/>
            <color rgb="FF000000"/>
            <rFont val="Verdana"/>
            <family val="2"/>
          </rPr>
          <t>33</t>
        </r>
      </text>
    </comment>
    <comment ref="B96" authorId="11" shapeId="0" xr:uid="{D8F77277-F805-A447-8F09-E56C140EE441}">
      <text>
        <r>
          <rPr>
            <sz val="10"/>
            <color rgb="FF000000"/>
            <rFont val="Verdana"/>
            <family val="2"/>
          </rPr>
          <t xml:space="preserve">Shaw AR2018, p.24
</t>
        </r>
      </text>
    </comment>
    <comment ref="B97" authorId="11" shapeId="0" xr:uid="{F49DE7E8-B338-D14B-B03C-360507C2D717}">
      <text>
        <r>
          <rPr>
            <sz val="10"/>
            <color rgb="FF000000"/>
            <rFont val="Verdana"/>
            <family val="2"/>
          </rPr>
          <t>CRTC</t>
        </r>
        <r>
          <rPr>
            <sz val="10"/>
            <color rgb="FF000000"/>
            <rFont val="Verdana"/>
            <family val="2"/>
          </rPr>
          <t xml:space="preserve"> </t>
        </r>
        <r>
          <rPr>
            <sz val="10"/>
            <color rgb="FF000000"/>
            <rFont val="Verdana"/>
            <family val="2"/>
          </rPr>
          <t>CMR2019</t>
        </r>
      </text>
    </comment>
    <comment ref="B98" authorId="12" shapeId="0" xr:uid="{569EBAE3-89E1-EB42-822D-507804044E87}">
      <text>
        <r>
          <rPr>
            <b/>
            <sz val="10"/>
            <color rgb="FF000000"/>
            <rFont val="Tahoma"/>
            <family val="2"/>
          </rPr>
          <t>XF Han: CMR2019</t>
        </r>
        <r>
          <rPr>
            <sz val="10"/>
            <color rgb="FF000000"/>
            <rFont val="Tahoma"/>
            <family val="2"/>
          </rPr>
          <t xml:space="preserve">
</t>
        </r>
      </text>
    </comment>
    <comment ref="B99" authorId="11" shapeId="0" xr:uid="{69BB62A0-2ED5-CB43-9E06-54AA7EB1403D}">
      <text>
        <r>
          <rPr>
            <sz val="10"/>
            <color rgb="FF000000"/>
            <rFont val="Verdana"/>
            <family val="2"/>
          </rPr>
          <t xml:space="preserve">CBC AR18-19, p.11
</t>
        </r>
      </text>
    </comment>
    <comment ref="B105" authorId="11" shapeId="0" xr:uid="{2EE6FE80-59C9-1142-B8A1-C9BEC69CA2AF}">
      <text>
        <r>
          <rPr>
            <sz val="10"/>
            <color rgb="FF000000"/>
            <rFont val="Verdana"/>
            <family val="2"/>
          </rPr>
          <t>BCE AR2018, p.33</t>
        </r>
      </text>
    </comment>
    <comment ref="B106" authorId="11" shapeId="0" xr:uid="{5F19B7FA-BC20-4F41-A57A-FCA5827C73AE}">
      <text>
        <r>
          <rPr>
            <sz val="10"/>
            <color rgb="FF000000"/>
            <rFont val="Verdana"/>
            <family val="2"/>
          </rPr>
          <t xml:space="preserve">Shaw AR2018, p.24
</t>
        </r>
      </text>
    </comment>
    <comment ref="B107" authorId="11" shapeId="0" xr:uid="{A3A6A50E-5597-3C4E-8A29-EEF672D479FD}">
      <text>
        <r>
          <rPr>
            <sz val="10"/>
            <color rgb="FF000000"/>
            <rFont val="Verdana"/>
            <family val="2"/>
          </rPr>
          <t>Rogers AR2018, p.30, "24 tv stations &amp; specialty channels"</t>
        </r>
      </text>
    </comment>
    <comment ref="B108" authorId="12" shapeId="0" xr:uid="{8E20660A-51A5-8C48-801F-951E85A01312}">
      <text>
        <r>
          <rPr>
            <b/>
            <sz val="10"/>
            <color rgb="FF000000"/>
            <rFont val="Tahoma"/>
            <family val="2"/>
          </rPr>
          <t>XF</t>
        </r>
        <r>
          <rPr>
            <b/>
            <sz val="10"/>
            <color rgb="FF000000"/>
            <rFont val="Tahoma"/>
            <family val="2"/>
          </rPr>
          <t xml:space="preserve"> </t>
        </r>
        <r>
          <rPr>
            <b/>
            <sz val="10"/>
            <color rgb="FF000000"/>
            <rFont val="Tahoma"/>
            <family val="2"/>
          </rPr>
          <t>Han</t>
        </r>
        <r>
          <rPr>
            <b/>
            <sz val="10"/>
            <color rgb="FF000000"/>
            <rFont val="Tahoma"/>
            <family val="2"/>
          </rPr>
          <t>:</t>
        </r>
        <r>
          <rPr>
            <b/>
            <sz val="10"/>
            <color rgb="FF000000"/>
            <rFont val="Tahoma"/>
            <family val="2"/>
          </rPr>
          <t xml:space="preserve"> </t>
        </r>
        <r>
          <rPr>
            <b/>
            <sz val="10"/>
            <color rgb="FF000000"/>
            <rFont val="Tahoma"/>
            <family val="2"/>
          </rPr>
          <t>CMR2019</t>
        </r>
        <r>
          <rPr>
            <sz val="10"/>
            <color rgb="FF000000"/>
            <rFont val="Tahoma"/>
            <family val="2"/>
          </rPr>
          <t xml:space="preserve">
</t>
        </r>
      </text>
    </comment>
    <comment ref="B109" authorId="11" shapeId="0" xr:uid="{4F7D6552-4280-F941-91D2-4E7AE28193C4}">
      <text>
        <r>
          <rPr>
            <sz val="10"/>
            <color rgb="FF000000"/>
            <rFont val="Verdana"/>
            <family val="2"/>
          </rPr>
          <t>CBC AR1</t>
        </r>
        <r>
          <rPr>
            <sz val="10"/>
            <color rgb="FF000000"/>
            <rFont val="Verdana"/>
            <family val="2"/>
          </rPr>
          <t>8</t>
        </r>
        <r>
          <rPr>
            <sz val="10"/>
            <color rgb="FF000000"/>
            <rFont val="Verdana"/>
            <family val="2"/>
          </rPr>
          <t>-1</t>
        </r>
        <r>
          <rPr>
            <sz val="10"/>
            <color rgb="FF000000"/>
            <rFont val="Verdana"/>
            <family val="2"/>
          </rPr>
          <t>9</t>
        </r>
        <r>
          <rPr>
            <sz val="10"/>
            <color rgb="FF000000"/>
            <rFont val="Verdana"/>
            <family val="2"/>
          </rPr>
          <t xml:space="preserve">, p.11
</t>
        </r>
      </text>
    </comment>
    <comment ref="B115" authorId="11" shapeId="0" xr:uid="{589F8898-9CAE-8C4B-86BD-D45E97B26729}">
      <text>
        <r>
          <rPr>
            <sz val="10"/>
            <color rgb="FF000000"/>
            <rFont val="Verdana"/>
            <family val="2"/>
          </rPr>
          <t>BCE AR2017, p.33</t>
        </r>
      </text>
    </comment>
    <comment ref="B116" authorId="11" shapeId="0" xr:uid="{01881A07-006A-E64B-8009-657727529318}">
      <text>
        <r>
          <rPr>
            <sz val="10"/>
            <color rgb="FF000000"/>
            <rFont val="Verdana"/>
            <family val="2"/>
          </rPr>
          <t>Shaw AR2017, p.16</t>
        </r>
      </text>
    </comment>
    <comment ref="B117" authorId="11" shapeId="0" xr:uid="{ADEADB10-98A0-284A-A555-BDE25B993879}">
      <text>
        <r>
          <rPr>
            <sz val="10"/>
            <color rgb="FF000000"/>
            <rFont val="Verdana"/>
            <family val="2"/>
          </rPr>
          <t>Rogers AR 2017, p. 85</t>
        </r>
      </text>
    </comment>
    <comment ref="B119" authorId="11" shapeId="0" xr:uid="{B4FF3348-F464-2C46-8318-CBE526260BE8}">
      <text>
        <r>
          <rPr>
            <sz val="10"/>
            <color rgb="FF000000"/>
            <rFont val="Verdana"/>
            <family val="2"/>
          </rPr>
          <t>CBC AR17, p.16</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DD</author>
  </authors>
  <commentList>
    <comment ref="E5" authorId="0" shapeId="0" xr:uid="{DAAB15EF-93C0-3E4D-BC62-6D8E9C12B27F}">
      <text>
        <r>
          <rPr>
            <sz val="10"/>
            <color rgb="FF000000"/>
            <rFont val="Aptos Narrow"/>
            <family val="2"/>
          </rPr>
          <t xml:space="preserve">Quebecor, Management Discussion and Analysis, 2024, p. 12.
</t>
        </r>
      </text>
    </comment>
    <comment ref="E6" authorId="0" shapeId="0" xr:uid="{105B8070-D416-074C-9396-EA9960852715}">
      <text>
        <r>
          <rPr>
            <sz val="10"/>
            <color rgb="FF000000"/>
            <rFont val="Aptos Narrow"/>
            <family val="2"/>
          </rPr>
          <t xml:space="preserve">Quebecor, Management Discussion and Analysis, 2024, p. 12.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DD</author>
    <author>XF</author>
    <author>Utilisateur de Microsoft Office</author>
  </authors>
  <commentList>
    <comment ref="C3" authorId="0" shapeId="0" xr:uid="{02F0F952-F3DA-2E4A-A42F-9FC5530788F2}">
      <text>
        <r>
          <rPr>
            <sz val="10"/>
            <color rgb="FF000000"/>
            <rFont val="Calibri"/>
            <family val="2"/>
          </rPr>
          <t>2021: US industry revenue of $311 billion from Jameson Ayers IBIS World report "Wireless Telecommunications carriers in the US" Key statistics (Industry NAICS REPORT 51721) Total subscribers calculated by taking 2020-2021 CAGR (12%) amongst the named companies and applying that growth rate to the 2020 "other" of 26,677).</t>
        </r>
      </text>
    </comment>
    <comment ref="D3" authorId="0" shapeId="0" xr:uid="{C3631209-6661-6E46-865B-042EE81D8CC0}">
      <text>
        <r>
          <rPr>
            <sz val="10"/>
            <color rgb="FF000000"/>
            <rFont val="Calibri"/>
            <family val="2"/>
          </rPr>
          <t>2022: US industry revenue of $322 billion from  IBIS World report "Wireless Telecommunications carriers in the US" Key statistics (Industry NAICS REPORT 51721) Total subscribers calculated by taking 2021-2022 CAGR (12%) amongst the named companies and applying that growth rate to the 2021</t>
        </r>
      </text>
    </comment>
    <comment ref="E3" authorId="0" shapeId="0" xr:uid="{8F22C36B-2312-4842-A4FE-BDAC8105FBAA}">
      <text>
        <r>
          <rPr>
            <sz val="10"/>
            <color rgb="FF000000"/>
            <rFont val="Calibri"/>
            <family val="2"/>
          </rPr>
          <t>IBIS World report "Wireless Telecommunications carriers in the US" Key statistics (Industry NAICS REPORT 51721)</t>
        </r>
      </text>
    </comment>
    <comment ref="F3" authorId="0" shapeId="0" xr:uid="{B1EE6958-CAC6-DF4C-8F8D-94CC70B00BE5}">
      <text>
        <r>
          <rPr>
            <sz val="10"/>
            <color rgb="FF000000"/>
            <rFont val="Tahoma"/>
            <family val="2"/>
          </rPr>
          <t>US industry revenue from  IBIS World report "Wireless Telecommunications carriers in the US" Key statistics (Industry NAICS REPORT 51721)</t>
        </r>
      </text>
    </comment>
    <comment ref="C4" authorId="0" shapeId="0" xr:uid="{B0D49C9E-BF3D-DF41-A1DC-C9B0E753E5A5}">
      <text>
        <r>
          <rPr>
            <b/>
            <sz val="10"/>
            <color rgb="FF000000"/>
            <rFont val="Tahoma"/>
            <family val="2"/>
          </rPr>
          <t xml:space="preserve">Source: </t>
        </r>
        <r>
          <rPr>
            <sz val="10"/>
            <color rgb="FF000000"/>
            <rFont val="Tahoma"/>
            <family val="2"/>
          </rPr>
          <t xml:space="preserve">MIIT </t>
        </r>
        <r>
          <rPr>
            <sz val="10"/>
            <color rgb="FF000000"/>
            <rFont val="Calibri"/>
            <family val="2"/>
          </rPr>
          <t xml:space="preserve">2021 telecom report (https://www.miit.gov.cn/gxsj/tjfx/txy/art/2022/art_e8b64ba8f29d4ce18a1003c4f4d88234.html).
</t>
        </r>
        <r>
          <rPr>
            <sz val="10"/>
            <color rgb="FF000000"/>
            <rFont val="Calibri"/>
            <family val="2"/>
          </rPr>
          <t xml:space="preserve">
</t>
        </r>
        <r>
          <rPr>
            <sz val="10"/>
            <color rgb="FF000000"/>
            <rFont val="Calibri"/>
            <family val="2"/>
          </rPr>
          <t xml:space="preserve">Revenue for data roaming &amp; value-added serviced for mobile phones is 640.9 billion RMB (above chart 1-2) and the mobile voice revenue is 115.5 billion RMB (above chart 1-5). 
</t>
        </r>
      </text>
    </comment>
    <comment ref="D4" authorId="0" shapeId="0" xr:uid="{A941CB09-0345-2441-BE64-72954E924FDD}">
      <text>
        <r>
          <rPr>
            <b/>
            <sz val="10"/>
            <color rgb="FF000000"/>
            <rFont val="Tahoma"/>
            <family val="2"/>
          </rPr>
          <t>DD:</t>
        </r>
        <r>
          <rPr>
            <sz val="10"/>
            <color rgb="FF000000"/>
            <rFont val="Tahoma"/>
            <family val="2"/>
          </rPr>
          <t xml:space="preserve">
</t>
        </r>
        <r>
          <rPr>
            <sz val="10"/>
            <color rgb="FF000000"/>
            <rFont val="Calibri"/>
            <family val="2"/>
          </rPr>
          <t>Source: MIIT 2022 telecom report (</t>
        </r>
        <r>
          <rPr>
            <u/>
            <sz val="10"/>
            <color rgb="FF000000"/>
            <rFont val="Calibri"/>
            <family val="2"/>
          </rPr>
          <t>https://www.gov.cn/xinwen/2023-02/02/content_5739680.html</t>
        </r>
        <r>
          <rPr>
            <sz val="10"/>
            <color rgb="FF000000"/>
            <rFont val="Calibri"/>
            <family val="2"/>
          </rPr>
          <t xml:space="preserve">). 
</t>
        </r>
      </text>
    </comment>
    <comment ref="E4" authorId="0" shapeId="0" xr:uid="{438EF788-7B20-A84C-BA6C-D17E66221855}">
      <text>
        <r>
          <rPr>
            <sz val="10"/>
            <color rgb="FF000000"/>
            <rFont val="Tahoma"/>
            <family val="2"/>
          </rPr>
          <t xml:space="preserve">Total is sum of mobile wireless revenue from China Mobile, China Telecom and China Unicom + the difference between the sum of big 3 revenue and the total revenue presented in 2022 by </t>
        </r>
        <r>
          <rPr>
            <sz val="10"/>
            <color rgb="FF000000"/>
            <rFont val="Calibri"/>
            <family val="2"/>
          </rPr>
          <t>MIIT in its 2022 telecom report (</t>
        </r>
        <r>
          <rPr>
            <u/>
            <sz val="10"/>
            <color rgb="FF000000"/>
            <rFont val="Calibri"/>
            <family val="2"/>
          </rPr>
          <t>https://www.gov.cn/xinwen/2023-02/02/content_5739680.html</t>
        </r>
        <r>
          <rPr>
            <sz val="10"/>
            <color rgb="FF000000"/>
            <rFont val="Calibri"/>
            <family val="2"/>
          </rPr>
          <t xml:space="preserve">), i.e. 1.19%. This difference is attributed to two wireless new entrants, CITIC and China Broadnet. 
</t>
        </r>
        <r>
          <rPr>
            <sz val="10"/>
            <color rgb="FF000000"/>
            <rFont val="Tahoma"/>
            <family val="2"/>
          </rPr>
          <t xml:space="preserve">
</t>
        </r>
        <r>
          <rPr>
            <sz val="10"/>
            <color rgb="FF000000"/>
            <rFont val="Tahoma"/>
            <family val="2"/>
          </rPr>
          <t>China Mobile AR2023 (HKSE), p. 116, voice services, SMS&amp;MMS services &amp;. Wireless data traffic services. Mobile data services = SMS&amp;MMS (31106) + Wireless data traffic (394797); *voice revenue here includes fixed voices (no reporting of separate revenue) but mobile voice services is expetected to be the major portion of the voice services revenue for China Mobile. Source: https://www.chinamobileltd.com/en/ir/reports/ar2023.pdf; China Telecom AR2023 (HKSE), p. 36. "Mobile communications service revenues/</t>
        </r>
        <r>
          <rPr>
            <sz val="10"/>
            <color rgb="FF000000"/>
            <rFont val="Tahoma"/>
            <family val="2"/>
          </rPr>
          <t>移动通信服务收入</t>
        </r>
        <r>
          <rPr>
            <sz val="10"/>
            <color rgb="FF000000"/>
            <rFont val="Tahoma"/>
            <family val="2"/>
          </rPr>
          <t xml:space="preserve">"; China Unicom changed its revenue breakdown in its annual report 2023, again. There are two ways the company breaks down its telecom service revenues and neither provides possible solutions to align with the sectors defined by our projects. On page 4 of its 2023 annual report, the company breaks service revenue into "Connectivity and Communications business revenue" ("Connectivity and Communications business encompasses mobile connectivity, broadband connectivity, TV connectivity, leased line connectivity, communications services as well as information services") and "Computing and Digital Smart Applications business revenue" ("Computing and Digital Smart Applications business encompasses Unicom Cloud, data centre, system integration, data services, digital smart applications as well as cybersecurity"). On page 142, the company breaks service revenue into different categories, including  "voice usage and monthly fees" "broadband and mobile data services" "other value-added services" (SMS, MMS, personalized ringtones, etc.). The three categories correspond to the ISP and Wireless sectors defined by our project (with fixed voice services revenue though, which cannot be spearated) yet the revenue for the ISP and Wireless cannot be calculated respectively. Therefore, revenue for Wireless and ISP sectors for 2023 is estimated based on the data in 2022 with a yoy increase rate 0.9% calculated specifically for the combined revenue for "voice usage and monthly fees" "broadband and mobile data services" "other value-added services".  *Calculation details for the new yoy increase rate for Wireless and ISP (AR2022, p. 145; AR2023, p. 142):
</t>
        </r>
        <r>
          <rPr>
            <sz val="10"/>
            <color rgb="FF000000"/>
            <rFont val="Tahoma"/>
            <family val="2"/>
          </rPr>
          <t xml:space="preserve">
</t>
        </r>
        <r>
          <rPr>
            <sz val="10"/>
            <color rgb="FF000000"/>
            <rFont val="Tahoma"/>
            <family val="2"/>
          </rPr>
          <t xml:space="preserve">2023 ISP + wireless(fixed voice included): 205,145 million RMB
</t>
        </r>
        <r>
          <rPr>
            <sz val="10"/>
            <color rgb="FF000000"/>
            <rFont val="Tahoma"/>
            <family val="2"/>
          </rPr>
          <t xml:space="preserve">
</t>
        </r>
        <r>
          <rPr>
            <sz val="10"/>
            <color rgb="FF000000"/>
            <rFont val="Tahoma"/>
            <family val="2"/>
          </rPr>
          <t xml:space="preserve">2022 ISP + wireless(fixed voice included): 203,391 million RMB
</t>
        </r>
        <r>
          <rPr>
            <sz val="10"/>
            <color rgb="FF000000"/>
            <rFont val="Tahoma"/>
            <family val="2"/>
          </rPr>
          <t xml:space="preserve">
</t>
        </r>
        <r>
          <rPr>
            <sz val="10"/>
            <color rgb="FF000000"/>
            <rFont val="Tahoma"/>
            <family val="2"/>
          </rPr>
          <t xml:space="preserve">2021 ISP + wireless(fixed voice included): 200,401 million RMB
</t>
        </r>
        <r>
          <rPr>
            <sz val="10"/>
            <color rgb="FF000000"/>
            <rFont val="Tahoma"/>
            <family val="2"/>
          </rPr>
          <t xml:space="preserve">
</t>
        </r>
        <r>
          <rPr>
            <sz val="10"/>
            <color rgb="FF000000"/>
            <rFont val="Tahoma"/>
            <family val="2"/>
          </rPr>
          <t xml:space="preserve">yoy 21-22: 1.5%
</t>
        </r>
        <r>
          <rPr>
            <sz val="10"/>
            <color rgb="FF000000"/>
            <rFont val="Tahoma"/>
            <family val="2"/>
          </rPr>
          <t xml:space="preserve">
</t>
        </r>
        <r>
          <rPr>
            <sz val="10"/>
            <color rgb="FF000000"/>
            <rFont val="Tahoma"/>
            <family val="2"/>
          </rPr>
          <t xml:space="preserve">yoy 22-23: 0.9%
</t>
        </r>
        <r>
          <rPr>
            <sz val="10"/>
            <color rgb="FF000000"/>
            <rFont val="Tahoma"/>
            <family val="2"/>
          </rPr>
          <t xml:space="preserve">
</t>
        </r>
      </text>
    </comment>
    <comment ref="F4" authorId="0" shapeId="0" xr:uid="{CB81D56C-E399-AD40-BEC2-5FE772E7EFB6}">
      <text>
        <r>
          <rPr>
            <sz val="12"/>
            <color rgb="FF000000"/>
            <rFont val="+mn-lt"/>
            <charset val="1"/>
          </rPr>
          <t xml:space="preserve">Total is sum of mobile wireless revenue from China Mobile, China Telecom and China Unicom. Sources for the individual corporate player are below:
</t>
        </r>
        <r>
          <rPr>
            <sz val="12"/>
            <color rgb="FF000000"/>
            <rFont val="+mn-lt"/>
            <charset val="1"/>
          </rPr>
          <t xml:space="preserve">China Mobile: China Mobile AR2024 (HKSE), p. 120, voice services, SMS&amp;MMS services &amp;  Wireless data traffic services. Mobile data services = SMS&amp;MMS (30822) + Wireless data traffic (385936); *voice revenue here includes fixed voices (no reporting of separate revenue) but mobile voice services are expected to be the major portion of the voice services revenue for China Mobile.
</t>
        </r>
        <r>
          <rPr>
            <sz val="12"/>
            <color rgb="FF000000"/>
            <rFont val="+mn-lt"/>
            <charset val="1"/>
          </rPr>
          <t>China Telecom: China Telecom Annual Rreport 2024 (HKSE), p. 33. "Mobile communications service revenues/</t>
        </r>
        <r>
          <rPr>
            <sz val="12"/>
            <color rgb="FF000000"/>
            <rFont val="+mn-lt"/>
          </rPr>
          <t>移动通信服务收入</t>
        </r>
        <r>
          <rPr>
            <sz val="12"/>
            <color rgb="FF000000"/>
            <rFont val="+mn-lt"/>
            <charset val="1"/>
          </rPr>
          <t xml:space="preserve">"
</t>
        </r>
        <r>
          <rPr>
            <sz val="12"/>
            <color rgb="FF000000"/>
            <rFont val="+mn-lt"/>
            <charset val="1"/>
          </rPr>
          <t>China Unicom: China Unicom Annual Report 2024 (A Stock), p. 16. The company no longer breaks down revenue segments that could be managed to align with the sectors defined by our project. Therefore, the estimated wireless revenue is based on last year's revenue*yoy increase rate for the telecom services reported by the company, which is 3.2% ("</t>
        </r>
        <r>
          <rPr>
            <sz val="12"/>
            <color rgb="FF000000"/>
            <rFont val="+mn-lt"/>
          </rPr>
          <t>其中，服务收入实现</t>
        </r>
        <r>
          <rPr>
            <sz val="12"/>
            <color rgb="FF000000"/>
            <rFont val="+mn-lt"/>
            <charset val="1"/>
          </rPr>
          <t>3,459.8 </t>
        </r>
        <r>
          <rPr>
            <sz val="12"/>
            <color rgb="FF000000"/>
            <rFont val="+mn-lt"/>
          </rPr>
          <t>亿元，同比增长</t>
        </r>
        <r>
          <rPr>
            <sz val="12"/>
            <color rgb="FF000000"/>
            <rFont val="+mn-lt"/>
            <charset val="1"/>
          </rPr>
          <t>3.2%</t>
        </r>
        <r>
          <rPr>
            <sz val="12"/>
            <color rgb="FF000000"/>
            <rFont val="+mn-lt"/>
          </rPr>
          <t>。</t>
        </r>
        <r>
          <rPr>
            <sz val="12"/>
            <color rgb="FF000000"/>
            <rFont val="+mn-lt"/>
            <charset val="1"/>
          </rPr>
          <t xml:space="preserve">" p.16). Estimated wireless revenue = 2023 revenue*103.2%
</t>
        </r>
      </text>
    </comment>
    <comment ref="C5" authorId="0" shapeId="0" xr:uid="{65C194BE-A562-8F49-851D-CCC4EBA4CF82}">
      <text>
        <r>
          <rPr>
            <sz val="10"/>
            <color rgb="FF000000"/>
            <rFont val="Aptos Narrow"/>
            <family val="2"/>
          </rPr>
          <t>Figures are based on revenues from ‘Mobile Voice Transmission’ and ‘Mobile Data Transmission’ in MIC’s Communications Industry Fundamental Survey, plus handset sales from the MIC’s Report on the Verification of Competition Rules. Exchange rates are fiscal-year averages (April–March) based on monthly data from ofx.com</t>
        </r>
        <r>
          <rPr>
            <sz val="10"/>
            <color rgb="FF000000"/>
            <rFont val="Tahoma"/>
            <family val="2"/>
          </rPr>
          <t xml:space="preserve">. </t>
        </r>
      </text>
    </comment>
    <comment ref="D5" authorId="0" shapeId="0" xr:uid="{1A477A20-88B4-454C-9521-A13FCD047691}">
      <text>
        <r>
          <rPr>
            <sz val="10"/>
            <color rgb="FF000000"/>
            <rFont val="Aptos Narrow"/>
            <family val="2"/>
          </rPr>
          <t>Figures are based on revenues from ‘Mobile Voice Transmission’ and ‘Mobile Data Transmission’ in MIC’s Communications Industry Fundamental Survey, plus handset sales from the MIC’s Report on the Verification of Competition Rules. Exchange rates are fiscal-year averages (April–March) based on monthly data from ofx.com</t>
        </r>
        <r>
          <rPr>
            <sz val="10"/>
            <color rgb="FF000000"/>
            <rFont val="Tahoma"/>
            <family val="2"/>
          </rPr>
          <t xml:space="preserve">. </t>
        </r>
      </text>
    </comment>
    <comment ref="E5" authorId="0" shapeId="0" xr:uid="{109B01D8-3222-F143-8A1A-1C2F0E10ACF9}">
      <text>
        <r>
          <rPr>
            <sz val="10"/>
            <color rgb="FF000000"/>
            <rFont val="Aptos Narrow"/>
            <family val="2"/>
          </rPr>
          <t>Figures are based on revenues from ‘Mobile Voice Transmission’ and ‘Mobile Data Transmission’ in MIC’s Communications Industry Fundamental Survey, plus handset sales from the MIC’s Report on the Verification of Competition Rules. Exchange rates are fiscal-year averages (April–March) based on monthly data from ofx.com</t>
        </r>
        <r>
          <rPr>
            <sz val="10"/>
            <color rgb="FF000000"/>
            <rFont val="Tahoma"/>
            <family val="2"/>
          </rPr>
          <t xml:space="preserve">. </t>
        </r>
      </text>
    </comment>
    <comment ref="F5" authorId="0" shapeId="0" xr:uid="{DB966E5B-864D-DE42-959D-99AE183BE0CB}">
      <text>
        <r>
          <rPr>
            <sz val="10"/>
            <color rgb="FF000000"/>
            <rFont val="Aptos Narrow"/>
            <family val="2"/>
            <scheme val="minor"/>
          </rPr>
          <t>Since official numbers won’t be available until 2026, the FY2024 figure is an estimate. We used the same revenue amount in yen as FY2023 and converted it using the FY2024 exchange rate. The difference in USD is purely due to the currency rate.</t>
        </r>
      </text>
    </comment>
    <comment ref="C6" authorId="1" shapeId="0" xr:uid="{7672C7F1-AAA4-8A49-A967-2B3A8E3C9BA6}">
      <text>
        <r>
          <rPr>
            <sz val="10"/>
            <color rgb="FF000000"/>
            <rFont val="+mn-lt"/>
            <charset val="1"/>
          </rPr>
          <t>Source: D</t>
        </r>
        <r>
          <rPr>
            <sz val="10"/>
            <color rgb="FF000000"/>
            <rFont val="Calibri"/>
            <family val="2"/>
          </rPr>
          <t xml:space="preserve">ata for 2021 still are a forecast. </t>
        </r>
        <r>
          <rPr>
            <sz val="10"/>
            <color rgb="FF000000"/>
            <rFont val="+mn-lt"/>
            <charset val="1"/>
          </rPr>
          <t xml:space="preserve">Statista.de, based on the annual reports of the Bundesnetzagentur (Federal Network Agency). https://www.bundesnetzagentur.de/SharedDocs/Mediathek/Jahresberichte/JB2021.pdf?__blob=publicationFile&amp;v=3). </t>
        </r>
      </text>
    </comment>
    <comment ref="D6" authorId="0" shapeId="0" xr:uid="{93484D4A-E2E9-F94C-A366-16E61A095961}">
      <text>
        <r>
          <rPr>
            <sz val="12"/>
            <color rgb="FF000000"/>
            <rFont val="+mn-lt"/>
            <charset val="1"/>
          </rPr>
          <t xml:space="preserve">Source: Bundesnetzagentur (Federal Network Agency). On page 9, it's mentioned that the numbers for 2021 were adjusted from 26,359.9 to 26,500 in the 2022 report. Jahrestelekommunikationsbericht 2023, Bundesnetzagentur, p.9  </t>
        </r>
        <r>
          <rPr>
            <u/>
            <sz val="12"/>
            <color rgb="FF000000"/>
            <rFont val="+mn-lt"/>
            <charset val="1"/>
          </rPr>
          <t>https://www.bundesnetzagentur.de/SharedDocs/Mediathek/Berichte/2023/JB_TK_2022.pdf?__blob=publicationFile&amp;v=4</t>
        </r>
        <r>
          <rPr>
            <sz val="12"/>
            <color rgb="FF000000"/>
            <rFont val="+mn-lt"/>
            <charset val="1"/>
          </rPr>
          <t xml:space="preserve">.
</t>
        </r>
      </text>
    </comment>
    <comment ref="E6" authorId="0" shapeId="0" xr:uid="{99F84E9B-E9A3-844A-9F1E-F7FEFF4810AB}">
      <text>
        <r>
          <rPr>
            <sz val="10"/>
            <color rgb="FF000000"/>
            <rFont val="Tahoma"/>
            <family val="2"/>
          </rPr>
          <t>Jahrestelekommunikationsbericht 2023, Bundesnetzagentur, p.9; forecast prediction.</t>
        </r>
      </text>
    </comment>
    <comment ref="F6" authorId="0" shapeId="0" xr:uid="{88BA794D-1114-1249-AFD6-05B6E324E267}">
      <text>
        <r>
          <rPr>
            <sz val="10"/>
            <color rgb="FF000000"/>
            <rFont val="Aptos Narrow"/>
            <family val="2"/>
            <scheme val="minor"/>
          </rPr>
          <t xml:space="preserve">Jahrestelekommunikationsbericht 2024, Bundesnetzagentur, p.10; forecast prediction. </t>
        </r>
        <r>
          <rPr>
            <sz val="10"/>
            <color rgb="FF000000"/>
            <rFont val="Aptos Narrow"/>
            <family val="2"/>
            <scheme val="minor"/>
          </rPr>
          <t>https://data.bundesnetzagentur.de/Bundesnetzagentur/SharedDocs/Mediathek/Jahresberichte/JB2024TK.pdf</t>
        </r>
      </text>
    </comment>
    <comment ref="C7" authorId="0" shapeId="0" xr:uid="{977BF9C8-5CD9-044A-971F-D9B491F604FB}">
      <text>
        <r>
          <rPr>
            <b/>
            <sz val="10"/>
            <color rgb="FF000000"/>
            <rFont val="Tahoma"/>
            <family val="2"/>
          </rPr>
          <t xml:space="preserve">Source: </t>
        </r>
        <r>
          <rPr>
            <sz val="10"/>
            <color rgb="FF000000"/>
            <rFont val="Tahoma"/>
            <family val="2"/>
          </rPr>
          <t>Estimate based on 1,154.62 million subscribers with ARPU/year of Rs 1,300.8.   https://www.trai.gov.in/sites/default/files/YIR_08072022_0.pdf</t>
        </r>
      </text>
    </comment>
    <comment ref="D7" authorId="0" shapeId="0" xr:uid="{B09452C6-6001-AB46-8230-B33631C24AEC}">
      <text>
        <r>
          <rPr>
            <sz val="10"/>
            <color rgb="FF000000"/>
            <rFont val="Calibri"/>
            <family val="2"/>
          </rPr>
          <t xml:space="preserve">Source: Estimate based on 1,142.93 million subscribers with ARPU/year of Rs 1,300.8.  </t>
        </r>
        <r>
          <rPr>
            <u/>
            <sz val="10"/>
            <color rgb="FF000000"/>
            <rFont val="Calibri"/>
            <family val="2"/>
          </rPr>
          <t>https://www.trai.gov.in/release-publication/reports/performance-indicators-reports</t>
        </r>
        <r>
          <rPr>
            <sz val="10"/>
            <color rgb="FF000000"/>
            <rFont val="Calibri"/>
            <family val="2"/>
          </rPr>
          <t xml:space="preserve"> [only has arpu/month]
</t>
        </r>
        <r>
          <rPr>
            <sz val="10"/>
            <color rgb="FF000000"/>
            <rFont val="Calibri"/>
            <family val="2"/>
          </rPr>
          <t xml:space="preserve">
</t>
        </r>
        <r>
          <rPr>
            <sz val="10"/>
            <color rgb="FF000000"/>
            <rFont val="Calibri"/>
            <family val="2"/>
          </rPr>
          <t xml:space="preserve">
</t>
        </r>
        <r>
          <rPr>
            <sz val="10"/>
            <color rgb="FF000000"/>
            <rFont val="Calibri"/>
            <family val="2"/>
          </rPr>
          <t xml:space="preserve">Consulted financial statement for each firm: Reliance Jio Infocomm Ltd, Airtel, and Vodafone Idea Ltd. </t>
        </r>
        <r>
          <rPr>
            <u/>
            <sz val="10"/>
            <color rgb="FF000000"/>
            <rFont val="Calibri"/>
            <family val="2"/>
          </rPr>
          <t>https://www.capitaliq.spglobal.com/web/client?auth=inherit#industry/GlobalMultichannelTopOperators</t>
        </r>
        <r>
          <rPr>
            <sz val="10"/>
            <color rgb="FF000000"/>
            <rFont val="Calibri"/>
            <family val="2"/>
          </rPr>
          <t xml:space="preserve">
</t>
        </r>
        <r>
          <rPr>
            <sz val="10"/>
            <color rgb="FF000000"/>
            <rFont val="Calibri"/>
            <family val="2"/>
          </rPr>
          <t xml:space="preserve">
</t>
        </r>
        <r>
          <rPr>
            <sz val="10"/>
            <color rgb="FF000000"/>
            <rFont val="Calibri"/>
            <family val="2"/>
          </rPr>
          <t xml:space="preserve">
</t>
        </r>
        <r>
          <rPr>
            <sz val="10"/>
            <color rgb="FF000000"/>
            <rFont val="Calibri"/>
            <family val="2"/>
          </rPr>
          <t xml:space="preserve">Indian rupee converted at the 2022 annual exchange rate published by the Bank of Canada, i.e. 0.01656 .
</t>
        </r>
      </text>
    </comment>
    <comment ref="E7" authorId="0" shapeId="0" xr:uid="{7B9DAD70-0733-1C42-98B9-F74943DAF3D1}">
      <text>
        <r>
          <rPr>
            <sz val="10"/>
            <color rgb="FF000000"/>
            <rFont val="+mn-lt"/>
            <charset val="1"/>
          </rPr>
          <t xml:space="preserve">Source: Estimate based on subscribers multiplied by ARPU/year. </t>
        </r>
        <r>
          <rPr>
            <sz val="10"/>
            <color rgb="FF000000"/>
            <rFont val="Calibri"/>
            <family val="2"/>
          </rPr>
          <t>https://trai.gov.in/sites/default/files/QPIR_23042024_0.pdf</t>
        </r>
      </text>
    </comment>
    <comment ref="F7" authorId="0" shapeId="0" xr:uid="{C5AE310D-DBCF-564F-97AB-508BC3CF97FB}">
      <text>
        <r>
          <rPr>
            <sz val="10"/>
            <color rgb="FF000000"/>
            <rFont val="Aptos Narrow"/>
            <family val="2"/>
          </rPr>
          <t xml:space="preserve">Source: Estimate based on subscribers (1,150,000) multiplied by ARPU/year (CDN$34). Telecom Regulatory Authority India (April 24, 2025). The India telecom services performance indciators.  </t>
        </r>
        <r>
          <rPr>
            <sz val="10"/>
            <color rgb="FF000000"/>
            <rFont val="Tahoma"/>
            <family val="2"/>
          </rPr>
          <t xml:space="preserve">
</t>
        </r>
        <r>
          <rPr>
            <u/>
            <sz val="10"/>
            <color rgb="FF000000"/>
            <rFont val="Aptos Narrow"/>
            <family val="2"/>
          </rPr>
          <t>https://www.trai.gov.in/sites/default/files/2025-04/QPIR-Dec-24%2024_04.pdf</t>
        </r>
        <r>
          <rPr>
            <sz val="10"/>
            <color rgb="FF000000"/>
            <rFont val="Aptos Narrow"/>
            <family val="2"/>
          </rPr>
          <t xml:space="preserve">
</t>
        </r>
      </text>
    </comment>
    <comment ref="C8" authorId="0" shapeId="0" xr:uid="{DB14A64E-4816-DB43-811F-5310751AFDC8}">
      <text>
        <r>
          <rPr>
            <sz val="10"/>
            <color rgb="FF000000"/>
            <rFont val="Calibri"/>
            <family val="2"/>
          </rPr>
          <t xml:space="preserve">Estimate based on sum of the revenues reported by the companies and as stated and cited on the "Wireless" sheet + revenue of $247.9 million for Eastlink and $159.1 million for TBayTel, as explained in the notes for those two entries in the "Wireless Sheet". </t>
        </r>
      </text>
    </comment>
    <comment ref="E8" authorId="0" shapeId="0" xr:uid="{57FB47A9-056E-C946-BC47-E8261D29B119}">
      <text>
        <r>
          <rPr>
            <sz val="10"/>
            <color rgb="FF000000"/>
            <rFont val="Calibri"/>
            <family val="2"/>
          </rPr>
          <t xml:space="preserve">Result based on sum of the revenues reported by the companies and aa estimated for Eastlink and TBayTel, as explained in the notes for those two entries in the "Wireless Sheet". 
</t>
        </r>
      </text>
    </comment>
    <comment ref="F8" authorId="0" shapeId="0" xr:uid="{2681C1F2-5B48-1440-99D0-8DAD9F60C7BE}">
      <text>
        <r>
          <rPr>
            <sz val="10"/>
            <color rgb="FF000000"/>
            <rFont val="Aptos Narrow"/>
            <family val="2"/>
          </rPr>
          <t xml:space="preserve">Result based on sum of the revenues reported by the companies and aa estimated for Eastlink and TBayTel, as explained in the notes for those two entries in the "Wireless Sheet". 
</t>
        </r>
      </text>
    </comment>
    <comment ref="C9" authorId="0" shapeId="0" xr:uid="{47911781-7270-3D44-A49E-32AF58DEF739}">
      <text>
        <r>
          <rPr>
            <b/>
            <sz val="10"/>
            <color rgb="FF000000"/>
            <rFont val="Tahoma"/>
            <family val="2"/>
          </rPr>
          <t xml:space="preserve">Source: </t>
        </r>
        <r>
          <rPr>
            <sz val="10"/>
            <color rgb="FF000000"/>
            <rFont val="Calibri"/>
            <family val="2"/>
          </rPr>
          <t xml:space="preserve">Sources: Ministry of Science and ICT (2023). 2022 Information &amp; Communication Technology Survey. https://www.kait.or.kr/user/boardDetail.do?cateSeq=3&amp;bId=109&amp;bSeq=7083. South Korean Won converted at the 2023 annual exchange rate published by the Bank of Canada, i.e. 0.001096. 
</t>
        </r>
      </text>
    </comment>
    <comment ref="D9" authorId="0" shapeId="0" xr:uid="{DD1ED37D-C006-1A41-A19C-12AAEA251C8D}">
      <text>
        <r>
          <rPr>
            <sz val="10"/>
            <color rgb="FF000000"/>
            <rFont val="Calibri"/>
            <family val="2"/>
          </rPr>
          <t xml:space="preserve">Source: Sources: Ministry of Science and ICT (2024). 2023 Information &amp; Communication Technology Survey. South Korean won 24,781,000 million converted at the 2022 annual exchange rate published by the Bank of Canada, i.e. 0.001009.
</t>
        </r>
      </text>
    </comment>
    <comment ref="E9" authorId="0" shapeId="0" xr:uid="{565E40C2-CF34-D344-B463-0D98C032BB5B}">
      <text>
        <r>
          <rPr>
            <sz val="10"/>
            <color rgb="FF000000"/>
            <rFont val="Calibri"/>
            <family val="2"/>
          </rPr>
          <t xml:space="preserve">Sources: SK Telecom (2024). 2023 Earnings Release. https://www.sktelecom.com/investor/lib/announce.do?currentPage=1&amp;type=2022, KT (2024). 2023 Earnings Release. https://corp.kt.com/html/investors/resources/earnings.html, LG Uplus (2024). 4Q 2023 Earnings Release. https://www.lguplus.com/about/ko/investing/ir-resources/performance-data. South Korean Won converted at the 2023 annual exchange rate published by the Bank of Canada, i.e. 0.001033.
</t>
        </r>
      </text>
    </comment>
    <comment ref="F9" authorId="0" shapeId="0" xr:uid="{4B6E92B3-DB22-2141-A533-F1AC4F285E9F}">
      <text>
        <r>
          <rPr>
            <sz val="10"/>
            <color rgb="FF000000"/>
            <rFont val="Aptos Narrow"/>
            <family val="2"/>
            <scheme val="minor"/>
          </rPr>
          <t>Statistics Korea (July, 3, 2025).</t>
        </r>
        <r>
          <rPr>
            <i/>
            <sz val="10"/>
            <color rgb="FF000000"/>
            <rFont val="Aptos Narrow"/>
            <family val="2"/>
            <scheme val="minor"/>
          </rPr>
          <t> ICT production output (sales revenue)</t>
        </r>
        <r>
          <rPr>
            <sz val="10"/>
            <color rgb="FF000000"/>
            <rFont val="Aptos Narrow"/>
            <family val="2"/>
            <scheme val="minor"/>
          </rPr>
          <t>. KOSIS Korean Statistical Information Service. https://kosis.kr/statHtml/statHtml.do?orgId=127&amp;tblId=DT_ICT92002_01</t>
        </r>
      </text>
    </comment>
    <comment ref="C10" authorId="0" shapeId="0" xr:uid="{5C997521-D1A6-8444-9364-2E3CDEB707DC}">
      <text>
        <r>
          <rPr>
            <sz val="10"/>
            <color rgb="FF000000"/>
            <rFont val="+mn-lt"/>
            <charset val="1"/>
          </rPr>
          <t xml:space="preserve">Source: Arcep (2022). </t>
        </r>
        <r>
          <rPr>
            <sz val="10"/>
            <color rgb="FF000000"/>
            <rFont val="Calibri"/>
            <family val="2"/>
          </rPr>
          <t xml:space="preserve">Les Services de Communication Électroniques en France Resultats Provisoires/Annee 202. </t>
        </r>
        <r>
          <rPr>
            <sz val="10"/>
            <color rgb="FF000000"/>
            <rFont val="+mn-lt"/>
            <charset val="1"/>
          </rPr>
          <t xml:space="preserve">https://www.arcep.fr/fileadmin/cru-1664269931/reprise/observatoire/march-an2021/obs-marche-annee-2021-prov_mai2022.pdf, </t>
        </r>
        <r>
          <rPr>
            <sz val="10"/>
            <color rgb="FF000000"/>
            <rFont val="Calibri"/>
            <family val="2"/>
          </rPr>
          <t xml:space="preserve">p. 5.   
</t>
        </r>
        <r>
          <rPr>
            <sz val="10"/>
            <color rgb="FF000000"/>
            <rFont val="Calibri"/>
            <family val="2"/>
          </rPr>
          <t xml:space="preserve">AND ARCEP (2022). Marché des communications électroniques en France: https://www.data.gouv.fr/fr/datasets/r/f30bc772-7dff-49d6-940e-42865f32a9da
</t>
        </r>
        <r>
          <rPr>
            <sz val="10"/>
            <color rgb="FF000000"/>
            <rFont val="Calibri"/>
            <family val="2"/>
          </rPr>
          <t xml:space="preserve">
</t>
        </r>
        <r>
          <rPr>
            <sz val="10"/>
            <color rgb="FF000000"/>
            <rFont val="Calibri"/>
            <family val="2"/>
          </rPr>
          <t xml:space="preserve">Market: Mobile services (including Machine to Machine revenues) + Sale and rental of mobile terminals. Global market revenue = Line 211 « Revenus des services mobiles (hors cartes MtoM) » + Line 216 « Services à valeur ajoutée au départ des clients des opérateurs mobiles » + Line 221 « Revenu des opérateurs attributaires - services de renseignements » + Line 223 « Revenu des cartes MtoM"
</t>
        </r>
      </text>
    </comment>
    <comment ref="D10" authorId="0" shapeId="0" xr:uid="{0BBFCA92-4675-D542-B43C-17508F4CCACB}">
      <text>
        <r>
          <rPr>
            <sz val="10"/>
            <color rgb="FF000000"/>
            <rFont val="Calibri"/>
            <family val="2"/>
          </rPr>
          <t>Source: Arcep (2023). Les Services de Communication Électroniques en France Resultats Provisoires/Annee 2022. [new report not available] report for 2021 [</t>
        </r>
        <r>
          <rPr>
            <u/>
            <sz val="10"/>
            <color rgb="FF000000"/>
            <rFont val="Calibri"/>
            <family val="2"/>
          </rPr>
          <t>https://www.arcep.fr/fileadmin/cru-1664269931/reprise/observatoire/march-an2021/obs-marche-annee-2021-prov_mai2022.pdf</t>
        </r>
        <r>
          <rPr>
            <sz val="10"/>
            <color rgb="FF000000"/>
            <rFont val="Calibri"/>
            <family val="2"/>
          </rPr>
          <t xml:space="preserve">]
</t>
        </r>
        <r>
          <rPr>
            <sz val="10"/>
            <color rgb="FF000000"/>
            <rFont val="Calibri"/>
            <family val="2"/>
          </rPr>
          <t xml:space="preserve">
</t>
        </r>
        <r>
          <rPr>
            <sz val="10"/>
            <color rgb="FF000000"/>
            <rFont val="Calibri"/>
            <family val="2"/>
          </rPr>
          <t xml:space="preserve">
</t>
        </r>
        <r>
          <rPr>
            <sz val="10"/>
            <color rgb="FF000000"/>
            <rFont val="Calibri"/>
            <family val="2"/>
          </rPr>
          <t>ARCEP (2023). Marché des communications électroniques en France - Année 2022 - Résultats provisoires: </t>
        </r>
        <r>
          <rPr>
            <u/>
            <sz val="10"/>
            <color rgb="FF000000"/>
            <rFont val="Calibri"/>
            <family val="2"/>
          </rPr>
          <t>https://www.arcep.fr/cartes-et-donnees/nos-publications-chiffrees/observatoire-des-marches-des-communications-electroniques-en-france/marche-communications-electroniques-france-2022-resultats-provisoires.html#:~:text=La%20consommation%20vocale%20depuis%20les,cons%C3%A9quence%20de%20la%20crise%20sanitaire</t>
        </r>
        <r>
          <rPr>
            <sz val="10"/>
            <color rgb="FF000000"/>
            <rFont val="Calibri"/>
            <family val="2"/>
          </rPr>
          <t xml:space="preserve">,
</t>
        </r>
        <r>
          <rPr>
            <sz val="10"/>
            <color rgb="FF000000"/>
            <rFont val="Calibri"/>
            <family val="2"/>
          </rPr>
          <t xml:space="preserve">
</t>
        </r>
        <r>
          <rPr>
            <sz val="10"/>
            <color rgb="FF000000"/>
            <rFont val="Calibri"/>
            <family val="2"/>
          </rPr>
          <t xml:space="preserve">
</t>
        </r>
        <r>
          <rPr>
            <sz val="10"/>
            <color rgb="FF000000"/>
            <rFont val="Calibri"/>
            <family val="2"/>
          </rPr>
          <t xml:space="preserve">Market: Mobile services (including Machine to Machine revenues) + Sale and rental of mobile terminals. Global market revenue = Line 211 « Revenus des services mobiles (hors cartes MtoM) » + Line 216 « Services à valeur ajoutée au départ des clients des opérateurs mobiles » + Line 221 « Revenu des opérateurs attributaires - services de renseignements » + Line 223 « Revenu des cartes MtoM"
</t>
        </r>
        <r>
          <rPr>
            <sz val="10"/>
            <color rgb="FF000000"/>
            <rFont val="Calibri"/>
            <family val="2"/>
          </rPr>
          <t xml:space="preserve">
</t>
        </r>
        <r>
          <rPr>
            <sz val="10"/>
            <color rgb="FF000000"/>
            <rFont val="Calibri"/>
            <family val="2"/>
          </rPr>
          <t xml:space="preserve">
</t>
        </r>
        <r>
          <rPr>
            <sz val="10"/>
            <color rgb="FF000000"/>
            <rFont val="Calibri"/>
            <family val="2"/>
          </rPr>
          <t xml:space="preserve">European euro converted at the 2022 annual exchange rate published by the Bank of Canada, i.e. 1.3696.
</t>
        </r>
      </text>
    </comment>
    <comment ref="E10" authorId="2" shapeId="0" xr:uid="{008E4603-F53D-F04E-91C7-7FEAFAF42A62}">
      <text>
        <r>
          <rPr>
            <sz val="10"/>
            <color rgb="FF000000"/>
            <rFont val="Calibri"/>
            <family val="2"/>
          </rPr>
          <t xml:space="preserve">Source : Arcep "Observatoire des communications électroniques", May 30 2024. Source: https://www.data.gouv.fr/fr/datasets/r/f30bc772-7dff-49d6-940e-42865f32a9da. Line 25 "Marchés services mobiles (y-compris les recettes Machine to Machine) + Line 219 « Services à valeur ajoutée au départ des clients des opérateurs mobiles » + Line 224 « Revenu des opérateurs attributaires - services de renseignements » + Line 226 « Revenu des cartes MtoM »
</t>
        </r>
      </text>
    </comment>
    <comment ref="C11" authorId="0" shapeId="0" xr:uid="{8501EF0C-9DCB-0540-A563-192DC0C59FFD}">
      <text>
        <r>
          <rPr>
            <b/>
            <sz val="10"/>
            <color rgb="FF000000"/>
            <rFont val="Tahoma"/>
            <family val="2"/>
          </rPr>
          <t>Source</t>
        </r>
        <r>
          <rPr>
            <sz val="10"/>
            <color rgb="FF000000"/>
            <rFont val="Tahoma"/>
            <family val="2"/>
          </rPr>
          <t xml:space="preserve">: Ofcom. Communications Market Report, 2022 (Summary of UK telecoms revenues: retail mobile). https://www.ofcom.org.uk/research-and-data/multi-sector-research/cmr/the-communications-market-2022?SQ_VARIATION_240924=0 </t>
        </r>
      </text>
    </comment>
    <comment ref="D11" authorId="0" shapeId="0" xr:uid="{FB8DEC9B-F7F4-A042-A14B-2EFA2D9069A5}">
      <text>
        <r>
          <rPr>
            <sz val="10"/>
            <color rgb="FF000000"/>
            <rFont val="Calibri"/>
            <family val="2"/>
          </rPr>
          <t xml:space="preserve">Source: Ofcom. Communications Market Report, 2023 (Summary of UK telecoms revenues: retail mobile). </t>
        </r>
        <r>
          <rPr>
            <u/>
            <sz val="10"/>
            <color rgb="FF000000"/>
            <rFont val="Calibri"/>
            <family val="2"/>
          </rPr>
          <t>https://www.ofcom.org.uk/__data/assets/pdf_file/0034/264778/Communications-Market-Report-2023.pdf</t>
        </r>
        <r>
          <rPr>
            <sz val="10"/>
            <color rgb="FF000000"/>
            <rFont val="Calibri"/>
            <family val="2"/>
          </rPr>
          <t xml:space="preserve">
</t>
        </r>
        <r>
          <rPr>
            <sz val="10"/>
            <color rgb="FF000000"/>
            <rFont val="Calibri"/>
            <family val="2"/>
          </rPr>
          <t xml:space="preserve">Ofcom (2023). Telecommunications Market Data Update 2022. </t>
        </r>
        <r>
          <rPr>
            <u/>
            <sz val="10"/>
            <color rgb="FF000000"/>
            <rFont val="Calibri"/>
            <family val="2"/>
          </rPr>
          <t>https://www.ofcom.org.uk/__data/assets/pdf_file/0025/260539/Q4-2022-Telecoms-Data-Update.pdf</t>
        </r>
        <r>
          <rPr>
            <sz val="10"/>
            <color rgb="FF000000"/>
            <rFont val="Calibri"/>
            <family val="2"/>
          </rPr>
          <t xml:space="preserve">, p. 16
</t>
        </r>
        <r>
          <rPr>
            <sz val="10"/>
            <color rgb="FF000000"/>
            <rFont val="Calibri"/>
            <family val="2"/>
          </rPr>
          <t xml:space="preserve">
</t>
        </r>
        <r>
          <rPr>
            <sz val="10"/>
            <color rgb="FF000000"/>
            <rFont val="Calibri"/>
            <family val="2"/>
          </rPr>
          <t xml:space="preserve">
</t>
        </r>
        <r>
          <rPr>
            <sz val="10"/>
            <color rgb="FF000000"/>
            <rFont val="Calibri"/>
            <family val="2"/>
          </rPr>
          <t xml:space="preserve">UK pound sterling converted at the 2022 annual exchange rate published by the Bank of Canada, i.e. 1.6076.
</t>
        </r>
      </text>
    </comment>
    <comment ref="E11" authorId="0" shapeId="0" xr:uid="{09CCF0F7-92FE-5349-AC37-2DB2DFF74FEA}">
      <text>
        <r>
          <rPr>
            <b/>
            <sz val="10"/>
            <color rgb="FF000000"/>
            <rFont val="Calibri"/>
            <family val="2"/>
          </rPr>
          <t>Source</t>
        </r>
        <r>
          <rPr>
            <sz val="10"/>
            <color rgb="FF000000"/>
            <rFont val="Calibri"/>
            <family val="2"/>
          </rPr>
          <t xml:space="preserve">: Ofcom. Telecommunications Market Data Update (Quarterly) 2023.
</t>
        </r>
      </text>
    </comment>
    <comment ref="F11" authorId="0" shapeId="0" xr:uid="{742EB542-1EB8-044B-9D79-09D164D87A9B}">
      <text>
        <r>
          <rPr>
            <b/>
            <sz val="10"/>
            <color rgb="FF000000"/>
            <rFont val="Calibri"/>
            <family val="2"/>
          </rPr>
          <t>Source</t>
        </r>
        <r>
          <rPr>
            <sz val="10"/>
            <color rgb="FF000000"/>
            <rFont val="Calibri"/>
            <family val="2"/>
          </rPr>
          <t xml:space="preserve">: Ofcom. Telecommunications Market Data Update (Quarterly) 2024.
</t>
        </r>
      </text>
    </comment>
    <comment ref="C12" authorId="0" shapeId="0" xr:uid="{4A3A6937-85BC-CB4F-B55A-BE4C2FF2ACBA}">
      <text>
        <r>
          <rPr>
            <b/>
            <sz val="10"/>
            <color rgb="FF000000"/>
            <rFont val="Tahoma"/>
            <family val="2"/>
          </rPr>
          <t xml:space="preserve">Source: </t>
        </r>
        <r>
          <rPr>
            <sz val="10"/>
            <color rgb="FF000000"/>
            <rFont val="Calibri"/>
            <family val="2"/>
          </rPr>
          <t xml:space="preserve">IBISWorld's 'AUSTRALIA INDUSTRY (ANZSIC) REPORT J5802: Wireless Telecommunications Carriers in Australia' (Updated April 2022). </t>
        </r>
      </text>
    </comment>
    <comment ref="D12" authorId="0" shapeId="0" xr:uid="{A2C3E506-4BA2-9540-ABA5-CDCE4135391D}">
      <text>
        <r>
          <rPr>
            <sz val="10"/>
            <color rgb="FF000000"/>
            <rFont val="Calibri"/>
            <family val="2"/>
          </rPr>
          <t xml:space="preserve">Source: IBISWorld's 'AUSTRALIA INDUSTRY (ANZSIC) REPORT J5802: Wireless Telecommunications Carriers in Australia' (Updated April 2023). </t>
        </r>
        <r>
          <rPr>
            <u/>
            <sz val="10"/>
            <color rgb="FF000000"/>
            <rFont val="Calibri"/>
            <family val="2"/>
          </rPr>
          <t>https://www.ibisworld.com/au/industry/wireless-telecommunications-carriers/1830/#IndustryStatisticsAndTrends</t>
        </r>
        <r>
          <rPr>
            <sz val="10"/>
            <color rgb="FF000000"/>
            <rFont val="Calibri"/>
            <family val="2"/>
          </rPr>
          <t xml:space="preserve"> [hmmm, it's behind a paywall. The prediction is that the industry's revenue will gradually decrease by 0.1% each year over the five-year period leading up to 2022-23, and it's expected to reach a total of $22.9 billion during that time]
</t>
        </r>
        <r>
          <rPr>
            <sz val="10"/>
            <color rgb="FF000000"/>
            <rFont val="Calibri"/>
            <family val="2"/>
          </rPr>
          <t xml:space="preserve">
</t>
        </r>
        <r>
          <rPr>
            <sz val="10"/>
            <color rgb="FF000000"/>
            <rFont val="Calibri"/>
            <family val="2"/>
          </rPr>
          <t xml:space="preserve">
</t>
        </r>
        <r>
          <rPr>
            <sz val="10"/>
            <color rgb="FF000000"/>
            <rFont val="Calibri"/>
            <family val="2"/>
          </rPr>
          <t xml:space="preserve">Australian dollar converted at the 2022 annual exchange rate published by the Bank of Canada, i.e. 0.9034.
</t>
        </r>
      </text>
    </comment>
    <comment ref="E12" authorId="0" shapeId="0" xr:uid="{17AADBE5-5589-C143-BE4A-25D8FC4D961B}">
      <text>
        <r>
          <rPr>
            <sz val="10"/>
            <color rgb="FF000000"/>
            <rFont val="Aptos Narrow"/>
            <family val="2"/>
          </rPr>
          <t>IBISWorld's J5802 - Wireless Telecommunications Carriers in Australia Report (sum of players + others)</t>
        </r>
      </text>
    </comment>
    <comment ref="F12" authorId="0" shapeId="0" xr:uid="{7F52522B-62B6-7D41-B365-5FD5268B51D4}">
      <text>
        <r>
          <rPr>
            <sz val="10"/>
            <color rgb="FF000000"/>
            <rFont val="Aptos Narrow"/>
            <family val="2"/>
            <scheme val="minor"/>
          </rPr>
          <t>IBISWorld's J5802 - Wireless Telecommunications Carriers in Australia Report (sum of players + others)</t>
        </r>
        <r>
          <rPr>
            <sz val="10"/>
            <color rgb="FF000000"/>
            <rFont val="Aptos Narrow"/>
            <family val="2"/>
            <scheme val="minor"/>
          </rPr>
          <t xml:space="preserve">
</t>
        </r>
      </text>
    </comment>
    <comment ref="C13" authorId="0" shapeId="0" xr:uid="{65D4AAD9-5F76-D344-AD4D-419A9CC9E929}">
      <text>
        <r>
          <rPr>
            <sz val="10"/>
            <color rgb="FF000000"/>
            <rFont val="Calibri"/>
            <family val="2"/>
          </rPr>
          <t xml:space="preserve">Teleco agency, based on ANATEL,  personal communication.https://www.gov.br/anatel/pt-br/dados/relatorios-de-acompanhamento </t>
        </r>
      </text>
    </comment>
    <comment ref="D13" authorId="0" shapeId="0" xr:uid="{EA692F76-7700-0E4F-B9B3-9E37A3C699ED}">
      <text>
        <r>
          <rPr>
            <sz val="10"/>
            <color rgb="FF000000"/>
            <rFont val="Calibri"/>
            <family val="2"/>
          </rPr>
          <t xml:space="preserve">Teleco agency, based on ANATEL,  personal communication.https://www.gov.br/anatel/pt-br/dados/relatorios-de-acompanhamento </t>
        </r>
      </text>
    </comment>
    <comment ref="E13" authorId="0" shapeId="0" xr:uid="{28D39D29-BB73-0A49-8887-214E3767B114}">
      <text>
        <r>
          <rPr>
            <sz val="10"/>
            <color rgb="FF000000"/>
            <rFont val="Calibri"/>
            <family val="2"/>
          </rPr>
          <t xml:space="preserve">Teleco agency, based on ANATEL,  personal communication.https://www.gov.br/anatel/pt-br/dados/relatorios-de-acompanhamento .
</t>
        </r>
        <r>
          <rPr>
            <sz val="10"/>
            <color rgb="FF000000"/>
            <rFont val="Calibri"/>
            <family val="2"/>
          </rPr>
          <t xml:space="preserve">
</t>
        </r>
      </text>
    </comment>
    <comment ref="F13" authorId="0" shapeId="0" xr:uid="{1852FC81-504C-DD47-B6EC-3FED77AA7CF3}">
      <text>
        <r>
          <rPr>
            <sz val="10"/>
            <color rgb="FF000000"/>
            <rFont val="Tahoma"/>
            <family val="2"/>
          </rPr>
          <t xml:space="preserve">Includes only service revenue, not devices. Teleco: https://www.teleco.com.br/es/es_economico_receita.asp. 
</t>
        </r>
        <r>
          <rPr>
            <sz val="10"/>
            <color rgb="FF000000"/>
            <rFont val="Tahoma"/>
            <family val="2"/>
          </rPr>
          <t xml:space="preserve">
</t>
        </r>
        <r>
          <rPr>
            <sz val="10"/>
            <color rgb="FF000000"/>
            <rFont val="Aptos Narrow"/>
            <family val="2"/>
          </rPr>
          <t xml:space="preserve">Brazil Real converted to Canadian dollars at the 2024 annual exchange rate published by the Bank of Canada, i.e. .2553.
</t>
        </r>
      </text>
    </comment>
    <comment ref="F14" authorId="0" shapeId="0" xr:uid="{4DCA991D-0BF6-3246-B99E-038CC6008626}">
      <text>
        <r>
          <rPr>
            <sz val="10"/>
            <color rgb="FF000000"/>
            <rFont val="Aptos Narrow"/>
            <family val="2"/>
          </rPr>
          <t>GMICP Mexico Team (2025). Combined revenue figures from Telcel, Movistar Mexico, AT&amp;T, and MVNOs, based on company annual reports and public data from the government regulator"</t>
        </r>
      </text>
    </comment>
    <comment ref="C15" authorId="0" shapeId="0" xr:uid="{46FC7EC3-FD1E-4248-8D4D-46571D688F17}">
      <text>
        <r>
          <rPr>
            <sz val="10"/>
            <color rgb="FF000000"/>
            <rFont val="Tahoma"/>
            <family val="2"/>
          </rPr>
          <t xml:space="preserve">Rostelecom 2021 annual report https://www.company.rt.ru/ir/agm/files/2021/Annual_report_2021_rus.pdf. Summing mobile market revenues b2c 909 bln. RUR with mobile revenues for b2b segment 138 bln. RUR. Rostelecom in its corporate report relies on datas from TMT Consulting which publishes annual market report on telecommunication sector in Russia. Russian ruble converted to CDN$ based on Bank of Canada average annual exchange rate. </t>
        </r>
      </text>
    </comment>
    <comment ref="D15" authorId="0" shapeId="0" xr:uid="{54A7DA16-2733-9647-A4A0-5302378C9DB7}">
      <text>
        <r>
          <rPr>
            <sz val="10"/>
            <color rgb="FF000000"/>
            <rFont val="Tahoma"/>
            <family val="2"/>
          </rPr>
          <t xml:space="preserve">Rostelecom 2022 annual report https://www.company.rt.ru/ir/agm/files/2022/Annual_report_2022_rus.pdf. Total calculated on the basis of sum between b2c and b2c market: 909 + 155 bln. RUR. Rostelecom in its corporate report relies on datas from TMT Consulting which publishes annual market report on telecommunication sector in Russia. Russian ruble converted to CDN$ based on Bank of Canada average annual exchange rate. </t>
        </r>
      </text>
    </comment>
    <comment ref="E15" authorId="0" shapeId="0" xr:uid="{E2067C96-3069-264C-9E6C-F01E406EEDE0}">
      <text>
        <r>
          <rPr>
            <sz val="10"/>
            <color rgb="FF000000"/>
            <rFont val="Tahoma"/>
            <family val="2"/>
          </rPr>
          <t xml:space="preserve">Rostelecom 2023 annual report https://www.company.rt.ru/ir/agm/files/2023/02_Annual_report_2023_rus_abriged.pdf. Total calculated on the basis of sum between b2c and b2c market: 990 + 177 bln. RUR. Rostelecom in its corporate report relies on datas from TMT Consulting which publishes annual market report on telecommunication sector in Russia. Russian ruble converted to CDN$ based on Bank of Canada average annual exchange rate. </t>
        </r>
      </text>
    </comment>
    <comment ref="F15" authorId="0" shapeId="0" xr:uid="{8104DC3D-0EE1-2745-A973-558654075F32}">
      <text>
        <r>
          <rPr>
            <sz val="10"/>
            <color rgb="FF000000"/>
            <rFont val="Tahoma"/>
            <family val="2"/>
          </rPr>
          <t xml:space="preserve">Rostelecom 2024 annual report https://www.company.rt.ru/ir/agm/files/2024/Annual_report_2024_rus.pdf. Total calculated on the basis of sum between b2c and b2b sectors: 1066+185 bln. RUR. Rostelecom in its corporate report relies on datas from TMT Consulting which publishes annual market report on telecommunication sector in Russia. Russian ruble converted to CDN$ based on Bank of Canada average annual exchange rate. </t>
        </r>
      </text>
    </comment>
    <comment ref="C16" authorId="0" shapeId="0" xr:uid="{55754808-1719-924C-BE76-5107C6C46B66}">
      <text>
        <r>
          <rPr>
            <sz val="10"/>
            <color rgb="FF000000"/>
            <rFont val="Calibri"/>
            <family val="2"/>
          </rPr>
          <t>Source: AGCOM. Relazione Annuale 2022. Appendice Statistica (page 32, figure A1.35 - Full source available here: https://www.agcom.it/documents/10179/27251843/Allegato+28-7-2022+1659015871109/c11ec9a1-57d3-4716-9201-7252b6debf44?version=1.0). Included voice, data and bundled offers revenue. ùNet revenue only: wholesale revenues are not accounted for</t>
        </r>
      </text>
    </comment>
    <comment ref="D16" authorId="0" shapeId="0" xr:uid="{72F97F29-E3C1-3C47-BE05-9E59A7E2F8C3}">
      <text>
        <r>
          <rPr>
            <sz val="10"/>
            <color rgb="FF000000"/>
            <rFont val="Calibri"/>
            <family val="2"/>
          </rPr>
          <t xml:space="preserve">Source: AGCOM. Relazione Annuale 2023 (page 32 - table A1.35 and page 33 - table A1.38 of the Statistical Appendix). </t>
        </r>
        <r>
          <rPr>
            <u/>
            <sz val="10"/>
            <color rgb="FF000000"/>
            <rFont val="Calibri"/>
            <family val="2"/>
          </rPr>
          <t>https://www.agcom.it/documents/10179/31023367/Documento+generico+19-07-2023/bd485435-0467-4bf1-9a87-f074b4525ac7?version=1.0</t>
        </r>
        <r>
          <rPr>
            <sz val="10"/>
            <color rgb="FF000000"/>
            <rFont val="Calibri"/>
            <family val="2"/>
          </rPr>
          <t xml:space="preserve">; </t>
        </r>
        <r>
          <rPr>
            <u/>
            <sz val="10"/>
            <color rgb="FF000000"/>
            <rFont val="Calibri"/>
            <family val="2"/>
          </rPr>
          <t>https://www.agcom.it/documents/10179/31023367/Allegato+18-7-2023+1689717374320/ecc9b34f-5274-4065-9729-e9ed9ff7696e?version=1.0</t>
        </r>
        <r>
          <rPr>
            <sz val="10"/>
            <color rgb="FF000000"/>
            <rFont val="Calibri"/>
            <family val="2"/>
          </rPr>
          <t xml:space="preserve">
</t>
        </r>
        <r>
          <rPr>
            <sz val="10"/>
            <color rgb="FF000000"/>
            <rFont val="Calibri"/>
            <family val="2"/>
          </rPr>
          <t xml:space="preserve">
</t>
        </r>
        <r>
          <rPr>
            <sz val="10"/>
            <color rgb="FF000000"/>
            <rFont val="Calibri"/>
            <family val="2"/>
          </rPr>
          <t xml:space="preserve">European euro coverted at the 2021 annual exchange rate published by the Bank of Canada, i.e. 1.3696 .
</t>
        </r>
      </text>
    </comment>
    <comment ref="E16" authorId="0" shapeId="0" xr:uid="{0E452472-0B7B-814F-AA65-03B2970CC6A1}">
      <text>
        <r>
          <rPr>
            <sz val="10"/>
            <color rgb="FF000000"/>
            <rFont val="Tahoma"/>
            <family val="2"/>
          </rPr>
          <t>Source: AGCOM. Relazione Annuale 2024. Appendice Statistica (page 30, figure A1.31 - Full source available here: https://www.agcom.it/sites/default/files/media/allegato/2024/APPENDICE%20STATISTICA_RA2024.pdf)</t>
        </r>
      </text>
    </comment>
    <comment ref="F16" authorId="0" shapeId="0" xr:uid="{D82D797F-1643-554D-B252-48365608D25F}">
      <text>
        <r>
          <rPr>
            <sz val="10"/>
            <color rgb="FF000000"/>
            <rFont val="Tahoma"/>
            <family val="2"/>
          </rPr>
          <t xml:space="preserve">Source: AGCOM. Relazione Annuale 2025. Appendice Statistica (page 30, figure A1.30 - Full source available here: https://www.agcom.it/sites/default/files/media/allegato/2025/RA%202025_APPENDICE%20STATISTICA_0.pdf). </t>
        </r>
      </text>
    </comment>
    <comment ref="C17" authorId="0" shapeId="0" xr:uid="{162E2216-1D8B-D243-93CD-7BB8B2E75D48}">
      <text>
        <r>
          <rPr>
            <b/>
            <sz val="10"/>
            <color rgb="FF000000"/>
            <rFont val="Tahoma"/>
            <family val="2"/>
          </rPr>
          <t>Source</t>
        </r>
        <r>
          <rPr>
            <sz val="10"/>
            <color rgb="FF000000"/>
            <rFont val="Tahoma"/>
            <family val="2"/>
          </rPr>
          <t xml:space="preserve">: https://www.icasa.org.za/legislation-and-regulations/state-of-the-ict-sector-in-south-africa-2022-report, p. 9. </t>
        </r>
      </text>
    </comment>
    <comment ref="D17" authorId="0" shapeId="0" xr:uid="{6D734B0D-45FC-064D-A20A-2A47BE513A4F}">
      <text>
        <r>
          <rPr>
            <sz val="10"/>
            <color rgb="FF000000"/>
            <rFont val="Calibri"/>
            <family val="2"/>
          </rPr>
          <t xml:space="preserve">Source: </t>
        </r>
        <r>
          <rPr>
            <u/>
            <sz val="10"/>
            <color rgb="FF000000"/>
            <rFont val="Calibri"/>
            <family val="2"/>
          </rPr>
          <t>https://www.icasa.org.za/legislation-and-regulations/state-of-ict-sector-report-2023-report</t>
        </r>
        <r>
          <rPr>
            <sz val="10"/>
            <color rgb="FF000000"/>
            <rFont val="Calibri"/>
            <family val="2"/>
          </rPr>
          <t xml:space="preserve">, p. 19. 
</t>
        </r>
        <r>
          <rPr>
            <sz val="10"/>
            <color rgb="FF000000"/>
            <rFont val="Calibri"/>
            <family val="2"/>
          </rPr>
          <t xml:space="preserve">
</t>
        </r>
        <r>
          <rPr>
            <sz val="10"/>
            <color rgb="FF000000"/>
            <rFont val="Calibri"/>
            <family val="2"/>
          </rPr>
          <t xml:space="preserve">
</t>
        </r>
        <r>
          <rPr>
            <sz val="10"/>
            <color rgb="FF000000"/>
            <rFont val="Calibri"/>
            <family val="2"/>
          </rPr>
          <t xml:space="preserve">South African rand converted at the 2022 annual exchange rate published by the Bank of Canada, i.e. 0.07974.
</t>
        </r>
      </text>
    </comment>
    <comment ref="E17" authorId="0" shapeId="0" xr:uid="{C5DFFF42-229E-AC45-AE57-7573E3454230}">
      <text>
        <r>
          <rPr>
            <sz val="10"/>
            <color rgb="FF000000"/>
            <rFont val="Calibri"/>
            <family val="2"/>
          </rPr>
          <t xml:space="preserve">Source:  ICASA (2024). State of the ICT seector in South Africa--2024 report, p. 20. </t>
        </r>
        <r>
          <rPr>
            <u/>
            <sz val="10"/>
            <color rgb="FF000000"/>
            <rFont val="Calibri"/>
            <family val="2"/>
          </rPr>
          <t>https://www.icasa.org.za/legislation-and-regulations/state-of-the-ict-sector-in-south-africa-2024-report</t>
        </r>
        <r>
          <rPr>
            <sz val="10"/>
            <color rgb="FF000000"/>
            <rFont val="Calibri"/>
            <family val="2"/>
          </rPr>
          <t xml:space="preserve">
</t>
        </r>
        <r>
          <rPr>
            <sz val="10"/>
            <color rgb="FF000000"/>
            <rFont val="Calibri"/>
            <family val="2"/>
          </rPr>
          <t xml:space="preserve">
</t>
        </r>
        <r>
          <rPr>
            <sz val="10"/>
            <color rgb="FF000000"/>
            <rFont val="Calibri"/>
            <family val="2"/>
          </rPr>
          <t xml:space="preserve">
</t>
        </r>
        <r>
          <rPr>
            <sz val="10"/>
            <color rgb="FF000000"/>
            <rFont val="Calibri"/>
            <family val="2"/>
          </rPr>
          <t xml:space="preserve">South African rand converted at the 2022 annual exchange rate published by the Bank of Canada, i.e. 0.07974.
</t>
        </r>
      </text>
    </comment>
    <comment ref="F17" authorId="0" shapeId="0" xr:uid="{388372EC-3FD4-0E4F-B012-5946E61C87AC}">
      <text>
        <r>
          <rPr>
            <sz val="10"/>
            <color rgb="FF000000"/>
            <rFont val="Calibri"/>
            <family val="2"/>
          </rPr>
          <t xml:space="preserve">Source:  ICASA (2025). State of the ICT seector in South Africa--2025 report, p. 26. </t>
        </r>
        <r>
          <rPr>
            <u/>
            <sz val="10"/>
            <color rgb="FF000000"/>
            <rFont val="Calibri"/>
            <family val="2"/>
          </rPr>
          <t>file:///Users/wilk0075/Downloads/The-State-of-the-ICT-Sector-Report-of-South-Africa-2025%20(1).pdf</t>
        </r>
        <r>
          <rPr>
            <sz val="10"/>
            <color rgb="FF000000"/>
            <rFont val="Calibri"/>
            <family val="2"/>
          </rPr>
          <t xml:space="preserve">
</t>
        </r>
        <r>
          <rPr>
            <sz val="10"/>
            <color rgb="FF000000"/>
            <rFont val="Calibri"/>
            <family val="2"/>
          </rPr>
          <t xml:space="preserve">
</t>
        </r>
        <r>
          <rPr>
            <sz val="10"/>
            <color rgb="FF000000"/>
            <rFont val="Calibri"/>
            <family val="2"/>
          </rPr>
          <t xml:space="preserve">South African rand converted at the 2022 annual exchange rate published by the Bank of Canada, i.e. 0.07974.
</t>
        </r>
      </text>
    </comment>
    <comment ref="C18" authorId="0" shapeId="0" xr:uid="{6233F46A-262A-4B41-B5C0-8B7B1F182910}">
      <text>
        <r>
          <rPr>
            <b/>
            <sz val="10"/>
            <color rgb="FF000000"/>
            <rFont val="Tahoma"/>
            <family val="2"/>
          </rPr>
          <t xml:space="preserve">Source: </t>
        </r>
        <r>
          <rPr>
            <sz val="10"/>
            <color rgb="FF000000"/>
            <rFont val="Calibri"/>
            <family val="2"/>
          </rPr>
          <t xml:space="preserve">Aggregated data of Mobile Voice (Telefonía móvil) and Mobile Data (Banda ancha móvil) . http://data.cnmc.es/datagraph/jsp/inf_anual.jsp
</t>
        </r>
        <r>
          <rPr>
            <sz val="10"/>
            <color rgb="FF000000"/>
            <rFont val="Calibri"/>
            <family val="2"/>
          </rPr>
          <t xml:space="preserve">
</t>
        </r>
      </text>
    </comment>
    <comment ref="D18" authorId="0" shapeId="0" xr:uid="{8CFD73E6-8747-6942-BBA9-01A764F2037F}">
      <text>
        <r>
          <rPr>
            <sz val="10"/>
            <color rgb="FF000000"/>
            <rFont val="Aptos Narrow"/>
            <family val="2"/>
          </rPr>
          <t xml:space="preserve">Source: Aggregated data of Mobile Voice (Telefonía móvil) and Mobile Data (Banda ancha móvil) . </t>
        </r>
        <r>
          <rPr>
            <u/>
            <sz val="10"/>
            <color rgb="FF000000"/>
            <rFont val="Aptos Narrow"/>
            <family val="2"/>
          </rPr>
          <t>https://data.cnmc.es/telecomunicaciones-y-sector-audiovisual/datos-anuales/datos-generales/telecomunicaciones-anual</t>
        </r>
        <r>
          <rPr>
            <sz val="10"/>
            <color rgb="FF000000"/>
            <rFont val="Aptos Narrow"/>
            <family val="2"/>
          </rPr>
          <t xml:space="preserve">
</t>
        </r>
        <r>
          <rPr>
            <sz val="10"/>
            <color rgb="FF000000"/>
            <rFont val="Aptos Narrow"/>
            <family val="2"/>
          </rPr>
          <t xml:space="preserve">
</t>
        </r>
        <r>
          <rPr>
            <sz val="10"/>
            <color rgb="FF000000"/>
            <rFont val="Aptos Narrow"/>
            <family val="2"/>
          </rPr>
          <t xml:space="preserve">
</t>
        </r>
        <r>
          <rPr>
            <sz val="10"/>
            <color rgb="FF000000"/>
            <rFont val="Aptos Narrow"/>
            <family val="2"/>
          </rPr>
          <t xml:space="preserve">European euro converted at the 2022 annual exchange rate published by the Bank of Canada, i.e. 1.3696.
</t>
        </r>
      </text>
    </comment>
    <comment ref="F18" authorId="0" shapeId="0" xr:uid="{FB38D997-C15C-284C-8EA3-D3C496EE381E}">
      <text>
        <r>
          <rPr>
            <sz val="10"/>
            <color rgb="FF000000"/>
            <rFont val="Aptos Narrow"/>
            <family val="2"/>
          </rPr>
          <t>https://data.cnmc.es/telecomunicaciones-y-sector-audiovisual/datos-anuales/datos-de-mercados/telecomunicaciones-anual</t>
        </r>
      </text>
    </comment>
    <comment ref="C19" authorId="0" shapeId="0" xr:uid="{3E8307C5-2759-BC47-A479-28A9CB1C0F19}">
      <text>
        <r>
          <rPr>
            <sz val="10"/>
            <color rgb="FF000000"/>
            <rFont val="Calibri"/>
            <family val="2"/>
          </rPr>
          <t>Source: Nigerian Communications Commission's </t>
        </r>
        <r>
          <rPr>
            <i/>
            <sz val="10"/>
            <color rgb="FF000000"/>
            <rFont val="Calibri"/>
            <family val="2"/>
          </rPr>
          <t>2021 Subscriber/Network Data Annual Report</t>
        </r>
        <r>
          <rPr>
            <sz val="10"/>
            <color rgb="FF000000"/>
            <rFont val="Calibri"/>
            <family val="2"/>
          </rPr>
          <t xml:space="preserve">, p 4. </t>
        </r>
      </text>
    </comment>
    <comment ref="E19" authorId="0" shapeId="0" xr:uid="{76C664DF-6859-614D-92B1-D6BC6C64CFC7}">
      <text>
        <r>
          <rPr>
            <sz val="10"/>
            <color rgb="FF000000"/>
            <rFont val="Tahoma"/>
            <family val="2"/>
          </rPr>
          <t xml:space="preserve">Based on known revenue of MTN and Airtel, which account for roughly 70% of the market, and an estimated of the remainder. </t>
        </r>
      </text>
    </comment>
    <comment ref="F19" authorId="0" shapeId="0" xr:uid="{0CC6955F-63BA-3C4E-8950-E351B770CF6D}">
      <text>
        <r>
          <rPr>
            <sz val="10"/>
            <color rgb="FF000000"/>
            <rFont val="Tahoma"/>
            <family val="2"/>
          </rPr>
          <t xml:space="preserve">PWC Global entertainment and media outlook, 2025-2029. </t>
        </r>
      </text>
    </comment>
    <comment ref="C20" authorId="0" shapeId="0" xr:uid="{4885FB01-54F3-0543-92AA-8343967A1F8E}">
      <text>
        <r>
          <rPr>
            <b/>
            <sz val="10"/>
            <color rgb="FF000000"/>
            <rFont val="Calibri"/>
            <family val="2"/>
          </rPr>
          <t>Source</t>
        </r>
        <r>
          <rPr>
            <sz val="10"/>
            <color rgb="FF000000"/>
            <rFont val="Calibri"/>
            <family val="2"/>
          </rPr>
          <t xml:space="preserve">: BTK (2021) "Turkiye Elektronik Haberlesme Sektoru, Uc Aylik Pazar Verileri Raporu" [Turkey Electronic Communications Sector, Quarterly Market Data Report], pp. 24, 77.  https://www.btk.gov.tr/uploads/pages/pazar-verileri/2021-4-pazar-verileri-raporu.pdf </t>
        </r>
      </text>
    </comment>
    <comment ref="D20" authorId="0" shapeId="0" xr:uid="{2F1C1E38-4792-2E4C-9C9A-68593E014344}">
      <text>
        <r>
          <rPr>
            <sz val="10"/>
            <color rgb="FF000000"/>
            <rFont val="Calibri"/>
            <family val="2"/>
          </rPr>
          <t xml:space="preserve">Source: BTK (2021) "Turkiye Elektronik Haberlesme Sektoru, Uc Aylik Pazar Verileri Raporu" [Turkey Electronic Communications Sector, Quarterly Market Data Report].   </t>
        </r>
        <r>
          <rPr>
            <u/>
            <sz val="10"/>
            <color rgb="FF000000"/>
            <rFont val="Calibri"/>
            <family val="2"/>
          </rPr>
          <t>https://www.btk.gov.tr/uploads/pages/pazar-verileri/2021-4-pazar-verileri-raporu.pdf</t>
        </r>
        <r>
          <rPr>
            <sz val="10"/>
            <color rgb="FF000000"/>
            <rFont val="Calibri"/>
            <family val="2"/>
          </rPr>
          <t xml:space="preserve">
</t>
        </r>
        <r>
          <rPr>
            <u/>
            <sz val="10"/>
            <color rgb="FF000000"/>
            <rFont val="Calibri"/>
            <family val="2"/>
          </rPr>
          <t>https://www.btk.gov.tr/pazar-verileri</t>
        </r>
        <r>
          <rPr>
            <sz val="10"/>
            <color rgb="FF000000"/>
            <rFont val="Calibri"/>
            <family val="2"/>
          </rPr>
          <t xml:space="preserve"> 
</t>
        </r>
        <r>
          <rPr>
            <sz val="10"/>
            <color rgb="FF000000"/>
            <rFont val="Calibri"/>
            <family val="2"/>
          </rPr>
          <t xml:space="preserve">
</t>
        </r>
        <r>
          <rPr>
            <sz val="10"/>
            <color rgb="FF000000"/>
            <rFont val="Calibri"/>
            <family val="2"/>
          </rPr>
          <t xml:space="preserve">
</t>
        </r>
        <r>
          <rPr>
            <u/>
            <sz val="10"/>
            <color rgb="FF000000"/>
            <rFont val="Calibri"/>
            <family val="2"/>
          </rPr>
          <t>https://www.bthk.org/tr/Documents/2022%20Q4%20Raporu.pdf</t>
        </r>
        <r>
          <rPr>
            <sz val="10"/>
            <color rgb="FF000000"/>
            <rFont val="Calibri"/>
            <family val="2"/>
          </rPr>
          <t xml:space="preserve">
</t>
        </r>
      </text>
    </comment>
    <comment ref="E20" authorId="0" shapeId="0" xr:uid="{9B485488-0CEE-B54A-B708-57FE2DAA9C47}">
      <text>
        <r>
          <rPr>
            <sz val="10"/>
            <color rgb="FF000000"/>
            <rFont val="Calibri"/>
            <family val="2"/>
          </rPr>
          <t>Source: Information and communication Technologies Authority, 2024 Q1 report, p. 69 https://www.btk.gov.tr/uploads/pages/pazar-verileri/2024-1-kurumdisifinal.pdf</t>
        </r>
      </text>
    </comment>
    <comment ref="F20" authorId="0" shapeId="0" xr:uid="{7B19CDE9-5D1B-3948-BAD1-F473751211D1}">
      <text>
        <r>
          <rPr>
            <sz val="10"/>
            <color rgb="FF000000"/>
            <rFont val="Calibri"/>
            <family val="2"/>
          </rPr>
          <t>Source: Information and communication Technologies Authority, 2024 Q1 report, p. 69 https://www.btk.gov.tr/uploads/pages/pazar-verileri/2024-1-kurumdisifinal.pdf</t>
        </r>
      </text>
    </comment>
    <comment ref="C21" authorId="0" shapeId="0" xr:uid="{A47700C6-462D-B44C-A330-AD71834352F9}">
      <text>
        <r>
          <rPr>
            <b/>
            <sz val="10"/>
            <color rgb="FF000000"/>
            <rFont val="Tahoma"/>
            <family val="2"/>
          </rPr>
          <t>DD:</t>
        </r>
        <r>
          <rPr>
            <sz val="10"/>
            <color rgb="FF000000"/>
            <rFont val="Tahoma"/>
            <family val="2"/>
          </rPr>
          <t xml:space="preserve">
</t>
        </r>
        <r>
          <rPr>
            <sz val="10"/>
            <color rgb="FF000000"/>
            <rFont val="+mn-lt"/>
            <charset val="1"/>
          </rPr>
          <t>https://www.acm.nl/nl/publicaties/acm-telecommonitor-eerste-kwartaal-2021</t>
        </r>
      </text>
    </comment>
    <comment ref="D21" authorId="0" shapeId="0" xr:uid="{4B603ED5-C5BD-A34D-9CC3-2AE8F8C1991E}">
      <text>
        <r>
          <rPr>
            <sz val="10"/>
            <color rgb="FF000000"/>
            <rFont val="Calibri"/>
            <family val="2"/>
          </rPr>
          <t>The Netherlands Authority for Consumers and Markets (ACM). </t>
        </r>
        <r>
          <rPr>
            <u/>
            <sz val="10"/>
            <color rgb="FF000000"/>
            <rFont val="Calibri"/>
            <family val="2"/>
          </rPr>
          <t>https://public.tableau.com/app/profile/autoriteit.consument.en.markt/viz/Telecommonitor/OVER</t>
        </r>
        <r>
          <rPr>
            <sz val="10"/>
            <color rgb="FF000000"/>
            <rFont val="Calibri"/>
            <family val="2"/>
          </rPr>
          <t xml:space="preserve">
</t>
        </r>
        <r>
          <rPr>
            <sz val="10"/>
            <color rgb="FF000000"/>
            <rFont val="Calibri"/>
            <family val="2"/>
          </rPr>
          <t xml:space="preserve">
</t>
        </r>
        <r>
          <rPr>
            <sz val="10"/>
            <color rgb="FF000000"/>
            <rFont val="Calibri"/>
            <family val="2"/>
          </rPr>
          <t xml:space="preserve">
</t>
        </r>
        <r>
          <rPr>
            <u/>
            <sz val="10"/>
            <color rgb="FF000000"/>
            <rFont val="Calibri"/>
            <family val="2"/>
          </rPr>
          <t>https://www.acm.nl/nl/publicaties/acm-telecommonitor-eerste-kwartaal-2021</t>
        </r>
        <r>
          <rPr>
            <sz val="10"/>
            <color rgb="FF000000"/>
            <rFont val="Calibri"/>
            <family val="2"/>
          </rPr>
          <t xml:space="preserve">; </t>
        </r>
        <r>
          <rPr>
            <u/>
            <sz val="10"/>
            <color rgb="FF000000"/>
            <rFont val="Calibri"/>
            <family val="2"/>
          </rPr>
          <t>https://www.acm.nl/nl/publicaties/acm-telecommonitor-eerste-kwartaal-2022-met-nieuw-interactief-dashboard</t>
        </r>
        <r>
          <rPr>
            <sz val="10"/>
            <color rgb="FF000000"/>
            <rFont val="Calibri"/>
            <family val="2"/>
          </rPr>
          <t xml:space="preserve">
</t>
        </r>
        <r>
          <rPr>
            <sz val="10"/>
            <color rgb="FF000000"/>
            <rFont val="Calibri"/>
            <family val="2"/>
          </rPr>
          <t xml:space="preserve">
</t>
        </r>
        <r>
          <rPr>
            <sz val="10"/>
            <color rgb="FF000000"/>
            <rFont val="Calibri"/>
            <family val="2"/>
          </rPr>
          <t xml:space="preserve">
</t>
        </r>
        <r>
          <rPr>
            <sz val="10"/>
            <color rgb="FF000000"/>
            <rFont val="Calibri"/>
            <family val="2"/>
          </rPr>
          <t xml:space="preserve">European euro 4174 million 57converted at the 2022 annual exchange rate published by the Bank of Canada, i.e. 1.3696.
</t>
        </r>
      </text>
    </comment>
    <comment ref="E21" authorId="0" shapeId="0" xr:uid="{6CCEE4B2-7E6A-2F40-B230-A3D3AA87D962}">
      <text>
        <r>
          <rPr>
            <sz val="10"/>
            <color rgb="FF000000"/>
            <rFont val="Calibri"/>
            <family val="2"/>
          </rPr>
          <t>The Netherlands Authority for Consumers and Markets (ACM). </t>
        </r>
        <r>
          <rPr>
            <u/>
            <sz val="10"/>
            <color rgb="FF000000"/>
            <rFont val="Calibri"/>
            <family val="2"/>
          </rPr>
          <t>https://public.tableau.com/app/profile/autoriteit.consument.en.markt/viz/Telecommonitor/OVER</t>
        </r>
        <r>
          <rPr>
            <sz val="10"/>
            <color rgb="FF000000"/>
            <rFont val="Calibri"/>
            <family val="2"/>
          </rPr>
          <t xml:space="preserve">
</t>
        </r>
      </text>
    </comment>
    <comment ref="F21" authorId="0" shapeId="0" xr:uid="{525C2B8F-EEA0-9F48-A40E-17AF39E07A9B}">
      <text>
        <r>
          <rPr>
            <sz val="10"/>
            <color rgb="FF000000"/>
            <rFont val="Calibri"/>
            <family val="2"/>
          </rPr>
          <t>The Netherlands Authority for Consumers and Markets (ACM). </t>
        </r>
        <r>
          <rPr>
            <u/>
            <sz val="10"/>
            <color rgb="FF000000"/>
            <rFont val="Calibri"/>
            <family val="2"/>
          </rPr>
          <t>https://public.tableau.com/app/profile/autoriteit.consument.en.markt/viz/Telecommonitor/OVER</t>
        </r>
        <r>
          <rPr>
            <sz val="10"/>
            <color rgb="FF000000"/>
            <rFont val="Calibri"/>
            <family val="2"/>
          </rPr>
          <t xml:space="preserve">
</t>
        </r>
      </text>
    </comment>
    <comment ref="C22" authorId="0" shapeId="0" xr:uid="{57E3D384-FE3A-6B46-89E4-06B2F8AB3815}">
      <text>
        <r>
          <rPr>
            <sz val="10"/>
            <color rgb="FF000000"/>
            <rFont val="Calibri"/>
            <family val="2"/>
          </rPr>
          <t xml:space="preserve">ENACOM (Argentina regulatory agency) //https://indicadores.enacom.gob.ar/Informes . The diferences between the overall revenue publish by ENACOM and the one calculated by us in the excel tab (Wireless) is due to the differences in the exchange rate (in Argentina it is highly fluctuating). Total revenue for all companies in 2021 is ARS$ 443.067. Total Revenue U$S 4.111. Average exchange rate AR$ 107,75./
</t>
        </r>
      </text>
    </comment>
    <comment ref="D22" authorId="0" shapeId="0" xr:uid="{7CFF50D1-7458-9444-81A3-0F1E14C35F09}">
      <text>
        <r>
          <rPr>
            <sz val="10"/>
            <color rgb="FF000000"/>
            <rFont val="Calibri"/>
            <family val="2"/>
          </rPr>
          <t xml:space="preserve">ENACOM  (Argentina regulatory agency) //https://indicadores.enacom.gob.ar/Informes. The diferences between the overall revenue publish by ENACOM and the one calculated by us in the excel tab (Wireless) is due to the differences in the exchange rate (in Argentina it is highly fluctuating). Total revenue for all companies in 2022 is ARS$ 743.248. Total Revenue U$S 4.055. Average exchange rate AR$183,25.
</t>
        </r>
      </text>
    </comment>
    <comment ref="E22" authorId="0" shapeId="0" xr:uid="{6E23EC01-B98F-2E4E-A373-4594DB3A2FCE}">
      <text>
        <r>
          <rPr>
            <sz val="10"/>
            <color rgb="FF000000"/>
            <rFont val="Calibri"/>
            <family val="2"/>
          </rPr>
          <t xml:space="preserve"> ENACOM  (Argentina regulatory agency) //https://indicadores.enacom.gob.ar/Informes. Total Revenue U$S 4761. Average exchange rate AR$ 306,70 (source: investing).  
</t>
        </r>
        <r>
          <rPr>
            <sz val="10"/>
            <color rgb="FF000000"/>
            <rFont val="Calibri"/>
            <family val="2"/>
          </rPr>
          <t xml:space="preserve">
</t>
        </r>
      </text>
    </comment>
    <comment ref="F22" authorId="0" shapeId="0" xr:uid="{6FAD3581-103D-0542-A905-A32EA3FE6CAF}">
      <text>
        <r>
          <rPr>
            <sz val="10"/>
            <color rgb="FF000000"/>
            <rFont val="Aptos Narrow"/>
            <family val="2"/>
          </rPr>
          <t xml:space="preserve">Includes only service revenue, not devices. ENACOM  (Argentina regulatory agency) //https://indicadores.enacom.gob.ar/Informes. 
</t>
        </r>
        <r>
          <rPr>
            <sz val="10"/>
            <color rgb="FF000000"/>
            <rFont val="Tahoma"/>
            <family val="2"/>
          </rPr>
          <t xml:space="preserve">
</t>
        </r>
        <r>
          <rPr>
            <sz val="10"/>
            <color rgb="FF000000"/>
            <rFont val="Aptos Narrow"/>
            <family val="2"/>
          </rPr>
          <t xml:space="preserve">Argentina Pesa converted to Canadian dollars at the 2024 annual exchange rate published of .00164. https://tc.cch.ca/cchservices/download/files/documents/ifm/Annual%20averages.pdf
</t>
        </r>
      </text>
    </comment>
    <comment ref="C23" authorId="0" shapeId="0" xr:uid="{B0FFC515-7A3B-EF4B-9279-8EB393C3BA0A}">
      <text>
        <r>
          <rPr>
            <b/>
            <sz val="10"/>
            <color rgb="FF000000"/>
            <rFont val="Tahoma"/>
            <family val="2"/>
          </rPr>
          <t xml:space="preserve">Source: </t>
        </r>
        <r>
          <rPr>
            <sz val="10"/>
            <color rgb="FF000000"/>
            <rFont val="Tahoma"/>
            <family val="2"/>
          </rPr>
          <t xml:space="preserve">Source: Total revenue for the wireless market: sum of the most relevant players in the market (Swisscom, Sunrise, Salt, Quickline). Note that OFCOM provide a lower estimate (4392.13 CHF mil). See OFCOM. (15.06.2023). Financial results on 31.12-&gt; Fact and Figures -&gt; Excel "Financial results and number of emploxees.xlsx"-&gt; Tab_F1-&gt;"Services on mobile networks"+ "Convergent grouped offerings (fixed+mobile network)"/2 (Original data CHF - the total revenues are taken from OFCOM and do not result from the sum of the total revenues of the individual companies in the relevant worksheet): https://www.bakom.admin.ch/bakom/en/homepage/telecommunication/facts-and-figures/statistical-observatory/fixed/financial-results-on-31-12.html.
</t>
        </r>
        <r>
          <rPr>
            <sz val="10"/>
            <color rgb="FF000000"/>
            <rFont val="Tahoma"/>
            <family val="2"/>
          </rPr>
          <t xml:space="preserve">
</t>
        </r>
        <r>
          <rPr>
            <sz val="10"/>
            <color rgb="FF000000"/>
            <rFont val="Tahoma"/>
            <family val="2"/>
          </rPr>
          <t xml:space="preserve">CHF </t>
        </r>
        <r>
          <rPr>
            <sz val="10"/>
            <color rgb="FF000000"/>
            <rFont val="Calibri"/>
            <family val="2"/>
          </rPr>
          <t xml:space="preserve">converted to Canadian dollars at the 2021 annual exchange rate published by the Bank of Canada, i.e. 1.3713.
</t>
        </r>
      </text>
    </comment>
    <comment ref="D23" authorId="0" shapeId="0" xr:uid="{502C166C-18D8-C048-B4A4-6F38A7D963E9}">
      <text>
        <r>
          <rPr>
            <b/>
            <sz val="10"/>
            <color rgb="FF000000"/>
            <rFont val="Times New Roman"/>
            <family val="18"/>
          </rPr>
          <t xml:space="preserve">Source: </t>
        </r>
        <r>
          <rPr>
            <sz val="10"/>
            <color rgb="FF000000"/>
            <rFont val="Times New Roman"/>
            <family val="18"/>
          </rPr>
          <t xml:space="preserve">Total revenue for the wireless market: sum of the most relevant players in the market. (Swisscom, Sunrise, Salt, Quickline) Note that OFCOM provide a lower estimate (4474 CHF mil). See OFCOM. (15.06.2023). Financial results on 31.12-&gt; Fact and Figures -&gt; Excel "Financial results and number of emploxees.xlsx"-&gt; Tab_F1-&gt;"Services on mobile networks"+ "Convergent grouped offerings (fixed+mobile network)"/2 (Original data CHF - the total revenues are taken from OFCOM and do not result from the sum of the total revenues of the individual companies in the relevant worksheet): https://www.bakom.admin.ch/bakom/en/homepage/telecommunication/facts-and-figures/statistical-observatory/fixed/financial-results-on-31-12.html
</t>
        </r>
        <r>
          <rPr>
            <b/>
            <sz val="10"/>
            <color rgb="FF000000"/>
            <rFont val="Times New Roman"/>
            <family val="18"/>
          </rPr>
          <t xml:space="preserve">
</t>
        </r>
        <r>
          <rPr>
            <sz val="10"/>
            <color rgb="FF000000"/>
            <rFont val="Times New Roman"/>
            <family val="18"/>
          </rPr>
          <t xml:space="preserve">CHF converted to Canadian dollars at the 2022 annual exchange rate published by the Bank of Canada, i.e. 1.3629.
</t>
        </r>
      </text>
    </comment>
    <comment ref="E23" authorId="0" shapeId="0" xr:uid="{EFD02E5C-91A7-DD46-A6A7-1BE9577A6FF0}">
      <text>
        <r>
          <rPr>
            <sz val="10"/>
            <color rgb="FF000000"/>
            <rFont val="Tahoma"/>
            <family val="2"/>
          </rPr>
          <t xml:space="preserve">Total revenue for the wireless market: sum of the most relevant players in the market (Swisscom, Sunrise, Salt, Quickline). Note that OFCOM provide a lower estimate (4503.5 CHF mil). See OFCOM website (12.02.2025). Homepage -&gt;Telecommunication -&gt;Facts and figures -&gt;Statistical observatory -&gt;Financial results on 31.12.-&gt; Tab_F1-&gt;"Services on mobile networks"+ "Convergent grouped offerings (fixed+mobile network)"                                                                                                                  /2 (Original data CHF - the total revenues are taken from OFCOM and do not result from the sum of the total revenues of the individual companies in the relevant worksheet): https://www.bakom.admin.ch/bakom/en/homepage/telecommunication/facts-and-figures/statistical-observatory/fixed/financial-results-on-31-12.html
</t>
        </r>
        <r>
          <rPr>
            <sz val="10"/>
            <color rgb="FF000000"/>
            <rFont val="Tahoma"/>
            <family val="2"/>
          </rPr>
          <t xml:space="preserve">
</t>
        </r>
        <r>
          <rPr>
            <sz val="10"/>
            <color rgb="FF000000"/>
            <rFont val="Aptos Narrow"/>
            <family val="2"/>
            <scheme val="minor"/>
          </rPr>
          <t>CHF converted to Canadian dollars at the 2023 annual exchange rate published by the Bank of Canada, i.e. 1.5024.</t>
        </r>
        <r>
          <rPr>
            <sz val="10"/>
            <color rgb="FF000000"/>
            <rFont val="Aptos Narrow"/>
            <family val="2"/>
            <scheme val="minor"/>
          </rPr>
          <t xml:space="preserve">
</t>
        </r>
      </text>
    </comment>
    <comment ref="F23" authorId="0" shapeId="0" xr:uid="{C774D815-2223-C249-8CB4-FB4B280CE3EC}">
      <text>
        <r>
          <rPr>
            <sz val="10"/>
            <color rgb="FF000000"/>
            <rFont val="Aptos Narrow"/>
            <family val="2"/>
          </rPr>
          <t xml:space="preserve">Source: Total revenue for the wireless market: sum of the most relevant players in the market (Swisscom, Sunrise, Salt, Quickline). 
</t>
        </r>
        <r>
          <rPr>
            <sz val="10"/>
            <color rgb="FF000000"/>
            <rFont val="Aptos Narrow"/>
            <family val="2"/>
          </rPr>
          <t xml:space="preserve">
</t>
        </r>
        <r>
          <rPr>
            <sz val="10"/>
            <color rgb="FF000000"/>
            <rFont val="Aptos Narrow"/>
            <family val="2"/>
          </rPr>
          <t xml:space="preserve">CHF converted to Canadian dollars at the 2024 annual exchange rate published by the Bank of Canada, i.e. 1.3629.
</t>
        </r>
      </text>
    </comment>
    <comment ref="C24" authorId="0" shapeId="0" xr:uid="{9FC91F73-D6D2-0947-B9C6-4D727B56ACF8}">
      <text>
        <r>
          <rPr>
            <b/>
            <sz val="10"/>
            <color rgb="FF000000"/>
            <rFont val="Calibri"/>
            <family val="2"/>
          </rPr>
          <t>Source</t>
        </r>
        <r>
          <rPr>
            <sz val="10"/>
            <color rgb="FF000000"/>
            <rFont val="Calibri"/>
            <family val="2"/>
          </rPr>
          <t>: Office of Electronic Communications, </t>
        </r>
        <r>
          <rPr>
            <u/>
            <sz val="10"/>
            <color rgb="FF000000"/>
            <rFont val="Calibri"/>
            <family val="2"/>
          </rPr>
          <t>https://www.uke.gov.pl/download/gfx/uke/pl/defaultaktualnosci/36/431/13/raport_o_stanie_rynku_telekomunikacyjnego_w_polsce_w_2021_r..pdf</t>
        </r>
      </text>
    </comment>
    <comment ref="D24" authorId="0" shapeId="0" xr:uid="{3D2425AA-61B9-C443-B377-E4081E3F80A6}">
      <text>
        <r>
          <rPr>
            <sz val="10"/>
            <color rgb="FF000000"/>
            <rFont val="Calibri"/>
            <family val="2"/>
          </rPr>
          <t>Source: Office of Electronic Communications, </t>
        </r>
        <r>
          <rPr>
            <u/>
            <sz val="10"/>
            <color rgb="FF000000"/>
            <rFont val="Calibri"/>
            <family val="2"/>
          </rPr>
          <t>https://www.uke.gov.pl/download/gfx/uke/pl/defaultaktualnosci/36/431/13/raport_o_stanie_rynku_telekomunikacyjnego_w_polsce_w_2021_r..pdf</t>
        </r>
        <r>
          <rPr>
            <sz val="10"/>
            <color rgb="FF000000"/>
            <rFont val="Calibri"/>
            <family val="2"/>
          </rPr>
          <t xml:space="preserve">
</t>
        </r>
        <r>
          <rPr>
            <sz val="10"/>
            <color rgb="FF000000"/>
            <rFont val="Calibri"/>
            <family val="2"/>
          </rPr>
          <t xml:space="preserve">
</t>
        </r>
        <r>
          <rPr>
            <sz val="10"/>
            <color rgb="FF000000"/>
            <rFont val="Calibri"/>
            <family val="2"/>
          </rPr>
          <t xml:space="preserve">
</t>
        </r>
        <r>
          <rPr>
            <sz val="10"/>
            <color rgb="FF000000"/>
            <rFont val="Calibri"/>
            <family val="2"/>
          </rPr>
          <t xml:space="preserve">Office of Electronic Communications (2023): </t>
        </r>
        <r>
          <rPr>
            <u/>
            <sz val="10"/>
            <color rgb="FF000000"/>
            <rFont val="Calibri"/>
            <family val="2"/>
          </rPr>
          <t>https://uke.gov.pl/download/gfx/uke/pl/defaultaktualnosci/36/485/2/uke_raport_telekomunikacyjny_2022.pdf</t>
        </r>
        <r>
          <rPr>
            <sz val="10"/>
            <color rgb="FF000000"/>
            <rFont val="Calibri"/>
            <family val="2"/>
          </rPr>
          <t xml:space="preserve">
</t>
        </r>
        <r>
          <rPr>
            <sz val="10"/>
            <color rgb="FF000000"/>
            <rFont val="Calibri"/>
            <family val="2"/>
          </rPr>
          <t xml:space="preserve">
</t>
        </r>
        <r>
          <rPr>
            <sz val="10"/>
            <color rgb="FF000000"/>
            <rFont val="Calibri"/>
            <family val="2"/>
          </rPr>
          <t xml:space="preserve">
</t>
        </r>
        <r>
          <rPr>
            <sz val="10"/>
            <color rgb="FF000000"/>
            <rFont val="Calibri"/>
            <family val="2"/>
          </rPr>
          <t xml:space="preserve">IEuropean euro converted at the 2022 annual exchange rate published by the Bank of Canada, i.e. 1.3696.
</t>
        </r>
      </text>
    </comment>
    <comment ref="E24" authorId="0" shapeId="0" xr:uid="{986C7907-EDD1-364B-A6FF-F0E37B17D098}">
      <text>
        <r>
          <rPr>
            <sz val="10"/>
            <color rgb="FF000000"/>
            <rFont val="+mn-lt"/>
            <charset val="1"/>
          </rPr>
          <t>Source: Annual Report of the Polish regulatory authority: Office of electronic communications/Urząd Komunikacji Elektronicznej (UKE), p. 49: </t>
        </r>
        <r>
          <rPr>
            <u/>
            <sz val="10"/>
            <color rgb="FF000000"/>
            <rFont val="+mn-lt"/>
            <charset val="1"/>
          </rPr>
          <t>https://uke.gov.pl/en/newsroom/report-on-the-state-of-the-telecommunications-market-in-2023,398.html)</t>
        </r>
      </text>
    </comment>
    <comment ref="F24" authorId="0" shapeId="0" xr:uid="{FEE8D6A8-98B1-9D4A-9AD5-A302D2A37717}">
      <text>
        <r>
          <rPr>
            <sz val="10"/>
            <color rgb="FF000000"/>
            <rFont val="Aptos Narrow"/>
            <family val="2"/>
            <scheme val="minor"/>
          </rPr>
          <t>Source: </t>
        </r>
        <r>
          <rPr>
            <i/>
            <sz val="10"/>
            <color rgb="FF000000"/>
            <rFont val="Aptos Narrow"/>
            <family val="2"/>
            <scheme val="minor"/>
          </rPr>
          <t>Raport o stanie rynku telekomunikacyjnego w 2024 roku</t>
        </r>
        <r>
          <rPr>
            <sz val="10"/>
            <color rgb="FF000000"/>
            <rFont val="Aptos Narrow"/>
            <family val="2"/>
            <scheme val="minor"/>
          </rPr>
          <t>, p. 57.</t>
        </r>
      </text>
    </comment>
    <comment ref="C25" authorId="0" shapeId="0" xr:uid="{101F051F-963A-5743-A1E4-C1C7FDDB41A2}">
      <text>
        <r>
          <rPr>
            <sz val="10"/>
            <color rgb="FF000000"/>
            <rFont val="Tahoma"/>
            <family val="2"/>
          </rPr>
          <t xml:space="preserve">List taken from the VRM concentration report the sectio under headline 'Mobile Operatoren en hun Netwerk'; We combine the list with the players mentioned in the reports of the Belgian telecom regulator BIPT, which is responsible for the whole of Belgium (https://www.bipt.be/operatoren/publicatie/de-status-van-de-elektronische-communicatie-en-tv-markt-2021). Market size is taken using the annual BIPT statistical report from section 'mobiel' (https://www.bipt.be/operatoren/publicatie/situatie-van-de-elektronische-communicatiesector-2021-data). The total market size is split up between the four largest brands according to BIPT, and the others. The marketshare of the four largest brands is provided by the annual BIPT report and is consistently over 95%.  The market share is then divided over each brand according to their share in the total national reported revenue. The revenue of each brand is reported in their repsective financial statements published by the NBB (https://consult.cbso.nbb.be/consult-enterprise/). </t>
        </r>
      </text>
    </comment>
    <comment ref="D25" authorId="0" shapeId="0" xr:uid="{F45D6642-1B96-FD41-9D50-EC46BA1D0BCB}">
      <text>
        <r>
          <rPr>
            <sz val="10"/>
            <color rgb="FF000000"/>
            <rFont val="Calibri"/>
            <family val="2"/>
          </rPr>
          <t xml:space="preserve">List taken from the VRM concentration report the sectio under headline 'Mobile Operatoren en hun Netwerk'; We combine the list with the players mentioned in the reports of the Belgian telecom regulator BIPT, which is responsible for the whole of Belgium (https://www.bipt.be/operatoren/publicatie/de-status-van-de-elektronische-communicatie-en-tv-markt-2022). Market size is taken using the annual BIPT statistical report from section 'mobiel' (https://www.bipt.be/operatoren/publicatie/situatie-van-de-elektronische-communicatiesector-2022-data). The total market size is split up between the four largest brands according to BIPT, and the others. The marketshare of the four largest brands is provided by the annual BIPT report and is consistently over 95%.  The market share is then divided over each brand according to their share in the total national reported revenue. The revenue of each brand is reported in their repsective financial statements published by the NBB (https://consult.cbso.nbb.be/consult-enterprise/). </t>
        </r>
      </text>
    </comment>
    <comment ref="E25" authorId="0" shapeId="0" xr:uid="{09430044-EB91-E446-9F0B-E1B1A04EB7B9}">
      <text>
        <r>
          <rPr>
            <sz val="10"/>
            <color rgb="FF000000"/>
            <rFont val="Aptos Narrow"/>
            <family val="2"/>
            <scheme val="minor"/>
          </rPr>
          <t xml:space="preserve">We combine the list with the players mentioned in the reports of the Belgian telecom regulator BIPT, which is responsible for the whole of Belgium (https://www.bipt.be/operatoren/publicatie/de-status-van-de-elektronische-communicatie-en-tv-markt-2023). Market size is taken using the annual BIPT statistical report from section 'mobiel' (https://www.bipt.be/operatoren/publicatie/situatie-van-de-elektronische-communicatiesector-2023-data). The total market size is split up between the four largest brands according to BIPT, and the others. The marketshare of the four largest brands is provided by the annual BIPT report and is consistently over 95%.  The market share is then divided over each brand according to their share in the total national reported revenue. The revenue of each brand is reported in their repsective financial statements published by the NBB (https://consult.cbso.nbb.be/consult-enterprise/). </t>
        </r>
        <r>
          <rPr>
            <sz val="10"/>
            <color rgb="FF000000"/>
            <rFont val="Aptos Narrow"/>
            <family val="2"/>
            <scheme val="minor"/>
          </rPr>
          <t xml:space="preserve">
</t>
        </r>
      </text>
    </comment>
    <comment ref="F25" authorId="0" shapeId="0" xr:uid="{356988E7-4D87-E449-80A9-07B63B8A6176}">
      <text>
        <r>
          <rPr>
            <sz val="10"/>
            <color rgb="FF000000"/>
            <rFont val="Aptos Narrow"/>
            <family val="2"/>
          </rPr>
          <t xml:space="preserve">We combine the list with the players mentioned in the reports of the Belgian telecom regulator BIPT, which is responsible for the whole of Belgium (https://www.bipt.be/operatoren/publicatie/de-status-van-de-elektronische-communicatie-en-tv-markt-2023). Market size is taken using the annual BIPT statistical report from section 'mobiel' (https://www.bipt.be/operatoren/publicatie/situatie-van-de-elektronische-communicatiesector-2023-data). The total market size is split up between the four largest brands according to BIPT, and the others. The marketshare of the four largest brands is provided by the annual BIPT report and is consistently over 95%.  The market share is then divided over each brand according to their share in the total national reported revenue. The revenue of each brand is reported in their repsective financial statements published by the NBB (https://consult.cbso.nbb.be/consult-enterprise/). 
</t>
        </r>
      </text>
    </comment>
    <comment ref="C26" authorId="0" shapeId="0" xr:uid="{B4A785FB-C722-BD47-98D4-BBAFA77965B3}">
      <text>
        <r>
          <rPr>
            <b/>
            <sz val="10"/>
            <color rgb="FF000000"/>
            <rFont val="Tahoma"/>
            <family val="2"/>
          </rPr>
          <t xml:space="preserve">Source: </t>
        </r>
        <r>
          <rPr>
            <sz val="10"/>
            <color rgb="FF000000"/>
            <rFont val="Tahoma"/>
            <family val="2"/>
          </rPr>
          <t xml:space="preserve">Anexo_Estatistico2021_versao2_17062022 (1) . https://www.anacom.pt/render.jsp?contentId=1603924 </t>
        </r>
      </text>
    </comment>
    <comment ref="D26" authorId="0" shapeId="0" xr:uid="{75BD776A-4B05-C741-9140-434DE9523181}">
      <text>
        <r>
          <rPr>
            <sz val="10"/>
            <color rgb="FF000000"/>
            <rFont val="Calibri"/>
            <family val="2"/>
          </rPr>
          <t xml:space="preserve">Source: Autoridade Nacional de Comunicações (ANACOM) is the national regulatory authority (NRA) in Portugal for communications. </t>
        </r>
        <r>
          <rPr>
            <u/>
            <sz val="10"/>
            <color rgb="FF000000"/>
            <rFont val="Calibri"/>
            <family val="2"/>
          </rPr>
          <t>https://www.anacom.pt/render.jsp?contentId=1746687</t>
        </r>
        <r>
          <rPr>
            <sz val="10"/>
            <color rgb="FF000000"/>
            <rFont val="Calibri"/>
            <family val="2"/>
          </rPr>
          <t xml:space="preserve">
</t>
        </r>
        <r>
          <rPr>
            <sz val="10"/>
            <color rgb="FF000000"/>
            <rFont val="Calibri"/>
            <family val="2"/>
          </rPr>
          <t xml:space="preserve">
</t>
        </r>
        <r>
          <rPr>
            <sz val="10"/>
            <color rgb="FF000000"/>
            <rFont val="Calibri"/>
            <family val="2"/>
          </rPr>
          <t xml:space="preserve">European euro converted at the 2022 annual exchange rate published by the Bank of Canada, i.e. 1.3696.
</t>
        </r>
      </text>
    </comment>
    <comment ref="E26" authorId="0" shapeId="0" xr:uid="{5549A7AB-91CA-0445-87AF-1A8B18D0FEB6}">
      <text>
        <r>
          <rPr>
            <sz val="10"/>
            <color rgb="FF000000"/>
            <rFont val="Aptos Narrow"/>
            <family val="2"/>
          </rPr>
          <t xml:space="preserve">Source: Autoridade Nacional de Comunicações (ANACOM) is the national regulatory authority (NRA) in Portugal for communications.Anexo Estatístico 2023 </t>
        </r>
        <r>
          <rPr>
            <u/>
            <sz val="10"/>
            <color rgb="FF000000"/>
            <rFont val="Aptos Narrow"/>
            <family val="2"/>
          </rPr>
          <t>https://www.anacom.pt/render.jsp?contentId=1778161</t>
        </r>
      </text>
    </comment>
    <comment ref="F26" authorId="0" shapeId="0" xr:uid="{85C5B7DA-0407-9F4B-AE8B-CA022D4A220B}">
      <text>
        <r>
          <rPr>
            <sz val="10"/>
            <color rgb="FF000000"/>
            <rFont val="Aptos Narrow"/>
            <family val="2"/>
          </rPr>
          <t xml:space="preserve">Source: Autoridade Nacional de Comunicações (ANACOM) is the national regulatory authority (NRA) in Portugal for communications.Anexo Estatístico 2024 </t>
        </r>
        <r>
          <rPr>
            <u/>
            <sz val="10"/>
            <color rgb="FF000000"/>
            <rFont val="Aptos Narrow"/>
            <family val="2"/>
          </rPr>
          <t>https://www.anacom.pt/render.jsp?contentId=1778161</t>
        </r>
        <r>
          <rPr>
            <sz val="10"/>
            <color rgb="FF000000"/>
            <rFont val="Aptos Narrow"/>
            <family val="2"/>
          </rPr>
          <t xml:space="preserve">
</t>
        </r>
      </text>
    </comment>
    <comment ref="C27" authorId="0" shapeId="0" xr:uid="{7900997B-BECB-DB4E-95AD-9C607CA32E69}">
      <text>
        <r>
          <rPr>
            <u/>
            <sz val="10"/>
            <color rgb="FF000000"/>
            <rFont val="Calibri"/>
            <family val="2"/>
          </rPr>
          <t>https://statistik.pts.se/en/the-swedish-telecommunications-market/tables/mobile-call-services-and-mobile-data/table-12-revenues-from-end-user-sek/</t>
        </r>
        <r>
          <rPr>
            <sz val="10"/>
            <color rgb="FF000000"/>
            <rFont val="Calibri"/>
            <family val="2"/>
          </rPr>
          <t xml:space="preserve">    
</t>
        </r>
      </text>
    </comment>
    <comment ref="D27" authorId="0" shapeId="0" xr:uid="{2C8F4F96-47BF-B54A-BCDB-A79A3C80D025}">
      <text>
        <r>
          <rPr>
            <sz val="10"/>
            <color rgb="FF000000"/>
            <rFont val="Calibri"/>
            <family val="2"/>
          </rPr>
          <t xml:space="preserve">PTS. (2023). The Swedish Telecommunications Market 2022  </t>
        </r>
        <r>
          <rPr>
            <u/>
            <sz val="10"/>
            <color rgb="FF000000"/>
            <rFont val="Calibri"/>
            <family val="2"/>
          </rPr>
          <t>https://statistik.pts.se/media/zycd2pj1/rapport-stm-2022_dnr23-190_tillpublicering_eng_en.pdf</t>
        </r>
        <r>
          <rPr>
            <sz val="10"/>
            <color rgb="FF000000"/>
            <rFont val="Calibri"/>
            <family val="2"/>
          </rPr>
          <t xml:space="preserve">
</t>
        </r>
        <r>
          <rPr>
            <sz val="10"/>
            <color rgb="FF000000"/>
            <rFont val="Calibri"/>
            <family val="2"/>
          </rPr>
          <t xml:space="preserve">
</t>
        </r>
        <r>
          <rPr>
            <sz val="10"/>
            <color rgb="FF000000"/>
            <rFont val="Calibri"/>
            <family val="2"/>
          </rPr>
          <t xml:space="preserve">
</t>
        </r>
        <r>
          <rPr>
            <sz val="10"/>
            <color rgb="FF000000"/>
            <rFont val="Calibri"/>
            <family val="2"/>
          </rPr>
          <t xml:space="preserve">Swedish krona converted at the 2022 annual exchange rate published by the Bank of Canada, i.e. 0.1289.
</t>
        </r>
      </text>
    </comment>
    <comment ref="E27" authorId="0" shapeId="0" xr:uid="{AF1EAD0E-06ED-5748-91D0-6278B2F317E2}">
      <text>
        <r>
          <rPr>
            <sz val="10"/>
            <color rgb="FF000000"/>
            <rFont val="Tahoma"/>
            <family val="2"/>
          </rPr>
          <t>Source: The Swedish Post and Telecom Authority, 13 June, 2024. (accessed 8 Oct 2024). https://statistik.pts.se/en/telecom-and-broadband/the-swedish-telecommunication-market/tables/mobile-call-services-and-mobile-data/table-12-revenues-from-end-user-sek/</t>
        </r>
      </text>
    </comment>
    <comment ref="F27" authorId="0" shapeId="0" xr:uid="{4E6206C5-4368-9D40-B20D-42BE65C049D2}">
      <text>
        <r>
          <rPr>
            <sz val="10"/>
            <color rgb="FF000000"/>
            <rFont val="Aptos Narrow"/>
            <family val="2"/>
          </rPr>
          <t xml:space="preserve">Source: The Swedish Post and Telecom Authority, June, 4, 2025. (accessed August 21, 2025). </t>
        </r>
        <r>
          <rPr>
            <b/>
            <sz val="10"/>
            <color rgb="FF000000"/>
            <rFont val="Tahoma"/>
            <family val="2"/>
          </rPr>
          <t xml:space="preserve">
</t>
        </r>
        <r>
          <rPr>
            <sz val="10"/>
            <color rgb="FF000000"/>
            <rFont val="Tahoma"/>
            <family val="2"/>
          </rPr>
          <t>https://statistik.pts.se/en/telecom-and-broadband/the-swedish-telecommunication-market/tables/mobile-call-services-and-mobile-data/table-12-revenues-from-end-user-sek/</t>
        </r>
      </text>
    </comment>
    <comment ref="C28" authorId="0" shapeId="0" xr:uid="{A7D802D2-20DF-7648-B14D-0934B92817F9}">
      <text>
        <r>
          <rPr>
            <b/>
            <sz val="10"/>
            <color rgb="FF000000"/>
            <rFont val="Tahoma"/>
            <family val="2"/>
          </rPr>
          <t xml:space="preserve">Source: </t>
        </r>
        <r>
          <rPr>
            <sz val="10"/>
            <color rgb="FF000000"/>
            <rFont val="Tahoma"/>
            <family val="2"/>
          </rPr>
          <t xml:space="preserve">Service revenue only. </t>
        </r>
        <r>
          <rPr>
            <sz val="10"/>
            <color rgb="FF000000"/>
            <rFont val="+mn-lt"/>
            <charset val="1"/>
          </rPr>
          <t xml:space="preserve">RTR Telekom Monitor Annual Report. </t>
        </r>
        <r>
          <rPr>
            <sz val="10"/>
            <color rgb="FF000000"/>
            <rFont val="Calibri"/>
            <family val="2"/>
          </rPr>
          <t xml:space="preserve">https://www.rtr.at/TKP/aktuelles/publikationen/publikationen/m/tm/telekom-monitor-2023.de.html
</t>
        </r>
        <r>
          <rPr>
            <sz val="10"/>
            <color rgb="FF000000"/>
            <rFont val="+mn-lt"/>
            <charset val="1"/>
          </rPr>
          <t xml:space="preserve">
</t>
        </r>
        <r>
          <rPr>
            <sz val="10"/>
            <color rgb="FF000000"/>
            <rFont val="+mn-lt"/>
            <charset val="1"/>
          </rPr>
          <t xml:space="preserve">
</t>
        </r>
        <r>
          <rPr>
            <sz val="10"/>
            <color rgb="FF000000"/>
            <rFont val="Calibri"/>
            <family val="2"/>
          </rPr>
          <t xml:space="preserve">
</t>
        </r>
      </text>
    </comment>
    <comment ref="D28" authorId="0" shapeId="0" xr:uid="{A2EA2BC5-4143-874C-9058-BF9A14A162A4}">
      <text>
        <r>
          <rPr>
            <b/>
            <sz val="10"/>
            <color rgb="FF000000"/>
            <rFont val="+mn-lt"/>
            <charset val="1"/>
          </rPr>
          <t xml:space="preserve">Source: </t>
        </r>
        <r>
          <rPr>
            <sz val="10"/>
            <color rgb="FF000000"/>
            <rFont val="Aptos Narrow"/>
            <family val="2"/>
            <scheme val="minor"/>
          </rPr>
          <t>Service revenue only.</t>
        </r>
        <r>
          <rPr>
            <sz val="10"/>
            <color rgb="FF000000"/>
            <rFont val="Aptos Narrow"/>
            <family val="2"/>
            <scheme val="minor"/>
          </rPr>
          <t xml:space="preserve"> </t>
        </r>
        <r>
          <rPr>
            <sz val="10"/>
            <color rgb="FF000000"/>
            <rFont val="+mn-lt"/>
            <charset val="1"/>
          </rPr>
          <t xml:space="preserve">RTR Telekom Monitor Annual Report. https://www.rtr.at/TKP/aktuelles/publikationen/publikationen/m/tm/telekom-monitor-2023.de.html
</t>
        </r>
      </text>
    </comment>
    <comment ref="E28" authorId="0" shapeId="0" xr:uid="{1B292C03-F096-6445-BA21-7A34E26002CF}">
      <text>
        <r>
          <rPr>
            <b/>
            <sz val="10"/>
            <color rgb="FF000000"/>
            <rFont val="Calibri"/>
            <family val="2"/>
          </rPr>
          <t xml:space="preserve">Source: </t>
        </r>
        <r>
          <rPr>
            <sz val="10"/>
            <color rgb="FF000000"/>
            <rFont val="Aptos Narrow"/>
            <family val="2"/>
            <scheme val="minor"/>
          </rPr>
          <t>Service revenue only.</t>
        </r>
        <r>
          <rPr>
            <sz val="10"/>
            <color rgb="FF000000"/>
            <rFont val="Aptos Narrow"/>
            <family val="2"/>
            <scheme val="minor"/>
          </rPr>
          <t xml:space="preserve"> </t>
        </r>
        <r>
          <rPr>
            <sz val="10"/>
            <color rgb="FF000000"/>
            <rFont val="Calibri"/>
            <family val="2"/>
          </rPr>
          <t xml:space="preserve">RTR Telekom Monitor Annual Report. </t>
        </r>
        <r>
          <rPr>
            <sz val="10"/>
            <color rgb="FF000000"/>
            <rFont val="Aptos Narrow"/>
            <family val="2"/>
          </rPr>
          <t>https://www.rtr.at/TKP/aktuelles/publikationen/publikationen/m/tm/telekom-monitor-2024.de.html</t>
        </r>
      </text>
    </comment>
    <comment ref="F28" authorId="0" shapeId="0" xr:uid="{5FAB2564-21F8-9943-AE5C-10677B68BFF3}">
      <text>
        <r>
          <rPr>
            <sz val="10"/>
            <color rgb="FF000000"/>
            <rFont val="Aptos Narrow"/>
            <family val="2"/>
            <scheme val="minor"/>
          </rPr>
          <t>Service revenue only.</t>
        </r>
        <r>
          <rPr>
            <sz val="10"/>
            <color rgb="FF000000"/>
            <rFont val="Aptos Narrow"/>
            <family val="2"/>
            <scheme val="minor"/>
          </rPr>
          <t xml:space="preserve"> </t>
        </r>
        <r>
          <rPr>
            <sz val="10"/>
            <color rgb="FF000000"/>
            <rFont val="Aptos Narrow"/>
            <family val="2"/>
            <scheme val="minor"/>
          </rPr>
          <t>RTR Telekom Monitor Annual Report. https://www.rtr.at/TKP/aktuelles/publikationen/publikationen/m/tm/telekom-monitor-2024.de.html.</t>
        </r>
      </text>
    </comment>
    <comment ref="C29" authorId="0" shapeId="0" xr:uid="{563480AA-3E86-9343-82DC-8AD2929E3582}">
      <text>
        <r>
          <rPr>
            <b/>
            <sz val="10"/>
            <color rgb="FF000000"/>
            <rFont val="Times New Roman"/>
            <family val="18"/>
          </rPr>
          <t>Source</t>
        </r>
        <r>
          <rPr>
            <sz val="10"/>
            <color rgb="FF000000"/>
            <rFont val="Times New Roman"/>
            <family val="18"/>
          </rPr>
          <t>: Communications Authority of Kenya's </t>
        </r>
        <r>
          <rPr>
            <i/>
            <sz val="10"/>
            <color rgb="FF000000"/>
            <rFont val="Times New Roman"/>
            <family val="18"/>
          </rPr>
          <t>Fourth Quarter Sector Statistics Report for the Financial Year 2021/22 (1</t>
        </r>
        <r>
          <rPr>
            <i/>
            <vertAlign val="superscript"/>
            <sz val="10"/>
            <color rgb="FF000000"/>
            <rFont val="Times New Roman"/>
            <family val="18"/>
          </rPr>
          <t>st</t>
        </r>
        <r>
          <rPr>
            <i/>
            <sz val="10"/>
            <color rgb="FF000000"/>
            <rFont val="Times New Roman"/>
            <family val="18"/>
          </rPr>
          <t> April - 30</t>
        </r>
        <r>
          <rPr>
            <i/>
            <vertAlign val="superscript"/>
            <sz val="10"/>
            <color rgb="FF000000"/>
            <rFont val="Times New Roman"/>
            <family val="18"/>
          </rPr>
          <t>th</t>
        </r>
        <r>
          <rPr>
            <i/>
            <sz val="10"/>
            <color rgb="FF000000"/>
            <rFont val="Times New Roman"/>
            <family val="18"/>
          </rPr>
          <t> June 2022</t>
        </r>
        <r>
          <rPr>
            <sz val="10"/>
            <color rgb="FF000000"/>
            <rFont val="Times New Roman"/>
            <family val="18"/>
          </rPr>
          <t xml:space="preserve">, p. 9. Currency exchange based on Canadian Dept of Foreign Affairs and Internationa Trade annual average rate: $1 CDN = KES 77.19.  2021 Mobile wireless market = KES 315 billion. https://www.international.gc.ca/country-pays/fact_sheet-fiche_documentaire/kenya.aspx?lang=eng
</t>
        </r>
      </text>
    </comment>
    <comment ref="D29" authorId="0" shapeId="0" xr:uid="{14D5789C-1258-9545-9F91-A0F0CD257BAB}">
      <text>
        <r>
          <rPr>
            <sz val="10"/>
            <color rgb="FF000000"/>
            <rFont val="Calibri"/>
            <family val="2"/>
          </rPr>
          <t xml:space="preserve">Source: Communications Authority of Kenya's Fourth Quarter Sector Statistics Report for the Financial Year 2022/23
</t>
        </r>
        <r>
          <rPr>
            <sz val="10"/>
            <color rgb="FF000000"/>
            <rFont val="Calibri"/>
            <family val="2"/>
          </rPr>
          <t xml:space="preserve">
</t>
        </r>
        <r>
          <rPr>
            <sz val="10"/>
            <color rgb="FF000000"/>
            <rFont val="Calibri"/>
            <family val="2"/>
          </rPr>
          <t xml:space="preserve">
</t>
        </r>
        <r>
          <rPr>
            <u/>
            <sz val="10"/>
            <color rgb="FF000000"/>
            <rFont val="Calibri"/>
            <family val="2"/>
          </rPr>
          <t>https://www.ca.go.ke/sites/default/files/2023-06/Sector%20Statistics%20Report%20Q3%202022-2023.pdf</t>
        </r>
        <r>
          <rPr>
            <sz val="10"/>
            <color rgb="FF000000"/>
            <rFont val="Calibri"/>
            <family val="2"/>
          </rPr>
          <t xml:space="preserve">
</t>
        </r>
        <r>
          <rPr>
            <u/>
            <sz val="10"/>
            <color rgb="FF000000"/>
            <rFont val="Calibri"/>
            <family val="2"/>
          </rPr>
          <t>https://freedomhouse.org/country/kenya/freedom-net/2022</t>
        </r>
        <r>
          <rPr>
            <sz val="10"/>
            <color rgb="FF000000"/>
            <rFont val="Calibri"/>
            <family val="2"/>
          </rPr>
          <t xml:space="preserve">
</t>
        </r>
        <r>
          <rPr>
            <u/>
            <sz val="10"/>
            <color rgb="FF000000"/>
            <rFont val="Calibri"/>
            <family val="2"/>
          </rPr>
          <t>https://www.capitalfm.co.ke/business/2023/09/kenyas-mobile-services-revenue-grows-7-7pc-to-sh339-4-billion/#:~:text=%E2%80%9CIn%202022%2C%20mobile%20services%20generated,14.0%20percent%20to%20record%20KSh</t>
        </r>
        <r>
          <rPr>
            <sz val="10"/>
            <color rgb="FF000000"/>
            <rFont val="Calibri"/>
            <family val="2"/>
          </rPr>
          <t xml:space="preserve">.
</t>
        </r>
        <r>
          <rPr>
            <sz val="10"/>
            <color rgb="FF000000"/>
            <rFont val="Calibri"/>
            <family val="2"/>
          </rPr>
          <t xml:space="preserve">
</t>
        </r>
        <r>
          <rPr>
            <sz val="10"/>
            <color rgb="FF000000"/>
            <rFont val="Calibri"/>
            <family val="2"/>
          </rPr>
          <t xml:space="preserve">
</t>
        </r>
        <r>
          <rPr>
            <sz val="10"/>
            <color rgb="FF000000"/>
            <rFont val="Calibri"/>
            <family val="2"/>
          </rPr>
          <t xml:space="preserve">Kenya Shilling  KES converted at the 2022 annual exchange rate published by the Canadian Dept of Foreign Affairs and International Trade annual average rate, i.e. 0000.00923800. </t>
        </r>
        <r>
          <rPr>
            <u/>
            <sz val="10"/>
            <color rgb="FF000000"/>
            <rFont val="Calibri"/>
            <family val="2"/>
          </rPr>
          <t>https://www.tpsgc-pwgsc.gc.ca/cgi-bin/recgen/er.pl?Language=E</t>
        </r>
        <r>
          <rPr>
            <sz val="10"/>
            <color rgb="FF000000"/>
            <rFont val="Calibri"/>
            <family val="2"/>
          </rPr>
          <t xml:space="preserve">
</t>
        </r>
      </text>
    </comment>
    <comment ref="E29" authorId="0" shapeId="0" xr:uid="{CB01E782-B411-444D-B24D-121EBA975885}">
      <text>
        <r>
          <rPr>
            <b/>
            <sz val="10"/>
            <color rgb="FF000000"/>
            <rFont val="Aptos Narrow"/>
            <family val="2"/>
          </rPr>
          <t>Data source</t>
        </r>
        <r>
          <rPr>
            <i/>
            <sz val="10"/>
            <color rgb="FF000000"/>
            <rFont val="Aptos Narrow"/>
            <family val="2"/>
          </rPr>
          <t>: Economic Survey 2024</t>
        </r>
        <r>
          <rPr>
            <sz val="10"/>
            <color rgb="FF000000"/>
            <rFont val="Aptos Narrow"/>
            <family val="2"/>
          </rPr>
          <t> ( pp.337), Kenya National Bureau of Statistics.</t>
        </r>
      </text>
    </comment>
    <comment ref="C30" authorId="0" shapeId="0" xr:uid="{97797E52-B36F-9149-AC3E-1907E7635C16}">
      <text>
        <r>
          <rPr>
            <sz val="10"/>
            <color rgb="FF000000"/>
            <rFont val="Calibri"/>
            <family val="2"/>
          </rPr>
          <t xml:space="preserve">Danish Energy Agency </t>
        </r>
        <r>
          <rPr>
            <u/>
            <sz val="10"/>
            <color rgb="FF000000"/>
            <rFont val="Calibri"/>
            <family val="2"/>
          </rPr>
          <t>https://sdfi.dk/digital-infrastruktur/telepolitik/tal-paa-teleomraadet</t>
        </r>
      </text>
    </comment>
    <comment ref="D30" authorId="0" shapeId="0" xr:uid="{3E507451-F799-2F49-80BD-7C4D788633EE}">
      <text>
        <r>
          <rPr>
            <sz val="12"/>
            <color rgb="FF000000"/>
            <rFont val="Times New Roman"/>
            <family val="1"/>
          </rPr>
          <t>Agency for Data Supply and Infrastructure: Telecom in numbers, </t>
        </r>
        <r>
          <rPr>
            <u/>
            <sz val="12"/>
            <color rgb="FF000000"/>
            <rFont val="Times New Roman"/>
            <family val="18"/>
          </rPr>
          <t>https://sdfi.dk/digital-infrastruktur/tal-paa-teleomraadet</t>
        </r>
        <r>
          <rPr>
            <sz val="12"/>
            <color rgb="FF000000"/>
            <rFont val="Times New Roman"/>
            <family val="1"/>
          </rPr>
          <t xml:space="preserve">
</t>
        </r>
        <r>
          <rPr>
            <sz val="12"/>
            <color rgb="FF000000"/>
            <rFont val="Times New Roman"/>
            <family val="1"/>
          </rPr>
          <t xml:space="preserve"> 
</t>
        </r>
        <r>
          <rPr>
            <sz val="12"/>
            <color rgb="FF000000"/>
            <rFont val="Times New Roman"/>
            <family val="1"/>
          </rPr>
          <t xml:space="preserve">
</t>
        </r>
        <r>
          <rPr>
            <sz val="12"/>
            <color rgb="FF000000"/>
            <rFont val="Times New Roman"/>
            <family val="1"/>
          </rPr>
          <t xml:space="preserve">Danish krone to Canadian $ average annual exchange rate in 2022 was .1842. </t>
        </r>
      </text>
    </comment>
    <comment ref="E30" authorId="0" shapeId="0" xr:uid="{7840CB39-4197-4849-9045-3EB718F4293E}">
      <text>
        <r>
          <rPr>
            <sz val="10"/>
            <color rgb="FF000000"/>
            <rFont val="Times New Roman"/>
            <family val="18"/>
          </rPr>
          <t>Agency for Data Supply and Infrastructure: Telecom in numbers, </t>
        </r>
        <r>
          <rPr>
            <u/>
            <sz val="10"/>
            <color rgb="FF000000"/>
            <rFont val="Times New Roman"/>
            <family val="18"/>
          </rPr>
          <t>https://sdfi.dk/digital-infrastruktur/tal-paa-teleomraadet</t>
        </r>
        <r>
          <rPr>
            <sz val="10"/>
            <color rgb="FF000000"/>
            <rFont val="Times New Roman"/>
            <family val="18"/>
          </rPr>
          <t xml:space="preserve">
</t>
        </r>
        <r>
          <rPr>
            <sz val="10"/>
            <color rgb="FF000000"/>
            <rFont val="Times New Roman"/>
            <family val="18"/>
          </rPr>
          <t xml:space="preserve"> 
</t>
        </r>
        <r>
          <rPr>
            <sz val="10"/>
            <color rgb="FF000000"/>
            <rFont val="Times New Roman"/>
            <family val="18"/>
          </rPr>
          <t xml:space="preserve">Danish krone to Canadian $ average annual exchange rate in 2023 was .1960. 
</t>
        </r>
      </text>
    </comment>
    <comment ref="F30" authorId="0" shapeId="0" xr:uid="{172E557D-97D7-EC48-A05B-02314DF61726}">
      <text>
        <r>
          <rPr>
            <sz val="10"/>
            <color rgb="FF000000"/>
            <rFont val="Aptos Narrow"/>
            <family val="2"/>
            <scheme val="minor"/>
          </rPr>
          <t>Agency for Data Supply and Infrastructure: Telecom in numbers, </t>
        </r>
        <r>
          <rPr>
            <u/>
            <sz val="10"/>
            <color rgb="FF000000"/>
            <rFont val="Aptos Narrow"/>
            <family val="2"/>
            <scheme val="minor"/>
          </rPr>
          <t>https://sdfi.dk/digital-infrastruktur/tal-paa-teleomraadet</t>
        </r>
        <r>
          <rPr>
            <sz val="10"/>
            <color rgb="FF000000"/>
            <rFont val="Aptos Narrow"/>
            <family val="2"/>
            <scheme val="minor"/>
          </rPr>
          <t xml:space="preserve">
</t>
        </r>
      </text>
    </comment>
    <comment ref="C31" authorId="0" shapeId="0" xr:uid="{0A409A51-8356-0844-B847-0D7543F74E4A}">
      <text>
        <r>
          <rPr>
            <b/>
            <sz val="10"/>
            <color rgb="FF000000"/>
            <rFont val="Tahoma"/>
            <family val="2"/>
          </rPr>
          <t>DD:</t>
        </r>
        <r>
          <rPr>
            <sz val="10"/>
            <color rgb="FF000000"/>
            <rFont val="Tahoma"/>
            <family val="2"/>
          </rPr>
          <t xml:space="preserve">
</t>
        </r>
        <r>
          <rPr>
            <sz val="10"/>
            <color rgb="FF000000"/>
            <rFont val="Calibri"/>
            <family val="2"/>
          </rPr>
          <t>The Finnish Transport and Communications Agency Traficom, Statistics on communications services</t>
        </r>
        <r>
          <rPr>
            <sz val="10"/>
            <color rgb="FF000000"/>
            <rFont val="+mn-lt"/>
            <charset val="1"/>
          </rPr>
          <t xml:space="preserve">. Turnover of telecommunications operations | Tieto Traficom. The data table can be downloaded here: 
</t>
        </r>
        <r>
          <rPr>
            <sz val="10"/>
            <color rgb="FF000000"/>
            <rFont val="+mn-lt"/>
            <charset val="1"/>
          </rPr>
          <t xml:space="preserve">Viestintapalveluiden tilastokoonti.ods (live.com)
</t>
        </r>
        <r>
          <rPr>
            <sz val="10"/>
            <color rgb="FF000000"/>
            <rFont val="Calibri"/>
            <family val="2"/>
          </rPr>
          <t xml:space="preserve">
</t>
        </r>
      </text>
    </comment>
    <comment ref="D31" authorId="0" shapeId="0" xr:uid="{1925F652-F277-9142-B6B0-A3ACD1EF71DD}">
      <text>
        <r>
          <rPr>
            <sz val="10"/>
            <color rgb="FF000000"/>
            <rFont val="Calibri"/>
            <family val="2"/>
          </rPr>
          <t xml:space="preserve">The Finnish Transport and Communications Agency Traficom, Statistics on communications services. Turnover of telecommunications operations | Tieto Traficom. The data table can be downloaded here: 
</t>
        </r>
        <r>
          <rPr>
            <u/>
            <sz val="10"/>
            <color rgb="FF000000"/>
            <rFont val="Calibri"/>
            <family val="2"/>
          </rPr>
          <t>https://tieto.traficom.fi/en/statistics/turnover-telecommunications-operations</t>
        </r>
        <r>
          <rPr>
            <sz val="10"/>
            <color rgb="FF000000"/>
            <rFont val="Calibri"/>
            <family val="2"/>
          </rPr>
          <t xml:space="preserve">
</t>
        </r>
        <r>
          <rPr>
            <u/>
            <sz val="10"/>
            <color rgb="FF000000"/>
            <rFont val="Calibri"/>
            <family val="2"/>
          </rPr>
          <t>https://tieto.traficom.fi/sites/default/files/media/file/Viestintapalveluiden%20tilastokoonti.ods</t>
        </r>
        <r>
          <rPr>
            <sz val="10"/>
            <color rgb="FF000000"/>
            <rFont val="Calibri"/>
            <family val="2"/>
          </rPr>
          <t xml:space="preserve">
</t>
        </r>
        <r>
          <rPr>
            <sz val="10"/>
            <color rgb="FF000000"/>
            <rFont val="Calibri"/>
            <family val="2"/>
          </rPr>
          <t xml:space="preserve">
</t>
        </r>
        <r>
          <rPr>
            <sz val="10"/>
            <color rgb="FF000000"/>
            <rFont val="Calibri"/>
            <family val="2"/>
          </rPr>
          <t xml:space="preserve">
</t>
        </r>
        <r>
          <rPr>
            <sz val="10"/>
            <color rgb="FF000000"/>
            <rFont val="Calibri"/>
            <family val="2"/>
          </rPr>
          <t xml:space="preserve">European euro converted at the 2022 annual exchange rate published by the Bank of Canada, i.e. 1.3696.
</t>
        </r>
      </text>
    </comment>
    <comment ref="E31" authorId="0" shapeId="0" xr:uid="{850C6C7C-A037-9D46-9EC5-71E7765BEC24}">
      <text>
        <r>
          <rPr>
            <sz val="10"/>
            <color rgb="FF000000"/>
            <rFont val="Aptos Narrow"/>
            <family val="2"/>
          </rPr>
          <t>Source: Finnish Transport and Communications Agency Traficom, Communications service statistics</t>
        </r>
      </text>
    </comment>
    <comment ref="F31" authorId="0" shapeId="0" xr:uid="{4D86C050-1AEF-6B42-B0D5-0877ACA7C6D2}">
      <text>
        <r>
          <rPr>
            <sz val="10"/>
            <color rgb="FF000000"/>
            <rFont val="Aptos Narrow"/>
            <family val="2"/>
          </rPr>
          <t>Source: Finnish Transport and Communications Agency Traficom, Communications service statistics</t>
        </r>
      </text>
    </comment>
    <comment ref="D32" authorId="0" shapeId="0" xr:uid="{3425DE47-685F-3B43-8B6D-75FA08258E66}">
      <text>
        <r>
          <rPr>
            <sz val="10"/>
            <color rgb="FF000000"/>
            <rFont val="Calibri"/>
            <family val="2"/>
          </rPr>
          <t xml:space="preserve">Ministerio de Transportes y Telecomunicaciones Subsecretaría de Telecomunicaciones (Marzo 2023). Sector Telecomunicaciones Cierre 2022 </t>
        </r>
        <r>
          <rPr>
            <u/>
            <sz val="10"/>
            <color rgb="FF000000"/>
            <rFont val="Calibri"/>
            <family val="2"/>
          </rPr>
          <t>https://www.subtel.gob.cl/wp-content/uploads/2023/03/PPT_Series_DICIEMBRE_2022_V0.pdf</t>
        </r>
        <r>
          <rPr>
            <sz val="10"/>
            <color rgb="FF000000"/>
            <rFont val="Calibri"/>
            <family val="2"/>
          </rPr>
          <t xml:space="preserve">; </t>
        </r>
        <r>
          <rPr>
            <u/>
            <sz val="10"/>
            <color rgb="FF000000"/>
            <rFont val="Calibri"/>
            <family val="2"/>
          </rPr>
          <t>https://www.subtel.gob.cl/estudios-y-estadisticas/informes-sectoriales-anuales/</t>
        </r>
        <r>
          <rPr>
            <sz val="10"/>
            <color rgb="FF000000"/>
            <rFont val="Calibri"/>
            <family val="2"/>
          </rPr>
          <t xml:space="preserve">
</t>
        </r>
      </text>
    </comment>
    <comment ref="E32" authorId="0" shapeId="0" xr:uid="{8434D8DD-0E79-364A-A124-5571152132D9}">
      <text>
        <r>
          <rPr>
            <sz val="10"/>
            <color rgb="FF000000"/>
            <rFont val="Tahoma"/>
            <family val="2"/>
          </rPr>
          <t>Financial Reports of companies in the sector available on the website of the Commission for the Financial Market of Chile (CMF). https://www.cmfchile.cl/portal/principal/613/w3-channel.html</t>
        </r>
      </text>
    </comment>
    <comment ref="F32" authorId="0" shapeId="0" xr:uid="{A938108D-92FC-A94C-A5B1-0B5E1DA8F4DA}">
      <text>
        <r>
          <rPr>
            <sz val="10.5"/>
            <color rgb="FF000000"/>
            <rFont val="+mn-lt"/>
            <charset val="1"/>
          </rPr>
          <t xml:space="preserve">Includes only service revenue, not devices. </t>
        </r>
        <r>
          <rPr>
            <sz val="10.5"/>
            <color rgb="FF000000"/>
            <rFont val="Aptos Narrow"/>
            <family val="2"/>
          </rPr>
          <t xml:space="preserve">PWC Telecommunications panorama in Chile, 2024-2028. (https://www.pwc.com/cl/es/Publicaciones/Panorama-de-Telecomunicaciones-en-Chile-2024-2028.html).
</t>
        </r>
        <r>
          <rPr>
            <sz val="10.5"/>
            <color rgb="FF000000"/>
            <rFont val="+mn-lt"/>
            <charset val="1"/>
          </rPr>
          <t xml:space="preserve">
</t>
        </r>
        <r>
          <rPr>
            <sz val="10.5"/>
            <color rgb="FF000000"/>
            <rFont val="+mn-lt"/>
            <charset val="1"/>
          </rPr>
          <t xml:space="preserve">Revenue expressed in USD converted to Canadian dollars at the 2024 annual exchange rate published of 1.3698. https://tc.cch.ca/cchservices/download/files/documents/ifm/Annual%20averages.pdf
</t>
        </r>
      </text>
    </comment>
    <comment ref="C33" authorId="0" shapeId="0" xr:uid="{0ABC866A-457D-D143-8486-5042831A88B4}">
      <text>
        <r>
          <rPr>
            <b/>
            <sz val="10"/>
            <color rgb="FF000000"/>
            <rFont val="Calibri"/>
            <family val="2"/>
          </rPr>
          <t>Source:</t>
        </r>
        <r>
          <rPr>
            <sz val="10"/>
            <color rgb="FF000000"/>
            <rFont val="Calibri"/>
            <family val="2"/>
          </rPr>
          <t xml:space="preserve"> Czech Telecommunication Office, https://www.ctu.cz/sites/default/files/obsah/stranky/8179/soubory/zovt-2021.pdf + annual reports of the main telco players.</t>
        </r>
      </text>
    </comment>
    <comment ref="D33" authorId="0" shapeId="0" xr:uid="{0EF07D25-7E27-D14F-B1B1-86759E31778A}">
      <text>
        <r>
          <rPr>
            <b/>
            <sz val="10"/>
            <color rgb="FF000000"/>
            <rFont val="Calibri"/>
            <family val="2"/>
          </rPr>
          <t>Source:</t>
        </r>
        <r>
          <rPr>
            <sz val="10"/>
            <color rgb="FF000000"/>
            <rFont val="Calibri"/>
            <family val="2"/>
          </rPr>
          <t xml:space="preserve"> Czech Telecommunication Office/Český telekomunikační úřad (ČTÚ), p 12.https://www.ctu.cz/zpravy-o-vyvoji-trhu-0)
</t>
        </r>
      </text>
    </comment>
    <comment ref="E33" authorId="0" shapeId="0" xr:uid="{C9F5289F-669F-F847-B22A-5B0F45607A91}">
      <text>
        <r>
          <rPr>
            <sz val="10"/>
            <color rgb="FF000000"/>
            <rFont val="+mn-lt"/>
            <charset val="1"/>
          </rPr>
          <t>Source: Annual Report of Czech telecommunication office/Český telekomunikační úřad (ČTÚ), a regulatory authority with highly reliable data, p. 12: </t>
        </r>
        <r>
          <rPr>
            <u/>
            <sz val="10"/>
            <color rgb="FF000000"/>
            <rFont val="+mn-lt"/>
            <charset val="1"/>
          </rPr>
          <t>https://ctu.gov.cz/zpravy-o-vyvoji-trhu-0</t>
        </r>
      </text>
    </comment>
    <comment ref="F33" authorId="0" shapeId="0" xr:uid="{F3D34CF3-6F06-F94E-91A7-B9330D4D44D4}">
      <text>
        <r>
          <rPr>
            <b/>
            <sz val="10"/>
            <color rgb="FF000000"/>
            <rFont val="Tahoma"/>
            <family val="2"/>
          </rPr>
          <t>DD:</t>
        </r>
        <r>
          <rPr>
            <sz val="10"/>
            <color rgb="FF000000"/>
            <rFont val="Tahoma"/>
            <family val="2"/>
          </rPr>
          <t xml:space="preserve">
</t>
        </r>
        <r>
          <rPr>
            <sz val="10"/>
            <color rgb="FF000000"/>
            <rFont val="Aptos Narrow"/>
            <family val="2"/>
            <scheme val="minor"/>
          </rPr>
          <t>ČTÚ: Zpráva o vývoji trhu elektronických komunikací se zaměřením na rok 2024, Praha: Český telekomunikační úřad 2025, p. 13.</t>
        </r>
      </text>
    </comment>
    <comment ref="C34" authorId="0" shapeId="0" xr:uid="{BB048217-9A08-8440-99E7-73EF08843350}">
      <text>
        <r>
          <rPr>
            <sz val="10"/>
            <color rgb="FF000000"/>
            <rFont val="Calibri"/>
            <family val="2"/>
          </rPr>
          <t>NOK (Norwegian Nkom Agency). https://ekomstatistikken.nkom.no/#/article/ekom2021</t>
        </r>
      </text>
    </comment>
    <comment ref="D34" authorId="0" shapeId="0" xr:uid="{34304691-0106-5C4E-A5D3-27C1F090F5EC}">
      <text>
        <r>
          <rPr>
            <sz val="10"/>
            <color rgb="FF000000"/>
            <rFont val="Calibri"/>
            <family val="2"/>
          </rPr>
          <t xml:space="preserve">NOK (Norwegian Nkom Agency). </t>
        </r>
        <r>
          <rPr>
            <u/>
            <sz val="10"/>
            <color rgb="FF000000"/>
            <rFont val="Calibri"/>
            <family val="2"/>
          </rPr>
          <t>https://ekomstatistikken.nkom.no/#/article/ekom2021</t>
        </r>
        <r>
          <rPr>
            <sz val="10"/>
            <color rgb="FF000000"/>
            <rFont val="Calibri"/>
            <family val="2"/>
          </rPr>
          <t xml:space="preserve">
</t>
        </r>
        <r>
          <rPr>
            <u/>
            <sz val="10"/>
            <color rgb="FF000000"/>
            <rFont val="Calibri"/>
            <family val="2"/>
          </rPr>
          <t>https://ekomstatistikken.nkom.no/#/article/ekom1h2022</t>
        </r>
        <r>
          <rPr>
            <sz val="10"/>
            <color rgb="FF000000"/>
            <rFont val="Calibri"/>
            <family val="2"/>
          </rPr>
          <t xml:space="preserve">
</t>
        </r>
        <r>
          <rPr>
            <u/>
            <sz val="10"/>
            <color rgb="FF000000"/>
            <rFont val="Calibri"/>
            <family val="2"/>
          </rPr>
          <t>https://ekomstatistikken.nkom.no/#/article/ekom1h2022#mobil_ab</t>
        </r>
        <r>
          <rPr>
            <sz val="10"/>
            <color rgb="FF000000"/>
            <rFont val="Calibri"/>
            <family val="2"/>
          </rPr>
          <t xml:space="preserve">
</t>
        </r>
        <r>
          <rPr>
            <sz val="10"/>
            <color rgb="FF000000"/>
            <rFont val="Calibri"/>
            <family val="2"/>
          </rPr>
          <t xml:space="preserve">
</t>
        </r>
        <r>
          <rPr>
            <sz val="10"/>
            <color rgb="FF000000"/>
            <rFont val="Calibri"/>
            <family val="2"/>
          </rPr>
          <t xml:space="preserve">Norwegian krone converted at the 2022 annual exchange rate published by the Bank of Canada, i.e. 0.1357.
</t>
        </r>
      </text>
    </comment>
    <comment ref="E34" authorId="0" shapeId="0" xr:uid="{7F7EBD6F-7D48-544B-B243-81A503FBD617}">
      <text>
        <r>
          <rPr>
            <sz val="10"/>
            <color rgb="FF000000"/>
            <rFont val="Calibri"/>
            <family val="2"/>
          </rPr>
          <t>Source: https://nkom.no/statistikk/nokkeltall-og-interaktive-dashbord/ekomstatistikk/_/attachment/inline/fd104817-a5c2-43be-b5a5-f012d39b0728:ef8d90706109936b3681f9a155789fa29ef6a421/2024%202%20Ekomstatistikken%20hel%C3%A5r%202023%20-%20Nasjonale%20tall.pdf </t>
        </r>
      </text>
    </comment>
    <comment ref="F34" authorId="0" shapeId="0" xr:uid="{63907928-E13C-E74B-9C71-5C4AEFFC585A}">
      <text>
        <r>
          <rPr>
            <sz val="10"/>
            <color rgb="FF000000"/>
            <rFont val="Aptos Narrow"/>
            <family val="2"/>
            <scheme val="minor"/>
          </rPr>
          <t>NOK (Norwegian Nkom Agency), p. 13. https://nkom.no/statistikk/statiske-rapporter-og-analyser/_/attachment/inline/1ec1741d-5ba4-49c9-8414-aee4c755e655:aa6900091c0775dcfe7763c83c4db3eb9e038c78/2024%205%20Ekomstatistikken%20hel%C3%A5r%202024.pdf</t>
        </r>
      </text>
    </comment>
    <comment ref="C35" authorId="0" shapeId="0" xr:uid="{465C9E87-15A6-174C-8C5F-E3026F47031E}">
      <text>
        <r>
          <rPr>
            <sz val="10"/>
            <color rgb="FF000000"/>
            <rFont val="Calibri"/>
            <family val="2"/>
          </rPr>
          <t xml:space="preserve">Sum of the main mobile operators annual revenue: Partner, Bezec (Pelephone) and Cellcom. </t>
        </r>
      </text>
    </comment>
    <comment ref="D35" authorId="0" shapeId="0" xr:uid="{2ECC47CA-F7A9-BB4C-AF01-03EA4289712B}">
      <text>
        <r>
          <rPr>
            <sz val="10"/>
            <color rgb="FF000000"/>
            <rFont val="Aptos Narrow"/>
            <family val="2"/>
            <scheme val="minor"/>
          </rPr>
          <t xml:space="preserve">Sum of the main mobile operators annual revenue: Partner, Bezec (Pelephone) and Cellcom. </t>
        </r>
        <r>
          <rPr>
            <sz val="10"/>
            <color rgb="FF000000"/>
            <rFont val="Aptos Narrow"/>
            <family val="2"/>
            <scheme val="minor"/>
          </rPr>
          <t xml:space="preserve">
</t>
        </r>
      </text>
    </comment>
    <comment ref="E35" authorId="0" shapeId="0" xr:uid="{753A2136-7AB9-0A47-961C-6FE0C835CEA8}">
      <text>
        <r>
          <rPr>
            <sz val="10"/>
            <color rgb="FF000000"/>
            <rFont val="Aptos Narrow"/>
            <family val="2"/>
          </rPr>
          <t xml:space="preserve">Sum of the main mobile operators annual revenue: Partner, Bezec (Pelephone) and Cellcom. 
</t>
        </r>
      </text>
    </comment>
    <comment ref="F35" authorId="0" shapeId="0" xr:uid="{A0ABC2E7-1410-B44E-BFFD-7D95BEF52849}">
      <text>
        <r>
          <rPr>
            <sz val="10"/>
            <color rgb="FF000000"/>
            <rFont val="Calibri"/>
            <family val="34"/>
          </rPr>
          <t>Sum of the main publicly traded mobile operators annual revenue--Partner, Bezec (Pelephone) and Cellcom</t>
        </r>
        <r>
          <rPr>
            <sz val="10"/>
            <color rgb="FF000000"/>
            <rFont val="Calibri"/>
            <family val="34"/>
          </rPr>
          <t xml:space="preserve">--and </t>
        </r>
        <r>
          <rPr>
            <sz val="10"/>
            <color rgb="FF000000"/>
            <rFont val="Calibri"/>
            <family val="34"/>
          </rPr>
          <t>a press release of one privately owned operator (Hot Mobile), which is 100% owned by Altice. Estimated market share of these</t>
        </r>
        <r>
          <rPr>
            <sz val="10"/>
            <color rgb="FF000000"/>
            <rFont val="Calibri"/>
            <family val="34"/>
          </rPr>
          <t xml:space="preserve"> four operators is 94%. </t>
        </r>
        <r>
          <rPr>
            <sz val="10"/>
            <color rgb="FF000000"/>
            <rFont val="Calibri"/>
            <family val="34"/>
          </rPr>
          <t xml:space="preserve">
</t>
        </r>
        <r>
          <rPr>
            <sz val="18"/>
            <color rgb="FF000000"/>
            <rFont val="Aptos Narrow"/>
            <family val="2"/>
            <scheme val="minor"/>
          </rPr>
          <t xml:space="preserve">
</t>
        </r>
        <r>
          <rPr>
            <sz val="10"/>
            <color rgb="FF000000"/>
            <rFont val="Aptos Narrow"/>
            <family val="2"/>
            <scheme val="minor"/>
          </rPr>
          <t xml:space="preserve">
</t>
        </r>
      </text>
    </comment>
    <comment ref="C36" authorId="0" shapeId="0" xr:uid="{7043712D-39A4-A946-882D-0C37045FD9D1}">
      <text>
        <r>
          <rPr>
            <sz val="10"/>
            <color rgb="FF000000"/>
            <rFont val="Tahoma"/>
            <family val="2"/>
          </rPr>
          <t xml:space="preserve">Source: </t>
        </r>
        <r>
          <rPr>
            <sz val="10"/>
            <color rgb="FF000000"/>
            <rFont val="Calibri"/>
            <family val="2"/>
          </rPr>
          <t xml:space="preserve">Commission for Communications Regulation. https://www.comreg.ie/industry/electronic-communications/data-portal/tabular-information/
</t>
        </r>
      </text>
    </comment>
    <comment ref="D36" authorId="0" shapeId="0" xr:uid="{B9DBC1E2-11E1-C147-8C81-FA157F8CC8C5}">
      <text>
        <r>
          <rPr>
            <b/>
            <sz val="10"/>
            <color rgb="FF000000"/>
            <rFont val="Tahoma"/>
            <family val="2"/>
          </rPr>
          <t>DD:</t>
        </r>
        <r>
          <rPr>
            <sz val="10"/>
            <color rgb="FF000000"/>
            <rFont val="Tahoma"/>
            <family val="2"/>
          </rPr>
          <t xml:space="preserve">
</t>
        </r>
        <r>
          <rPr>
            <sz val="10"/>
            <color rgb="FF000000"/>
            <rFont val="Calibri"/>
            <family val="2"/>
          </rPr>
          <t xml:space="preserve">Source: Commission for Communications Regulation. </t>
        </r>
        <r>
          <rPr>
            <u/>
            <sz val="10"/>
            <color rgb="FF000000"/>
            <rFont val="Calibri"/>
            <family val="2"/>
          </rPr>
          <t>https://www.comreg.ie/industry/electronic-communications/data-portal/tabular-information/</t>
        </r>
        <r>
          <rPr>
            <sz val="10"/>
            <color rgb="FF000000"/>
            <rFont val="Calibri"/>
            <family val="2"/>
          </rPr>
          <t xml:space="preserve">
</t>
        </r>
        <r>
          <rPr>
            <sz val="10"/>
            <color rgb="FF000000"/>
            <rFont val="Calibri"/>
            <family val="2"/>
          </rPr>
          <t xml:space="preserve">
</t>
        </r>
        <r>
          <rPr>
            <sz val="10"/>
            <color rgb="FF000000"/>
            <rFont val="Calibri"/>
            <family val="2"/>
          </rPr>
          <t xml:space="preserve">
</t>
        </r>
        <r>
          <rPr>
            <sz val="10"/>
            <color rgb="FF000000"/>
            <rFont val="Calibri"/>
            <family val="2"/>
          </rPr>
          <t xml:space="preserve">European euro converted at the 2022 annual exchange rate published by the Bank of Canada, i.e. 1.3696.
</t>
        </r>
      </text>
    </comment>
    <comment ref="E36" authorId="0" shapeId="0" xr:uid="{8FD5542D-6665-664B-8A39-8A40653725B2}">
      <text>
        <r>
          <rPr>
            <b/>
            <sz val="18"/>
            <color rgb="FF000000"/>
            <rFont val="Aptos Narrow"/>
            <family val="2"/>
          </rPr>
          <t>35</t>
        </r>
        <r>
          <rPr>
            <sz val="10"/>
            <color rgb="FF000000"/>
            <rFont val="Aptos Narrow"/>
            <family val="2"/>
          </rPr>
          <t xml:space="preserve"> </t>
        </r>
        <r>
          <rPr>
            <sz val="18"/>
            <color rgb="FF000000"/>
            <rFont val="Aptos Narrow"/>
            <family val="2"/>
          </rPr>
          <t>Ireland</t>
        </r>
        <r>
          <rPr>
            <sz val="10"/>
            <color rgb="FF000000"/>
            <rFont val="Aptos Narrow"/>
            <family val="2"/>
          </rPr>
          <t xml:space="preserve"> </t>
        </r>
        <r>
          <rPr>
            <sz val="18"/>
            <color rgb="FF000000"/>
            <rFont val="Aptos Narrow"/>
            <family val="2"/>
          </rPr>
          <t>2318.76</t>
        </r>
        <r>
          <rPr>
            <sz val="10"/>
            <color rgb="FF000000"/>
            <rFont val="Aptos Narrow"/>
            <family val="2"/>
          </rPr>
          <t xml:space="preserve"> </t>
        </r>
        <r>
          <rPr>
            <sz val="18"/>
            <color rgb="FF000000"/>
            <rFont val="Aptos Narrow"/>
            <family val="2"/>
          </rPr>
          <t>2461.98</t>
        </r>
        <r>
          <rPr>
            <sz val="10"/>
            <color rgb="FF000000"/>
            <rFont val="Aptos Narrow"/>
            <family val="2"/>
          </rPr>
          <t xml:space="preserve"> </t>
        </r>
        <r>
          <rPr>
            <sz val="18"/>
            <color rgb="FF000000"/>
            <rFont val="Aptos Narrow"/>
            <family val="2"/>
          </rPr>
          <t>2522.41</t>
        </r>
        <r>
          <rPr>
            <sz val="10"/>
            <color rgb="FF000000"/>
            <rFont val="Aptos Narrow"/>
            <family val="2"/>
          </rPr>
          <t xml:space="preserve"> </t>
        </r>
        <r>
          <rPr>
            <sz val="18"/>
            <color rgb="FF000000"/>
            <rFont val="Aptos Narrow"/>
            <family val="2"/>
          </rPr>
          <t>2998.3</t>
        </r>
        <r>
          <rPr>
            <sz val="10"/>
            <color rgb="FF000000"/>
            <rFont val="Aptos Narrow"/>
            <family val="2"/>
          </rPr>
          <t xml:space="preserve"> </t>
        </r>
        <r>
          <rPr>
            <sz val="18"/>
            <color rgb="FF000000"/>
            <rFont val="Aptos Narrow"/>
            <family val="2"/>
          </rPr>
          <t>3,397,509,000</t>
        </r>
        <r>
          <rPr>
            <sz val="10"/>
            <color rgb="FF000000"/>
            <rFont val="Aptos Narrow"/>
            <family val="2"/>
          </rPr>
          <t xml:space="preserve"> 
</t>
        </r>
      </text>
    </comment>
    <comment ref="F36" authorId="0" shapeId="0" xr:uid="{99611A2F-4655-2F46-872C-AD0C749CA929}">
      <text>
        <r>
          <rPr>
            <b/>
            <sz val="10"/>
            <color rgb="FF000000"/>
            <rFont val="Aptos Narrow"/>
            <family val="2"/>
          </rPr>
          <t>Source</t>
        </r>
        <r>
          <rPr>
            <sz val="10"/>
            <color rgb="FF000000"/>
            <rFont val="Aptos Narrow"/>
            <family val="2"/>
          </rPr>
          <t xml:space="preserve">: Mobile wireless service revenue for each provider (Eir, Vodafone, Three) and MVNOs (Tesco Mobile, Others) from the Commission for Communications Regulation. </t>
        </r>
        <r>
          <rPr>
            <u/>
            <sz val="10"/>
            <color rgb="FF000000"/>
            <rFont val="Aptos Narrow"/>
            <family val="2"/>
          </rPr>
          <t>https://www.comreg.ie/industry/electronic-communications/data-portal/tabular-information/</t>
        </r>
        <r>
          <rPr>
            <sz val="10"/>
            <color rgb="FF000000"/>
            <rFont val="Aptos Narrow"/>
            <family val="2"/>
          </rPr>
          <t xml:space="preserve">. Handset leasing and sales revenue from company annual reports. 
</t>
        </r>
      </text>
    </comment>
    <comment ref="C37" authorId="0" shapeId="0" xr:uid="{5D3C475A-06C4-ED48-9E09-77E1B2814320}">
      <text>
        <r>
          <rPr>
            <sz val="10"/>
            <color rgb="FF000000"/>
            <rFont val="Calibri"/>
            <family val="2"/>
          </rPr>
          <t xml:space="preserve">Commerce Commission (2024). Telecommunications Monitoring Report (p. 13). </t>
        </r>
        <r>
          <rPr>
            <sz val="10"/>
            <color rgb="FF000000"/>
            <rFont val="Aptos Narrow"/>
            <family val="2"/>
          </rPr>
          <t>https://comcom.govt.nz/regulated-industries/telecommunications/monitoring-the-telecommunications-market/annual-telecommunications-market-monitoring-report</t>
        </r>
      </text>
    </comment>
    <comment ref="D37" authorId="0" shapeId="0" xr:uid="{7597487B-60FF-674B-95EE-934205F7118D}">
      <text>
        <r>
          <rPr>
            <sz val="10"/>
            <color rgb="FF000000"/>
            <rFont val="Calibri"/>
            <family val="2"/>
          </rPr>
          <t xml:space="preserve">Commerce Commission (2024). Telecommunications Monitoring Report (p. 13). </t>
        </r>
        <r>
          <rPr>
            <sz val="10"/>
            <color rgb="FF000000"/>
            <rFont val="Aptos Narrow"/>
            <family val="2"/>
          </rPr>
          <t>https://comcom.govt.nz/regulated-industries/telecommunications/monitoring-the-telecommunications-market/annual-telecommunications-market-monitoring-report</t>
        </r>
      </text>
    </comment>
    <comment ref="E37" authorId="0" shapeId="0" xr:uid="{EA800379-E54A-5F40-A37C-FA119663E854}">
      <text>
        <r>
          <rPr>
            <sz val="10"/>
            <color rgb="FF000000"/>
            <rFont val="Calibri"/>
            <family val="2"/>
          </rPr>
          <t xml:space="preserve">Commerce Commission (2024). Telecommunications Monitoring Report (p. 13). </t>
        </r>
        <r>
          <rPr>
            <sz val="10"/>
            <color rgb="FF000000"/>
            <rFont val="Aptos Narrow"/>
            <family val="2"/>
          </rPr>
          <t>https://comcom.govt.nz/regulated-industries/telecommunications/monitoring-the-telecommunications-market/annual-telecommunications-market-monitoring-report</t>
        </r>
      </text>
    </comment>
    <comment ref="F37" authorId="0" shapeId="0" xr:uid="{FB6B8D00-7BB0-6F4A-B35A-0C5861D8762B}">
      <text>
        <r>
          <rPr>
            <sz val="10"/>
            <color rgb="FF000000"/>
            <rFont val="Calibri"/>
            <family val="2"/>
          </rPr>
          <t xml:space="preserve">Commerce Commission (2024). Telecommunications Monitoring Report (p. 13). </t>
        </r>
        <r>
          <rPr>
            <sz val="10"/>
            <color rgb="FF000000"/>
            <rFont val="Aptos Narrow"/>
            <family val="2"/>
          </rPr>
          <t>https://comcom.govt.nz/regulated-industries/telecommunications/monitoring-the-telecommunications-market/annual-telecommunications-market-monitoring-report</t>
        </r>
      </text>
    </comment>
    <comment ref="C38" authorId="0" shapeId="0" xr:uid="{114641DB-9730-6B44-8974-3A5A3FA33273}">
      <text>
        <r>
          <rPr>
            <b/>
            <sz val="10"/>
            <color rgb="FF000000"/>
            <rFont val="Calibri"/>
            <family val="2"/>
          </rPr>
          <t>Sources</t>
        </r>
        <r>
          <rPr>
            <sz val="10"/>
            <color rgb="FF000000"/>
            <rFont val="Calibri"/>
            <family val="2"/>
          </rPr>
          <t>: Annual reports of the main telco players. Market share: estimate based on the number of mobile phone subscribers and number of SIM cards. In the case of O2, this is currency conversion from Czech crowns to euros. Subscribers: Štatistická ročenka 2021 (Statistical Yearbook 2021), p. 456. Annual reports and SIM cards: https://telekom.sk/documents/10179/17472540/VS+TELEKOM+2020_SVK.pdf, p. 57, https://www.o2.cz/file_conver/680651/VZ_2020_CZ_grafika.pdf, p. 75, https://orange.sk/fileadmin/orange/user_uploads/pages/384/doc/osk-vyrocna-sprava-2020.pdf, p. 90.</t>
        </r>
      </text>
    </comment>
    <comment ref="D38" authorId="0" shapeId="0" xr:uid="{EAFB5842-1F08-2340-937A-90F209C4689F}">
      <text>
        <r>
          <rPr>
            <sz val="10"/>
            <color rgb="FF000000"/>
            <rFont val="Calibri"/>
            <family val="2"/>
          </rPr>
          <t xml:space="preserve">Sources: Annual reports of the main telco players. Market share: estimate based on the number of mobile phone subscribers and number of SIM cards. In the case of O2, this is currency conversion from Czech crowns to euros. 
</t>
        </r>
        <r>
          <rPr>
            <sz val="10"/>
            <color rgb="FF000000"/>
            <rFont val="Calibri"/>
            <family val="2"/>
          </rPr>
          <t xml:space="preserve">
</t>
        </r>
        <r>
          <rPr>
            <sz val="10"/>
            <color rgb="FF000000"/>
            <rFont val="Calibri"/>
            <family val="2"/>
          </rPr>
          <t xml:space="preserve">
</t>
        </r>
        <r>
          <rPr>
            <sz val="10"/>
            <color rgb="FF000000"/>
            <rFont val="Calibri"/>
            <family val="2"/>
          </rPr>
          <t xml:space="preserve">Subscribers: Štatistická ročenka 2022 (Statistical Yearbook 2021), p. 56. 307 million EURO
</t>
        </r>
        <r>
          <rPr>
            <sz val="10"/>
            <color rgb="FF000000"/>
            <rFont val="Calibri"/>
            <family val="2"/>
          </rPr>
          <t>Annual reports and SIM cards: </t>
        </r>
        <r>
          <rPr>
            <u/>
            <sz val="10"/>
            <color rgb="FF000000"/>
            <rFont val="Calibri"/>
            <family val="2"/>
          </rPr>
          <t>https://www.telekom.sk/documents/10179/44166/VS+TELEKOM+2021_SVK_+Interactive.pdf/36b3f1cf-55be-4730-b162-196deb12466e</t>
        </r>
        <r>
          <rPr>
            <sz val="10"/>
            <color rgb="FF000000"/>
            <rFont val="Calibri"/>
            <family val="2"/>
          </rPr>
          <t xml:space="preserve">, p. 57, 
</t>
        </r>
        <r>
          <rPr>
            <u/>
            <sz val="10"/>
            <color rgb="FF000000"/>
            <rFont val="Calibri"/>
            <family val="2"/>
          </rPr>
          <t>https://www.telekom.sk/documents/10179/17472540/FINAL_AR+TELEKOM+2022_ENG.pdf/35c90e79-3488-48f0-8d57-5456ae00fbf5</t>
        </r>
        <r>
          <rPr>
            <sz val="10"/>
            <color rgb="FF000000"/>
            <rFont val="Calibri"/>
            <family val="2"/>
          </rPr>
          <t xml:space="preserve"> p. 108;
</t>
        </r>
        <r>
          <rPr>
            <sz val="10"/>
            <color rgb="FF000000"/>
            <rFont val="Calibri"/>
            <family val="2"/>
          </rPr>
          <t xml:space="preserve">O2 Slovakia Segment 440.29 million Euro </t>
        </r>
        <r>
          <rPr>
            <u/>
            <sz val="10"/>
            <color rgb="FF000000"/>
            <rFont val="Calibri"/>
            <family val="2"/>
          </rPr>
          <t>https://www.datocms-assets.com/56100/1679567146-telecom-group_annual_accounts_2022_public.pdf</t>
        </r>
        <r>
          <rPr>
            <sz val="10"/>
            <color rgb="FF000000"/>
            <rFont val="Calibri"/>
            <family val="2"/>
          </rPr>
          <t xml:space="preserve">, 
</t>
        </r>
        <r>
          <rPr>
            <sz val="10"/>
            <color rgb="FF000000"/>
            <rFont val="Calibri"/>
            <family val="2"/>
          </rPr>
          <t xml:space="preserve">Number for 2022 are not available at this moment: </t>
        </r>
        <r>
          <rPr>
            <u/>
            <sz val="10"/>
            <color rgb="FF000000"/>
            <rFont val="Calibri"/>
            <family val="2"/>
          </rPr>
          <t>https://www.nadaciaorange.sk/wp-content/uploads/2016/11/ORSK-2428-Vyrocna-sprava-Nadacia-ENG.pdf</t>
        </r>
        <r>
          <rPr>
            <sz val="10"/>
            <color rgb="FF000000"/>
            <rFont val="Calibri"/>
            <family val="2"/>
          </rPr>
          <t xml:space="preserve">
</t>
        </r>
        <r>
          <rPr>
            <sz val="10"/>
            <color rgb="FF000000"/>
            <rFont val="Calibri"/>
            <family val="2"/>
          </rPr>
          <t xml:space="preserve">European euro converted at the 2022 annual exchange rate published by the Bank of Canada, i.e. 1.3696.
</t>
        </r>
      </text>
    </comment>
    <comment ref="E38" authorId="0" shapeId="0" xr:uid="{37D515EE-DEBF-C741-ADD7-7B0E38A68CE2}">
      <text>
        <r>
          <rPr>
            <sz val="10"/>
            <color rgb="FF000000"/>
            <rFont val="Aptos Narrow"/>
            <family val="2"/>
          </rPr>
          <t>Peter Jarábek from Regulatory Authority for Electronic Communications and Postal Services/Úrad pre reguláciu elektronických komunikácií a poštových služieb, email conversation, October 14, 2024.</t>
        </r>
      </text>
    </comment>
    <comment ref="F38" authorId="0" shapeId="0" xr:uid="{C1C7930B-DEFD-7146-8133-5332CECFFB5C}">
      <text>
        <r>
          <rPr>
            <sz val="10"/>
            <color rgb="FF000000"/>
            <rFont val="Aptos Narrow"/>
            <family val="2"/>
            <scheme val="minor"/>
          </rPr>
          <t>Peter Jarábek from Úrad pre reguláciu elektronických komunikácií a poštových služieb.</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Pheasant</author>
  </authors>
  <commentList>
    <comment ref="L6" authorId="0" shapeId="0" xr:uid="{DB872C2E-1958-B94A-98A6-6E12ABAD1D8C}">
      <text>
        <r>
          <rPr>
            <b/>
            <sz val="10"/>
            <color rgb="FF000000"/>
            <rFont val="Tahoma"/>
            <family val="2"/>
          </rPr>
          <t>Pheasant:</t>
        </r>
        <r>
          <rPr>
            <sz val="10"/>
            <color rgb="FF000000"/>
            <rFont val="Tahoma"/>
            <family val="2"/>
          </rPr>
          <t xml:space="preserve">
</t>
        </r>
        <r>
          <rPr>
            <sz val="18"/>
            <color rgb="FF000000"/>
            <rFont val="Calibri"/>
            <family val="2"/>
          </rPr>
          <t>The CRTC's Communications Monitoring Report Figure 5.8 Residential Internet access service revenues by type of service provider. https://crtc.gc.ca/eng/publications/reports/policymonitoring/2018/cmr3c.htm#f508 </t>
        </r>
        <r>
          <rPr>
            <sz val="10"/>
            <color rgb="FF000000"/>
            <rFont val="Calibri"/>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DD</author>
  </authors>
  <commentList>
    <comment ref="A26" authorId="0" shapeId="0" xr:uid="{7615549A-01C3-B140-8DE0-C928702BD7FA}">
      <text>
        <r>
          <rPr>
            <sz val="10"/>
            <color rgb="FF000000"/>
            <rFont val="Tahoma"/>
            <family val="2"/>
          </rPr>
          <t xml:space="preserve">Excludes video sharing platforms based on UGC, eg. YouTube, Twitch, etc.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DD</author>
  </authors>
  <commentList>
    <comment ref="V8" authorId="0" shapeId="0" xr:uid="{37733B63-7E54-CB48-BE6D-46C76D027862}">
      <text>
        <r>
          <rPr>
            <sz val="10"/>
            <color rgb="FF000000"/>
            <rFont val="Tahoma"/>
            <family val="2"/>
          </rPr>
          <t xml:space="preserve">Estimate based on advertising accounting for 7.6% of magazine revenue and estimated y-o-y decline of total revenue of 3.06%, as per PWC Global entertainment and media outlook, 2024-2028. </t>
        </r>
      </text>
    </comment>
    <comment ref="V9" authorId="0" shapeId="0" xr:uid="{8852B147-2308-9944-9B59-A712A13A1F18}">
      <text>
        <r>
          <rPr>
            <sz val="10"/>
            <color rgb="FF000000"/>
            <rFont val="Tahoma"/>
            <family val="2"/>
          </rPr>
          <t xml:space="preserve">Estimate of y-o-y growth of 17.27% based on PWC Global entertainment &amp; media outlook, 2024-2028.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DD</author>
  </authors>
  <commentList>
    <comment ref="B64" authorId="0" shapeId="0" xr:uid="{BF09BDAA-9DCD-984F-A317-7515CF9C9C57}">
      <text>
        <r>
          <rPr>
            <i/>
            <sz val="10"/>
            <color rgb="FF000000"/>
            <rFont val="Aptos Narrow"/>
            <family val="2"/>
          </rPr>
          <t>La Presse’s </t>
        </r>
        <r>
          <rPr>
            <sz val="10"/>
            <color rgb="FF000000"/>
            <rFont val="Aptos Narrow"/>
            <family val="2"/>
          </rPr>
          <t>vice president of communications and philanthropy Florence Turpault-Desroches told </t>
        </r>
        <r>
          <rPr>
            <i/>
            <sz val="10"/>
            <color rgb="FF000000"/>
            <rFont val="Aptos Narrow"/>
            <family val="2"/>
          </rPr>
          <t xml:space="preserve">The Hub </t>
        </r>
        <r>
          <rPr>
            <sz val="10"/>
            <color rgb="FF000000"/>
            <rFont val="Aptos Narrow"/>
            <family val="2"/>
          </rPr>
          <t xml:space="preserve">that 75% of La Presse's income is from advertising. Assuming that $7.8 million in donor funding accounts for most of the rest yields this estimate. See Mark Hill (May 10, 2024). The future of news. </t>
        </r>
        <r>
          <rPr>
            <i/>
            <sz val="10"/>
            <color rgb="FF000000"/>
            <rFont val="Aptos Narrow"/>
            <family val="2"/>
          </rPr>
          <t>The Hub</t>
        </r>
        <r>
          <rPr>
            <sz val="10"/>
            <color rgb="FF000000"/>
            <rFont val="Aptos Narrow"/>
            <family val="2"/>
          </rPr>
          <t>. https://thehub.ca/2024/05/10/la-presse-is-surviving-in-a-unique-media-market/</t>
        </r>
      </text>
    </comment>
    <comment ref="G64" authorId="0" shapeId="0" xr:uid="{8105C11B-8BB5-3841-A72F-1289D61FA856}">
      <text>
        <r>
          <rPr>
            <i/>
            <sz val="10"/>
            <color rgb="FF000000"/>
            <rFont val="Aptos Narrow"/>
            <family val="2"/>
          </rPr>
          <t>La Presse’s </t>
        </r>
        <r>
          <rPr>
            <sz val="10"/>
            <color rgb="FF000000"/>
            <rFont val="Aptos Narrow"/>
            <family val="2"/>
          </rPr>
          <t>vice president of communications and philanthropy Florence Turpault-Desroches told </t>
        </r>
        <r>
          <rPr>
            <i/>
            <sz val="10"/>
            <color rgb="FF000000"/>
            <rFont val="Aptos Narrow"/>
            <family val="2"/>
          </rPr>
          <t xml:space="preserve">The Hub </t>
        </r>
        <r>
          <rPr>
            <sz val="10"/>
            <color rgb="FF000000"/>
            <rFont val="Aptos Narrow"/>
            <family val="2"/>
          </rPr>
          <t xml:space="preserve">that 75% of La Presse's income is from advertising. Assuming that $7.8 million in donor funding accounts for most of the rest yields this estimate. See Mark Hill (May 10, 2024). The future of news. </t>
        </r>
        <r>
          <rPr>
            <i/>
            <sz val="10"/>
            <color rgb="FF000000"/>
            <rFont val="Aptos Narrow"/>
            <family val="2"/>
          </rPr>
          <t>The Hub</t>
        </r>
        <r>
          <rPr>
            <sz val="10"/>
            <color rgb="FF000000"/>
            <rFont val="Aptos Narrow"/>
            <family val="2"/>
          </rPr>
          <t>. https://thehub.ca/2024/05/10/la-presse-is-surviving-in-a-unique-media-market/</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DD</author>
  </authors>
  <commentList>
    <comment ref="B115" authorId="0" shapeId="0" xr:uid="{A0118ECB-98D8-C74D-AC44-59560F04D853}">
      <text>
        <r>
          <rPr>
            <sz val="10.5"/>
            <color rgb="FF000000"/>
            <rFont val="+mn-lt"/>
            <charset val="1"/>
          </rPr>
          <t>Stingray Annual Report 2016, p. 24.</t>
        </r>
        <r>
          <rPr>
            <sz val="10.5"/>
            <color rgb="FF000000"/>
            <rFont val="+mn-lt"/>
            <charset val="1"/>
          </rPr>
          <t xml:space="preserve">
</t>
        </r>
      </text>
    </comment>
    <comment ref="C117" authorId="0" shapeId="0" xr:uid="{4DF9D2D8-9588-F64E-8DAA-A62FB297DCC0}">
      <text>
        <r>
          <rPr>
            <sz val="10"/>
            <color rgb="FF000000"/>
            <rFont val="Aptos Narrow"/>
            <family val="2"/>
            <scheme val="minor"/>
          </rPr>
          <t>Stingray Annual Report 2016, p. 24.</t>
        </r>
        <r>
          <rPr>
            <sz val="10"/>
            <color rgb="FF000000"/>
            <rFont val="Aptos Narrow"/>
            <family val="2"/>
            <scheme val="minor"/>
          </rPr>
          <t xml:space="preserve">
</t>
        </r>
      </text>
    </comment>
    <comment ref="D117" authorId="0" shapeId="0" xr:uid="{43346D1A-0CEE-BA4F-901D-808A8D09637A}">
      <text>
        <r>
          <rPr>
            <sz val="10"/>
            <color rgb="FF000000"/>
            <rFont val="Aptos Narrow"/>
            <family val="2"/>
            <scheme val="minor"/>
          </rPr>
          <t>Stingray Annual Report 2018, p. 31.</t>
        </r>
        <r>
          <rPr>
            <sz val="10"/>
            <color rgb="FF000000"/>
            <rFont val="Aptos Narrow"/>
            <family val="2"/>
            <scheme val="minor"/>
          </rPr>
          <t xml:space="preserve">
</t>
        </r>
      </text>
    </comment>
    <comment ref="E117" authorId="0" shapeId="0" xr:uid="{DD574F52-A374-6544-BDF2-229121B44FD1}">
      <text>
        <r>
          <rPr>
            <b/>
            <sz val="10"/>
            <color rgb="FF000000"/>
            <rFont val="Tahoma"/>
            <family val="2"/>
          </rPr>
          <t>DD:</t>
        </r>
        <r>
          <rPr>
            <sz val="10"/>
            <color rgb="FF000000"/>
            <rFont val="Tahoma"/>
            <family val="2"/>
          </rPr>
          <t xml:space="preserve">
</t>
        </r>
        <r>
          <rPr>
            <sz val="10"/>
            <color rgb="FF000000"/>
            <rFont val="Aptos Narrow"/>
            <family val="2"/>
            <scheme val="minor"/>
          </rPr>
          <t>Stingray Annual Report 2018, p. 31.</t>
        </r>
      </text>
    </comment>
    <comment ref="F117" authorId="0" shapeId="0" xr:uid="{971DBC70-D483-FF4A-B494-484D25067533}">
      <text>
        <r>
          <rPr>
            <sz val="10"/>
            <color rgb="FF000000"/>
            <rFont val="Tahoma"/>
            <family val="2"/>
          </rPr>
          <t>Stingray Annual Report 2020, p. 35.</t>
        </r>
      </text>
    </comment>
    <comment ref="G117" authorId="0" shapeId="0" xr:uid="{853CF1AA-D84F-4949-BF8D-E07B697F5A55}">
      <text>
        <r>
          <rPr>
            <sz val="10"/>
            <color rgb="FF000000"/>
            <rFont val="Aptos Narrow"/>
            <family val="2"/>
            <scheme val="minor"/>
          </rPr>
          <t>Stingray Annual Report 2020, p. 35.</t>
        </r>
        <r>
          <rPr>
            <sz val="10"/>
            <color rgb="FF000000"/>
            <rFont val="Aptos Narrow"/>
            <family val="2"/>
            <scheme val="minor"/>
          </rPr>
          <t xml:space="preserve">
</t>
        </r>
      </text>
    </comment>
    <comment ref="H117" authorId="0" shapeId="0" xr:uid="{9527CF5A-CB72-5543-8A17-3519F221B076}">
      <text>
        <r>
          <rPr>
            <sz val="10"/>
            <color rgb="FF000000"/>
            <rFont val="Tahoma"/>
            <family val="2"/>
          </rPr>
          <t xml:space="preserve">Stingray Annual Report 2022, p. 34. </t>
        </r>
      </text>
    </comment>
    <comment ref="I117" authorId="0" shapeId="0" xr:uid="{F11A726A-3938-9842-8B82-019F5D285F95}">
      <text>
        <r>
          <rPr>
            <sz val="10"/>
            <color rgb="FF000000"/>
            <rFont val="Aptos Narrow"/>
            <family val="2"/>
            <scheme val="minor"/>
          </rPr>
          <t xml:space="preserve">Stingray Annual Report 2022, p. 34. </t>
        </r>
        <r>
          <rPr>
            <sz val="10"/>
            <color rgb="FF000000"/>
            <rFont val="Aptos Narrow"/>
            <family val="2"/>
            <scheme val="minor"/>
          </rPr>
          <t xml:space="preserve">
</t>
        </r>
      </text>
    </comment>
    <comment ref="J117" authorId="0" shapeId="0" xr:uid="{9229811F-C782-7846-8EF5-3ECC154E477A}">
      <text>
        <r>
          <rPr>
            <sz val="10"/>
            <color rgb="FF000000"/>
            <rFont val="Aptos Narrow"/>
            <family val="2"/>
            <scheme val="minor"/>
          </rPr>
          <t xml:space="preserve">Stingray Annual Report 2022, p. 34. </t>
        </r>
        <r>
          <rPr>
            <sz val="10"/>
            <color rgb="FF000000"/>
            <rFont val="Aptos Narrow"/>
            <family val="2"/>
            <scheme val="minor"/>
          </rPr>
          <t xml:space="preserve">
</t>
        </r>
      </text>
    </comment>
    <comment ref="D118" authorId="0" shapeId="0" xr:uid="{ED0CCE6A-CF9A-2B40-BEB2-EADD5F879B7A}">
      <text>
        <r>
          <rPr>
            <sz val="10"/>
            <color rgb="FF000000"/>
            <rFont val="Aptos Narrow"/>
            <family val="2"/>
            <scheme val="minor"/>
          </rPr>
          <t>Stingray Annual Report 2018, p. 31.</t>
        </r>
        <r>
          <rPr>
            <sz val="10"/>
            <color rgb="FF000000"/>
            <rFont val="Aptos Narrow"/>
            <family val="2"/>
            <scheme val="minor"/>
          </rPr>
          <t xml:space="preserve">
</t>
        </r>
      </text>
    </comment>
    <comment ref="E118" authorId="0" shapeId="0" xr:uid="{CE8B1C71-62ED-6041-8402-CC086B15DE68}">
      <text>
        <r>
          <rPr>
            <sz val="10"/>
            <color rgb="FF000000"/>
            <rFont val="Aptos Narrow"/>
            <family val="2"/>
            <scheme val="minor"/>
          </rPr>
          <t>Stingray Annual Report 2018, p. 31.</t>
        </r>
        <r>
          <rPr>
            <sz val="10"/>
            <color rgb="FF000000"/>
            <rFont val="Aptos Narrow"/>
            <family val="2"/>
            <scheme val="minor"/>
          </rPr>
          <t xml:space="preserve">
</t>
        </r>
      </text>
    </comment>
    <comment ref="F118" authorId="0" shapeId="0" xr:uid="{3EDA13EA-9E8B-9043-8618-79D072F5F755}">
      <text>
        <r>
          <rPr>
            <sz val="10"/>
            <color rgb="FF000000"/>
            <rFont val="Aptos Narrow"/>
            <family val="2"/>
            <scheme val="minor"/>
          </rPr>
          <t>Stingray Annual Report 2020, p. 35.</t>
        </r>
        <r>
          <rPr>
            <sz val="10"/>
            <color rgb="FF000000"/>
            <rFont val="Aptos Narrow"/>
            <family val="2"/>
            <scheme val="minor"/>
          </rPr>
          <t xml:space="preserve">
</t>
        </r>
      </text>
    </comment>
    <comment ref="G118" authorId="0" shapeId="0" xr:uid="{4FEEBBD0-E625-1C41-A4E0-6D947889EC6E}">
      <text>
        <r>
          <rPr>
            <sz val="10"/>
            <color rgb="FF000000"/>
            <rFont val="Aptos Narrow"/>
            <family val="2"/>
            <scheme val="minor"/>
          </rPr>
          <t>Stingray Annual Report 2020, p. 35.</t>
        </r>
        <r>
          <rPr>
            <sz val="10"/>
            <color rgb="FF000000"/>
            <rFont val="Aptos Narrow"/>
            <family val="2"/>
            <scheme val="minor"/>
          </rPr>
          <t xml:space="preserve">
</t>
        </r>
      </text>
    </comment>
    <comment ref="H118" authorId="0" shapeId="0" xr:uid="{DB9E1374-C94D-1E4E-B78E-F59C3698E6CC}">
      <text>
        <r>
          <rPr>
            <sz val="10.5"/>
            <color rgb="FF000000"/>
            <rFont val="Times New Roman"/>
            <family val="18"/>
          </rPr>
          <t>Stingray Annual Report 2020, p. 35.</t>
        </r>
        <r>
          <rPr>
            <sz val="10.5"/>
            <color rgb="FF000000"/>
            <rFont val="Times New Roman"/>
            <family val="18"/>
          </rPr>
          <t xml:space="preserve">
</t>
        </r>
      </text>
    </comment>
    <comment ref="I118" authorId="0" shapeId="0" xr:uid="{7D3CD2D9-F532-7945-B091-55B9E2C229DD}">
      <text>
        <r>
          <rPr>
            <b/>
            <sz val="10"/>
            <color rgb="FF000000"/>
            <rFont val="Tahoma"/>
            <family val="2"/>
          </rPr>
          <t>DD:</t>
        </r>
        <r>
          <rPr>
            <sz val="10"/>
            <color rgb="FF000000"/>
            <rFont val="Tahoma"/>
            <family val="2"/>
          </rPr>
          <t xml:space="preserve">
</t>
        </r>
        <r>
          <rPr>
            <sz val="10"/>
            <color rgb="FF000000"/>
            <rFont val="Aptos Narrow"/>
            <family val="2"/>
            <scheme val="minor"/>
          </rPr>
          <t>Stingray Annual Report 2022, p. 40.</t>
        </r>
        <r>
          <rPr>
            <sz val="10"/>
            <color rgb="FF000000"/>
            <rFont val="Aptos Narrow"/>
            <family val="2"/>
            <scheme val="minor"/>
          </rPr>
          <t xml:space="preserve">
</t>
        </r>
      </text>
    </comment>
    <comment ref="J118" authorId="0" shapeId="0" xr:uid="{524F2133-FF7D-B447-B31D-5B5FA3E68086}">
      <text>
        <r>
          <rPr>
            <b/>
            <sz val="10"/>
            <color rgb="FF000000"/>
            <rFont val="Tahoma"/>
            <family val="2"/>
          </rPr>
          <t>DD:</t>
        </r>
        <r>
          <rPr>
            <sz val="10"/>
            <color rgb="FF000000"/>
            <rFont val="Tahoma"/>
            <family val="2"/>
          </rPr>
          <t xml:space="preserve">
</t>
        </r>
        <r>
          <rPr>
            <sz val="10"/>
            <color rgb="FF000000"/>
            <rFont val="Aptos Narrow"/>
            <family val="2"/>
            <scheme val="minor"/>
          </rPr>
          <t>Stingray Annual Report 2022, p. 40.</t>
        </r>
        <r>
          <rPr>
            <sz val="10"/>
            <color rgb="FF000000"/>
            <rFont val="Aptos Narrow"/>
            <family val="2"/>
            <scheme val="minor"/>
          </rPr>
          <t xml:space="preserve">
</t>
        </r>
      </text>
    </comment>
    <comment ref="F119" authorId="0" shapeId="0" xr:uid="{E8BE2B91-093C-C142-AD10-BCBE9DEFA6C0}">
      <text>
        <r>
          <rPr>
            <b/>
            <sz val="10"/>
            <color rgb="FF000000"/>
            <rFont val="Tahoma"/>
            <family val="2"/>
          </rPr>
          <t>DD:</t>
        </r>
        <r>
          <rPr>
            <sz val="10"/>
            <color rgb="FF000000"/>
            <rFont val="Tahoma"/>
            <family val="2"/>
          </rPr>
          <t xml:space="preserve">
</t>
        </r>
        <r>
          <rPr>
            <sz val="10"/>
            <color rgb="FF000000"/>
            <rFont val="Tahoma"/>
            <family val="2"/>
          </rPr>
          <t xml:space="preserve">NewCap revenue.
</t>
        </r>
      </text>
    </comment>
    <comment ref="B120" authorId="0" shapeId="0" xr:uid="{5C159980-3F81-1B45-A402-CFF981C48CD5}">
      <text>
        <r>
          <rPr>
            <sz val="10.5"/>
            <color rgb="FF000000"/>
            <rFont val="+mn-lt"/>
            <charset val="1"/>
          </rPr>
          <t xml:space="preserve">Stingray Annual Report 2016, p. 24.
</t>
        </r>
      </text>
    </comment>
    <comment ref="G120" authorId="0" shapeId="0" xr:uid="{FC05EC2C-0BBA-9945-A726-E629541F4303}">
      <text>
        <r>
          <rPr>
            <sz val="10"/>
            <color rgb="FF000000"/>
            <rFont val="Aptos Narrow"/>
            <family val="2"/>
            <scheme val="minor"/>
          </rPr>
          <t>Stingray Annual Report 2020, p. 35.</t>
        </r>
        <r>
          <rPr>
            <sz val="10"/>
            <color rgb="FF000000"/>
            <rFont val="Aptos Narrow"/>
            <family val="2"/>
            <scheme val="minor"/>
          </rPr>
          <t xml:space="preserve">
</t>
        </r>
      </text>
    </comment>
    <comment ref="H120" authorId="0" shapeId="0" xr:uid="{BE8B84A3-B6C1-0044-BB02-E2B1EDD7A437}">
      <text>
        <r>
          <rPr>
            <sz val="10"/>
            <color rgb="FF000000"/>
            <rFont val="Aptos Narrow"/>
            <family val="2"/>
            <scheme val="minor"/>
          </rPr>
          <t>Stingray Annual Report 2020, p. 35.</t>
        </r>
        <r>
          <rPr>
            <sz val="10"/>
            <color rgb="FF000000"/>
            <rFont val="Aptos Narrow"/>
            <family val="2"/>
            <scheme val="minor"/>
          </rPr>
          <t xml:space="preserve">
</t>
        </r>
      </text>
    </comment>
    <comment ref="I120" authorId="0" shapeId="0" xr:uid="{48EFCCA5-5FCA-9F4E-BB9F-4012F4A3618F}">
      <text>
        <r>
          <rPr>
            <b/>
            <sz val="10"/>
            <color rgb="FF000000"/>
            <rFont val="Tahoma"/>
            <family val="2"/>
          </rPr>
          <t>DD:</t>
        </r>
        <r>
          <rPr>
            <sz val="10"/>
            <color rgb="FF000000"/>
            <rFont val="Tahoma"/>
            <family val="2"/>
          </rPr>
          <t xml:space="preserve">
</t>
        </r>
        <r>
          <rPr>
            <sz val="10"/>
            <color rgb="FF000000"/>
            <rFont val="Aptos Narrow"/>
            <family val="2"/>
            <scheme val="minor"/>
          </rPr>
          <t>Stingray Annual Report 2022, p. 41.</t>
        </r>
        <r>
          <rPr>
            <sz val="10"/>
            <color rgb="FF000000"/>
            <rFont val="Aptos Narrow"/>
            <family val="2"/>
            <scheme val="minor"/>
          </rPr>
          <t xml:space="preserve">
</t>
        </r>
      </text>
    </comment>
    <comment ref="J120" authorId="0" shapeId="0" xr:uid="{E56F9067-B449-614B-B25E-A8875CF8EF25}">
      <text>
        <r>
          <rPr>
            <b/>
            <sz val="10"/>
            <color rgb="FF000000"/>
            <rFont val="Tahoma"/>
            <family val="2"/>
          </rPr>
          <t>DD:</t>
        </r>
        <r>
          <rPr>
            <sz val="10"/>
            <color rgb="FF000000"/>
            <rFont val="Tahoma"/>
            <family val="2"/>
          </rPr>
          <t xml:space="preserve">
</t>
        </r>
        <r>
          <rPr>
            <sz val="10"/>
            <color rgb="FF000000"/>
            <rFont val="Tahoma"/>
            <family val="2"/>
          </rPr>
          <t>Stingray Annual Report 2022, p. 41.</t>
        </r>
      </text>
    </comment>
    <comment ref="C122" authorId="0" shapeId="0" xr:uid="{F3F6AFA1-A5AD-A749-BDD8-0400472BF6AE}">
      <text>
        <r>
          <rPr>
            <sz val="10"/>
            <color rgb="FF000000"/>
            <rFont val="Aptos Narrow"/>
            <family val="2"/>
            <scheme val="minor"/>
          </rPr>
          <t>Stingray Annual Report 2016, p. 24.</t>
        </r>
        <r>
          <rPr>
            <sz val="10"/>
            <color rgb="FF000000"/>
            <rFont val="Aptos Narrow"/>
            <family val="2"/>
            <scheme val="minor"/>
          </rPr>
          <t xml:space="preserve">
</t>
        </r>
      </text>
    </comment>
    <comment ref="D122" authorId="0" shapeId="0" xr:uid="{0DF32317-B8B8-2A47-90E7-EC50D9D2BA52}">
      <text>
        <r>
          <rPr>
            <sz val="10"/>
            <color rgb="FF000000"/>
            <rFont val="Aptos Narrow"/>
            <family val="2"/>
            <scheme val="minor"/>
          </rPr>
          <t>Stingray Annual Report 2018, p. 31.</t>
        </r>
        <r>
          <rPr>
            <sz val="10"/>
            <color rgb="FF000000"/>
            <rFont val="Aptos Narrow"/>
            <family val="2"/>
            <scheme val="minor"/>
          </rPr>
          <t xml:space="preserve">
</t>
        </r>
      </text>
    </comment>
    <comment ref="E122" authorId="0" shapeId="0" xr:uid="{6F736AE7-7059-4640-A3C8-BED671AD56BC}">
      <text>
        <r>
          <rPr>
            <b/>
            <sz val="10"/>
            <color rgb="FF000000"/>
            <rFont val="Tahoma"/>
            <family val="2"/>
          </rPr>
          <t>DD:</t>
        </r>
        <r>
          <rPr>
            <sz val="10"/>
            <color rgb="FF000000"/>
            <rFont val="Tahoma"/>
            <family val="2"/>
          </rPr>
          <t xml:space="preserve">
</t>
        </r>
        <r>
          <rPr>
            <sz val="10"/>
            <color rgb="FF000000"/>
            <rFont val="Aptos Narrow"/>
            <family val="2"/>
            <scheme val="minor"/>
          </rPr>
          <t>Stingray Annual Report 2018, p. 31.</t>
        </r>
      </text>
    </comment>
    <comment ref="F122" authorId="0" shapeId="0" xr:uid="{349A9B09-43FC-C64D-AA7A-095757994BF4}">
      <text>
        <r>
          <rPr>
            <sz val="10"/>
            <color rgb="FF000000"/>
            <rFont val="Tahoma"/>
            <family val="2"/>
          </rPr>
          <t>Stingray Annual Report 2020, p. 35.</t>
        </r>
      </text>
    </comment>
    <comment ref="G122" authorId="0" shapeId="0" xr:uid="{1722F2D1-F276-BC43-B02E-2A847D6D58FB}">
      <text>
        <r>
          <rPr>
            <b/>
            <sz val="10"/>
            <color rgb="FF000000"/>
            <rFont val="Tahoma"/>
            <family val="2"/>
          </rPr>
          <t>DD:</t>
        </r>
        <r>
          <rPr>
            <sz val="10"/>
            <color rgb="FF000000"/>
            <rFont val="Tahoma"/>
            <family val="2"/>
          </rPr>
          <t xml:space="preserve">
</t>
        </r>
        <r>
          <rPr>
            <sz val="10"/>
            <color rgb="FF000000"/>
            <rFont val="Aptos Narrow"/>
            <family val="2"/>
            <scheme val="minor"/>
          </rPr>
          <t>Stingray Annual Report 2020, p. 35</t>
        </r>
        <r>
          <rPr>
            <sz val="10"/>
            <color rgb="FF000000"/>
            <rFont val="Aptos Narrow"/>
            <family val="2"/>
            <scheme val="minor"/>
          </rPr>
          <t xml:space="preserve"> </t>
        </r>
      </text>
    </comment>
    <comment ref="H122" authorId="0" shapeId="0" xr:uid="{865FDD0F-D653-334A-AE18-86909F574277}">
      <text>
        <r>
          <rPr>
            <b/>
            <sz val="10"/>
            <color rgb="FF000000"/>
            <rFont val="Tahoma"/>
            <family val="2"/>
          </rPr>
          <t>DD:</t>
        </r>
        <r>
          <rPr>
            <sz val="10"/>
            <color rgb="FF000000"/>
            <rFont val="Tahoma"/>
            <family val="2"/>
          </rPr>
          <t xml:space="preserve">
</t>
        </r>
        <r>
          <rPr>
            <sz val="10"/>
            <color rgb="FF000000"/>
            <rFont val="Aptos Narrow"/>
            <family val="2"/>
            <scheme val="minor"/>
          </rPr>
          <t>Stingray Annual Report 2020, p. 35</t>
        </r>
        <r>
          <rPr>
            <sz val="10"/>
            <color rgb="FF000000"/>
            <rFont val="Aptos Narrow"/>
            <family val="2"/>
            <scheme val="minor"/>
          </rPr>
          <t xml:space="preserve"> </t>
        </r>
      </text>
    </comment>
    <comment ref="I122" authorId="0" shapeId="0" xr:uid="{47AC7DC2-570B-8141-9E17-FD53B6D3AABA}">
      <text>
        <r>
          <rPr>
            <sz val="10"/>
            <color rgb="FF000000"/>
            <rFont val="Calibri"/>
            <family val="2"/>
          </rPr>
          <t>Stingray Annual Report 2022, pp. 40-41.</t>
        </r>
      </text>
    </comment>
    <comment ref="J122" authorId="0" shapeId="0" xr:uid="{A7000D9D-E6C9-FD40-9873-ED741021FE40}">
      <text>
        <r>
          <rPr>
            <sz val="10"/>
            <color rgb="FF000000"/>
            <rFont val="Calibri"/>
            <family val="2"/>
          </rPr>
          <t xml:space="preserve">Stingray Annual Report 2022, pp. 40-41.
</t>
        </r>
      </text>
    </comment>
    <comment ref="B123" authorId="0" shapeId="0" xr:uid="{859A3492-B539-F44A-A59D-125E524C3C19}">
      <text>
        <r>
          <rPr>
            <sz val="10.5"/>
            <color rgb="FF000000"/>
            <rFont val="+mn-lt"/>
            <charset val="1"/>
          </rPr>
          <t xml:space="preserve">Stingray Annual Report 2016, p. 24.
</t>
        </r>
      </text>
    </comment>
    <comment ref="C125" authorId="0" shapeId="0" xr:uid="{923DA64B-DAF2-784D-B944-5E071DF13557}">
      <text>
        <r>
          <rPr>
            <sz val="10"/>
            <color rgb="FF000000"/>
            <rFont val="Aptos Narrow"/>
            <family val="2"/>
            <scheme val="minor"/>
          </rPr>
          <t>Stingray Annual Report 2016, p. 24.</t>
        </r>
        <r>
          <rPr>
            <sz val="10"/>
            <color rgb="FF000000"/>
            <rFont val="Aptos Narrow"/>
            <family val="2"/>
            <scheme val="minor"/>
          </rPr>
          <t xml:space="preserve">
</t>
        </r>
      </text>
    </comment>
    <comment ref="D125" authorId="0" shapeId="0" xr:uid="{09662056-ED8C-0F49-BD7B-8C86F2DC8DA2}">
      <text>
        <r>
          <rPr>
            <sz val="10"/>
            <color rgb="FF000000"/>
            <rFont val="Aptos Narrow"/>
            <family val="2"/>
            <scheme val="minor"/>
          </rPr>
          <t>Stingray Annual Report 2018, p. 31.</t>
        </r>
        <r>
          <rPr>
            <sz val="10"/>
            <color rgb="FF000000"/>
            <rFont val="Aptos Narrow"/>
            <family val="2"/>
            <scheme val="minor"/>
          </rPr>
          <t xml:space="preserve">
</t>
        </r>
      </text>
    </comment>
    <comment ref="E125" authorId="0" shapeId="0" xr:uid="{7ADDCE7A-6C72-5D4E-A41D-5088E2FD441E}">
      <text>
        <r>
          <rPr>
            <b/>
            <sz val="10"/>
            <color rgb="FF000000"/>
            <rFont val="Tahoma"/>
            <family val="2"/>
          </rPr>
          <t>DD:</t>
        </r>
        <r>
          <rPr>
            <sz val="10"/>
            <color rgb="FF000000"/>
            <rFont val="Tahoma"/>
            <family val="2"/>
          </rPr>
          <t xml:space="preserve">
</t>
        </r>
        <r>
          <rPr>
            <sz val="10"/>
            <color rgb="FF000000"/>
            <rFont val="Aptos Narrow"/>
            <family val="2"/>
            <scheme val="minor"/>
          </rPr>
          <t>Stingray Annual Report 2018, p. 31.</t>
        </r>
      </text>
    </comment>
    <comment ref="F125" authorId="0" shapeId="0" xr:uid="{AE4593BC-5D34-354F-8A03-5AD79598EDC6}">
      <text>
        <r>
          <rPr>
            <sz val="10"/>
            <color rgb="FF000000"/>
            <rFont val="Tahoma"/>
            <family val="2"/>
          </rPr>
          <t>Stingray Annual Report 2020, p. 35.</t>
        </r>
      </text>
    </comment>
    <comment ref="G125" authorId="0" shapeId="0" xr:uid="{2AA55D2F-AD5A-094D-B71C-C9EDB7BF04A0}">
      <text>
        <r>
          <rPr>
            <b/>
            <sz val="10"/>
            <color rgb="FF000000"/>
            <rFont val="Tahoma"/>
            <family val="2"/>
          </rPr>
          <t>DD:</t>
        </r>
        <r>
          <rPr>
            <sz val="10"/>
            <color rgb="FF000000"/>
            <rFont val="Tahoma"/>
            <family val="2"/>
          </rPr>
          <t xml:space="preserve">
</t>
        </r>
        <r>
          <rPr>
            <sz val="10"/>
            <color rgb="FF000000"/>
            <rFont val="Aptos Narrow"/>
            <family val="2"/>
            <scheme val="minor"/>
          </rPr>
          <t>Stingray Annual Report 2020, p. 35</t>
        </r>
        <r>
          <rPr>
            <sz val="10"/>
            <color rgb="FF000000"/>
            <rFont val="Aptos Narrow"/>
            <family val="2"/>
            <scheme val="minor"/>
          </rPr>
          <t xml:space="preserve"> </t>
        </r>
      </text>
    </comment>
    <comment ref="H125" authorId="0" shapeId="0" xr:uid="{848BF67F-0D6E-E14E-AFE4-CDBCFF4255D6}">
      <text>
        <r>
          <rPr>
            <b/>
            <sz val="10"/>
            <color rgb="FF000000"/>
            <rFont val="Tahoma"/>
            <family val="2"/>
          </rPr>
          <t>DD:</t>
        </r>
        <r>
          <rPr>
            <sz val="10"/>
            <color rgb="FF000000"/>
            <rFont val="Tahoma"/>
            <family val="2"/>
          </rPr>
          <t xml:space="preserve">
</t>
        </r>
        <r>
          <rPr>
            <sz val="10"/>
            <color rgb="FF000000"/>
            <rFont val="Aptos Narrow"/>
            <family val="2"/>
            <scheme val="minor"/>
          </rPr>
          <t>Stingray Annual Report 2020, p. 35</t>
        </r>
        <r>
          <rPr>
            <sz val="10"/>
            <color rgb="FF000000"/>
            <rFont val="Aptos Narrow"/>
            <family val="2"/>
            <scheme val="minor"/>
          </rPr>
          <t xml:space="preserve"> </t>
        </r>
      </text>
    </comment>
    <comment ref="I125" authorId="0" shapeId="0" xr:uid="{EA9C55C9-C510-F64D-8256-B78EE54ABB16}">
      <text>
        <r>
          <rPr>
            <sz val="10"/>
            <color rgb="FF000000"/>
            <rFont val="Aptos Narrow"/>
            <family val="2"/>
            <scheme val="minor"/>
          </rPr>
          <t>Stingray Annual Report 2022, pp. 40-41.</t>
        </r>
      </text>
    </comment>
    <comment ref="J125" authorId="0" shapeId="0" xr:uid="{D3B3BABC-05BF-EE48-A8AD-C0C84C28FBA2}">
      <text>
        <r>
          <rPr>
            <sz val="10"/>
            <color rgb="FF000000"/>
            <rFont val="Aptos Narrow"/>
            <family val="2"/>
            <scheme val="minor"/>
          </rPr>
          <t>Stingray Annual Report 2022, pp. 40-41.</t>
        </r>
        <r>
          <rPr>
            <sz val="10"/>
            <color rgb="FF000000"/>
            <rFont val="Aptos Narrow"/>
            <family val="2"/>
            <scheme val="minor"/>
          </rPr>
          <t xml:space="preserve">
</t>
        </r>
      </text>
    </comment>
    <comment ref="J126" authorId="0" shapeId="0" xr:uid="{77032E2A-4600-5A44-BD9D-6B1203DB9C4E}">
      <text>
        <r>
          <rPr>
            <sz val="10"/>
            <color rgb="FF000000"/>
            <rFont val="Tahoma"/>
            <family val="2"/>
          </rPr>
          <t>Estimate based on average of last 5 years of revenue.</t>
        </r>
      </text>
    </comment>
    <comment ref="C128" authorId="0" shapeId="0" xr:uid="{DC0063C4-712A-8040-9CA6-F2A47594E9B1}">
      <text>
        <r>
          <rPr>
            <sz val="10"/>
            <color rgb="FF000000"/>
            <rFont val="Tahoma"/>
            <family val="2"/>
          </rPr>
          <t xml:space="preserve">Nordicity (2022). </t>
        </r>
        <r>
          <rPr>
            <sz val="10"/>
            <color rgb="FF000000"/>
            <rFont val="Aptos Narrow"/>
            <family val="2"/>
            <scheme val="minor"/>
          </rPr>
          <t>Harnessing Change Financial Model of the Canadian Audio Sector (Study</t>
        </r>
        <r>
          <rPr>
            <sz val="10"/>
            <color rgb="FF000000"/>
            <rFont val="Aptos Narrow"/>
            <family val="2"/>
            <scheme val="minor"/>
          </rPr>
          <t xml:space="preserve"> prepared for CRTC), p. 20.</t>
        </r>
        <r>
          <rPr>
            <sz val="10"/>
            <color rgb="FF000000"/>
            <rFont val="Tahoma"/>
            <family val="2"/>
          </rPr>
          <t xml:space="preserve"> https://publications.gc.ca/collections/collection_2023/crtc/BC92-125-1-2023-eng.pdf</t>
        </r>
      </text>
    </comment>
    <comment ref="D128" authorId="0" shapeId="0" xr:uid="{54D592C0-FB84-4040-A1E9-749AAD7C3447}">
      <text>
        <r>
          <rPr>
            <sz val="10"/>
            <color rgb="FF000000"/>
            <rFont val="Aptos Narrow"/>
            <family val="2"/>
            <scheme val="minor"/>
          </rPr>
          <t xml:space="preserve">Nordicity (2022). </t>
        </r>
        <r>
          <rPr>
            <sz val="10"/>
            <color rgb="FF000000"/>
            <rFont val="Aptos Narrow"/>
            <family val="2"/>
            <scheme val="minor"/>
          </rPr>
          <t>Harnessing Change Financial Model of the Canadian Audio Sector (Study</t>
        </r>
        <r>
          <rPr>
            <sz val="10"/>
            <color rgb="FF000000"/>
            <rFont val="Aptos Narrow"/>
            <family val="2"/>
            <scheme val="minor"/>
          </rPr>
          <t xml:space="preserve"> prepared for CRTC), p. 20.</t>
        </r>
        <r>
          <rPr>
            <sz val="10"/>
            <color rgb="FF000000"/>
            <rFont val="Aptos Narrow"/>
            <family val="2"/>
            <scheme val="minor"/>
          </rPr>
          <t xml:space="preserve"> https://publications.gc.ca/collections/collection_2023/crtc/BC92-125-1-2023-eng.pdf</t>
        </r>
        <r>
          <rPr>
            <sz val="10"/>
            <color rgb="FF000000"/>
            <rFont val="Aptos Narrow"/>
            <family val="2"/>
            <scheme val="minor"/>
          </rPr>
          <t xml:space="preserve">
</t>
        </r>
      </text>
    </comment>
    <comment ref="E128" authorId="0" shapeId="0" xr:uid="{74033CD0-F652-8946-9A72-C7E2A55280AB}">
      <text>
        <r>
          <rPr>
            <sz val="10"/>
            <color rgb="FF000000"/>
            <rFont val="Aptos Narrow"/>
            <family val="2"/>
            <scheme val="minor"/>
          </rPr>
          <t xml:space="preserve">Nordicity (2022). </t>
        </r>
        <r>
          <rPr>
            <sz val="10"/>
            <color rgb="FF000000"/>
            <rFont val="Aptos Narrow"/>
            <family val="2"/>
            <scheme val="minor"/>
          </rPr>
          <t>Harnessing Change Financial Model of the Canadian Audio Sector (Study</t>
        </r>
        <r>
          <rPr>
            <sz val="10"/>
            <color rgb="FF000000"/>
            <rFont val="Aptos Narrow"/>
            <family val="2"/>
            <scheme val="minor"/>
          </rPr>
          <t xml:space="preserve"> prepared for CRTC), p. 20.</t>
        </r>
        <r>
          <rPr>
            <sz val="10"/>
            <color rgb="FF000000"/>
            <rFont val="Aptos Narrow"/>
            <family val="2"/>
            <scheme val="minor"/>
          </rPr>
          <t xml:space="preserve"> https://publications.gc.ca/collections/collection_2023/crtc/BC92-125-1-2023-eng.pdf</t>
        </r>
        <r>
          <rPr>
            <sz val="10"/>
            <color rgb="FF000000"/>
            <rFont val="Aptos Narrow"/>
            <family val="2"/>
            <scheme val="minor"/>
          </rPr>
          <t xml:space="preserve">
</t>
        </r>
      </text>
    </comment>
    <comment ref="F128" authorId="0" shapeId="0" xr:uid="{B573C940-2C1B-3D46-A781-3D51EA089981}">
      <text>
        <r>
          <rPr>
            <sz val="10"/>
            <color rgb="FF000000"/>
            <rFont val="Aptos Narrow"/>
            <family val="2"/>
            <scheme val="minor"/>
          </rPr>
          <t xml:space="preserve">Nordicity (2022). </t>
        </r>
        <r>
          <rPr>
            <sz val="10"/>
            <color rgb="FF000000"/>
            <rFont val="Aptos Narrow"/>
            <family val="2"/>
            <scheme val="minor"/>
          </rPr>
          <t>Harnessing Change Financial Model of the Canadian Audio Sector (Study</t>
        </r>
        <r>
          <rPr>
            <sz val="10"/>
            <color rgb="FF000000"/>
            <rFont val="Aptos Narrow"/>
            <family val="2"/>
            <scheme val="minor"/>
          </rPr>
          <t xml:space="preserve"> prepared for CRTC), p. 20.</t>
        </r>
        <r>
          <rPr>
            <sz val="10"/>
            <color rgb="FF000000"/>
            <rFont val="Aptos Narrow"/>
            <family val="2"/>
            <scheme val="minor"/>
          </rPr>
          <t xml:space="preserve"> https://publications.gc.ca/collections/collection_2023/crtc/BC92-125-1-2023-eng.pdf</t>
        </r>
        <r>
          <rPr>
            <sz val="10"/>
            <color rgb="FF000000"/>
            <rFont val="Aptos Narrow"/>
            <family val="2"/>
            <scheme val="minor"/>
          </rPr>
          <t xml:space="preserve">
</t>
        </r>
      </text>
    </comment>
    <comment ref="G128" authorId="0" shapeId="0" xr:uid="{E6CC9B93-1015-7E49-BA9B-8E61698C5884}">
      <text>
        <r>
          <rPr>
            <sz val="10"/>
            <color rgb="FF000000"/>
            <rFont val="Aptos Narrow"/>
            <family val="2"/>
            <scheme val="minor"/>
          </rPr>
          <t xml:space="preserve">Nordicity (2022). </t>
        </r>
        <r>
          <rPr>
            <sz val="10"/>
            <color rgb="FF000000"/>
            <rFont val="Aptos Narrow"/>
            <family val="2"/>
            <scheme val="minor"/>
          </rPr>
          <t>Harnessing Change Financial Model of the Canadian Audio Sector (Study</t>
        </r>
        <r>
          <rPr>
            <sz val="10"/>
            <color rgb="FF000000"/>
            <rFont val="Aptos Narrow"/>
            <family val="2"/>
            <scheme val="minor"/>
          </rPr>
          <t xml:space="preserve"> prepared for CRTC), p. 20.</t>
        </r>
        <r>
          <rPr>
            <sz val="10"/>
            <color rgb="FF000000"/>
            <rFont val="Aptos Narrow"/>
            <family val="2"/>
            <scheme val="minor"/>
          </rPr>
          <t xml:space="preserve"> https://publications.gc.ca/collections/collection_2023/crtc/BC92-125-1-2023-eng.pdf</t>
        </r>
        <r>
          <rPr>
            <sz val="10"/>
            <color rgb="FF000000"/>
            <rFont val="Aptos Narrow"/>
            <family val="2"/>
            <scheme val="minor"/>
          </rPr>
          <t xml:space="preserve">
</t>
        </r>
      </text>
    </comment>
    <comment ref="H128" authorId="0" shapeId="0" xr:uid="{EE65C012-AF98-B04C-A34B-23691AFA760B}">
      <text>
        <r>
          <rPr>
            <sz val="10"/>
            <color rgb="FF000000"/>
            <rFont val="Aptos Narrow"/>
            <family val="2"/>
            <scheme val="minor"/>
          </rPr>
          <t xml:space="preserve">Nordicity (2022). </t>
        </r>
        <r>
          <rPr>
            <sz val="10"/>
            <color rgb="FF000000"/>
            <rFont val="Aptos Narrow"/>
            <family val="2"/>
            <scheme val="minor"/>
          </rPr>
          <t>Harnessing Change Financial Model of the Canadian Audio Sector (Study</t>
        </r>
        <r>
          <rPr>
            <sz val="10"/>
            <color rgb="FF000000"/>
            <rFont val="Aptos Narrow"/>
            <family val="2"/>
            <scheme val="minor"/>
          </rPr>
          <t xml:space="preserve"> prepared for CRTC), p. 20.</t>
        </r>
        <r>
          <rPr>
            <sz val="10"/>
            <color rgb="FF000000"/>
            <rFont val="Aptos Narrow"/>
            <family val="2"/>
            <scheme val="minor"/>
          </rPr>
          <t xml:space="preserve"> https://publications.gc.ca/collections/collection_2023/crtc/BC92-125-1-2023-eng.pdf</t>
        </r>
        <r>
          <rPr>
            <sz val="10"/>
            <color rgb="FF000000"/>
            <rFont val="Aptos Narrow"/>
            <family val="2"/>
            <scheme val="minor"/>
          </rPr>
          <t xml:space="preserve">
</t>
        </r>
      </text>
    </comment>
    <comment ref="I128" authorId="0" shapeId="0" xr:uid="{44470AB5-6B9C-A042-AFF2-F6370DB81495}">
      <text>
        <r>
          <rPr>
            <sz val="10"/>
            <color rgb="FF000000"/>
            <rFont val="Times New Roman"/>
            <family val="18"/>
          </rPr>
          <t xml:space="preserve">Nordicity (2022). </t>
        </r>
        <r>
          <rPr>
            <sz val="10"/>
            <color rgb="FF000000"/>
            <rFont val="Times New Roman"/>
            <family val="18"/>
          </rPr>
          <t>Harnessing Change Financial Model of the Canadian Audio Sector (Study</t>
        </r>
        <r>
          <rPr>
            <sz val="10"/>
            <color rgb="FF000000"/>
            <rFont val="Times New Roman"/>
            <family val="18"/>
          </rPr>
          <t xml:space="preserve"> prepared for CRTC), p. 20.</t>
        </r>
        <r>
          <rPr>
            <sz val="10"/>
            <color rgb="FF000000"/>
            <rFont val="Times New Roman"/>
            <family val="18"/>
          </rPr>
          <t xml:space="preserve"> https://publications.gc.ca/collections/collection_2023/crtc/BC92-125-1-2023-eng.pdf</t>
        </r>
        <r>
          <rPr>
            <sz val="10"/>
            <color rgb="FF000000"/>
            <rFont val="Times New Roman"/>
            <family val="18"/>
          </rPr>
          <t xml:space="preserve">
</t>
        </r>
      </text>
    </comment>
    <comment ref="A140" authorId="0" shapeId="0" xr:uid="{59DEF82B-1CA9-8040-AD35-85605E11347C}">
      <text>
        <r>
          <rPr>
            <b/>
            <sz val="10"/>
            <color rgb="FF000000"/>
            <rFont val="Tahoma"/>
            <family val="2"/>
          </rPr>
          <t>DD:</t>
        </r>
        <r>
          <rPr>
            <sz val="10"/>
            <color rgb="FF000000"/>
            <rFont val="Tahoma"/>
            <family val="2"/>
          </rPr>
          <t xml:space="preserve">
</t>
        </r>
        <r>
          <rPr>
            <sz val="10"/>
            <color rgb="FF000000"/>
            <rFont val="Tahoma"/>
            <family val="2"/>
          </rPr>
          <t xml:space="preserve">Nordicity (2023). </t>
        </r>
        <r>
          <rPr>
            <sz val="10"/>
            <color rgb="FF000000"/>
            <rFont val="Calibri"/>
            <family val="2"/>
          </rPr>
          <t xml:space="preserve">Harnessing Change Financial Model of the Canadian Audio Sector (Study prepared for the CRTC). </t>
        </r>
        <r>
          <rPr>
            <sz val="10"/>
            <color rgb="FF000000"/>
            <rFont val="Tahoma"/>
            <family val="2"/>
          </rPr>
          <t>p. 20. https://publications.gc.ca/collections/collection_2023/crtc/BC92-125-1-2023-eng.pdf</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DD</author>
  </authors>
  <commentList>
    <comment ref="A58" authorId="0" shapeId="0" xr:uid="{8E63DBD0-FA55-1445-B7E8-4E86606EB527}">
      <text>
        <r>
          <rPr>
            <sz val="10"/>
            <color rgb="FF000000"/>
            <rFont val="Tahoma"/>
            <family val="2"/>
          </rPr>
          <t xml:space="preserve">MTM- (Oct. 2, 2025). </t>
        </r>
        <r>
          <rPr>
            <sz val="10"/>
            <color rgb="FF000000"/>
            <rFont val="Aptos Narrow"/>
            <family val="2"/>
          </rPr>
          <t>Big Options on the Big Screen: How Connected TV Sets Took Over Canadians</t>
        </r>
        <r>
          <rPr>
            <sz val="10"/>
            <color rgb="FF000000"/>
            <rFont val="Tahoma"/>
            <family val="2"/>
          </rPr>
          <t xml:space="preserve"> p. 23</t>
        </r>
      </text>
    </comment>
    <comment ref="A59" authorId="0" shapeId="0" xr:uid="{3427689A-BE80-0E4E-B571-DA697BDFAF47}">
      <text>
        <r>
          <rPr>
            <sz val="10"/>
            <color rgb="FF000000"/>
            <rFont val="Aptos Narrow"/>
            <family val="2"/>
          </rPr>
          <t xml:space="preserve">MTM- (Oct. 2, 2025). L’écran de toutes les possibilités : adoption massive du téléviseur connecté au Canada, p. 23
</t>
        </r>
      </text>
    </comment>
  </commentList>
</comments>
</file>

<file path=xl/sharedStrings.xml><?xml version="1.0" encoding="utf-8"?>
<sst xmlns="http://schemas.openxmlformats.org/spreadsheetml/2006/main" count="2369" uniqueCount="1158">
  <si>
    <t>Figure 1: The Network Media Economy in Canada--What the GMIC Project Covers</t>
  </si>
  <si>
    <t>Telecoms + Internet access services</t>
  </si>
  <si>
    <t>Traditional Media</t>
  </si>
  <si>
    <t>Online Media</t>
  </si>
  <si>
    <t>Total Network Media Economy ($ millions)</t>
  </si>
  <si>
    <t>Growth</t>
  </si>
  <si>
    <t>Stagnation/Stable</t>
  </si>
  <si>
    <t>Decline</t>
  </si>
  <si>
    <t>Wireline Telecoms (overall)</t>
  </si>
  <si>
    <t>Wireline Telecoms (plain old telephone service)</t>
  </si>
  <si>
    <t>BDU: Cable</t>
  </si>
  <si>
    <t>Mobile Wireless</t>
  </si>
  <si>
    <t>BDU: IPTV</t>
  </si>
  <si>
    <t>BDU: DTH Satellite</t>
  </si>
  <si>
    <t>Internet Service Providers</t>
  </si>
  <si>
    <t>Broadcast TV (public service)</t>
  </si>
  <si>
    <t>Broadcast TV (ad-funded)</t>
  </si>
  <si>
    <t>Online Video (SVO and AVOD)</t>
  </si>
  <si>
    <t>Radio (public service)</t>
  </si>
  <si>
    <t>Pay &amp; Specialty TV</t>
  </si>
  <si>
    <t>Total TV</t>
  </si>
  <si>
    <t>Newspapers</t>
  </si>
  <si>
    <t>Radio (ad-funded)</t>
  </si>
  <si>
    <t>Paid Radio (SiriusXM, Stingray)</t>
  </si>
  <si>
    <t>Household Spending--Media Content &amp; Live Entertainment</t>
  </si>
  <si>
    <t>Online Music (transactional/download)</t>
  </si>
  <si>
    <t>Internet Advertising</t>
  </si>
  <si>
    <t>Household Spending--Home Media Equipment &amp; ICT Devices</t>
  </si>
  <si>
    <t>Magazines</t>
  </si>
  <si>
    <t>Total Advertising Spending</t>
  </si>
  <si>
    <t>Traditional Music (publishing, live concerts)</t>
  </si>
  <si>
    <t>Online Music (paid subscriptions and ad-funded streaming services)</t>
  </si>
  <si>
    <t>Games (console, PC and mobile)</t>
  </si>
  <si>
    <t>App Stores</t>
  </si>
  <si>
    <t>Household Spending--Communication services</t>
  </si>
  <si>
    <t>Traditional Music (physical sales)</t>
  </si>
  <si>
    <t>Estimated Number of Households</t>
  </si>
  <si>
    <t>Number of Households in the Sample</t>
  </si>
  <si>
    <t>Avg HH Income Before Tax</t>
  </si>
  <si>
    <t>Communications Avg $/HH</t>
  </si>
  <si>
    <t>Home Media &amp; ICTs (including Computers) Avg $/HH</t>
  </si>
  <si>
    <t>Media Content and Live Entertainment Avg $/HH</t>
  </si>
  <si>
    <t xml:space="preserve">Total </t>
  </si>
  <si>
    <t xml:space="preserve">Communications  </t>
  </si>
  <si>
    <t xml:space="preserve">Home Media &amp; ICTs </t>
  </si>
  <si>
    <t xml:space="preserve">Media Content and Live Entertainment </t>
  </si>
  <si>
    <t>Telecoms Services  Avg $/HH/year</t>
  </si>
  <si>
    <t>Plain old telephone service Avg $/HH/year</t>
  </si>
  <si>
    <t>Cell phone  Avg $/HH/year</t>
  </si>
  <si>
    <t>Internet Access Avg $/HH/year</t>
  </si>
  <si>
    <t>BDU (cable/DTH/IPTV)  Avg $/HH/year</t>
  </si>
  <si>
    <t>Advertising spending / household</t>
  </si>
  <si>
    <t>Total Parl $ (CBC AnnRpt)</t>
  </si>
  <si>
    <t xml:space="preserve">Total media content &amp; culture spending Avg $/HH/year </t>
  </si>
  <si>
    <t>Mobile Wireless ARPU/mo (HH)</t>
  </si>
  <si>
    <t>Internet Access ARPU/mo (HH)</t>
  </si>
  <si>
    <t>Telecoms services avg %/HH Income/year</t>
  </si>
  <si>
    <t>Plain old telephone service avg %/HH Income/year</t>
  </si>
  <si>
    <t>Cell phone avg %/HH Income/year</t>
  </si>
  <si>
    <t>Internet Access avg %/HH Income/year</t>
  </si>
  <si>
    <t>BDU (cable/DTH/IPTV) avg %/HH Income/year</t>
  </si>
  <si>
    <t>Media Content and Live Entertainment avg %/HH Income/year</t>
  </si>
  <si>
    <t>Advertising spending / household as  avg %/ HH Income/year</t>
  </si>
  <si>
    <t>Total Parl $ (CBC AnnRpt) avg %/HH Income/year</t>
  </si>
  <si>
    <t>Total media content &amp; culture spending avg %/HH Income/year</t>
  </si>
  <si>
    <t>Total Telecom, BDU &amp; Media Content avg %/HH Income/year</t>
  </si>
  <si>
    <t>Agnes: GDR#1 Originally Figure 4</t>
  </si>
  <si>
    <t>Total</t>
  </si>
  <si>
    <t>Communications</t>
  </si>
  <si>
    <t>Home Media &amp; ICTs (including Computers)  Avg %/HH Spending</t>
  </si>
  <si>
    <t>Media Content and Live Entertainment  Avg %/HH Spending</t>
  </si>
  <si>
    <t>Total BDU Subs (thousandss)</t>
  </si>
  <si>
    <t>Total BDU Revenue (millions)</t>
  </si>
  <si>
    <t>Total IPTV Subs</t>
  </si>
  <si>
    <t>Total IPTV Subs/Total Subs %</t>
  </si>
  <si>
    <t>Annual ARPU/Household/year</t>
  </si>
  <si>
    <t>Wireline</t>
  </si>
  <si>
    <t>Wireless</t>
  </si>
  <si>
    <t>ISP</t>
  </si>
  <si>
    <t>Multichannel Video Distribution (Cable/DBS/IPTV)</t>
  </si>
  <si>
    <t>Broadcast TV</t>
  </si>
  <si>
    <t>Pay TV Programming Services</t>
  </si>
  <si>
    <t>Streaming video</t>
  </si>
  <si>
    <t>Digital Games</t>
  </si>
  <si>
    <t>Broadcast Radio</t>
  </si>
  <si>
    <t>Music Services</t>
  </si>
  <si>
    <t>App Distribution</t>
  </si>
  <si>
    <t>%</t>
  </si>
  <si>
    <t>BCE</t>
  </si>
  <si>
    <t>Rogers</t>
  </si>
  <si>
    <t>Telus</t>
  </si>
  <si>
    <t>Alphabet</t>
  </si>
  <si>
    <t>Quebecor</t>
  </si>
  <si>
    <t>Meta</t>
  </si>
  <si>
    <t>Amazon</t>
  </si>
  <si>
    <t>CBC</t>
  </si>
  <si>
    <t>Cogeco</t>
  </si>
  <si>
    <t>Netflix</t>
  </si>
  <si>
    <t>SaskTel</t>
  </si>
  <si>
    <t>Apple</t>
  </si>
  <si>
    <t>Bragg Communications</t>
  </si>
  <si>
    <t>Microsoft</t>
  </si>
  <si>
    <t>Live Nation</t>
  </si>
  <si>
    <t>Sony</t>
  </si>
  <si>
    <t>Postmedia</t>
  </si>
  <si>
    <t>Disney</t>
  </si>
  <si>
    <t>Spotify</t>
  </si>
  <si>
    <t>Sirius XM</t>
  </si>
  <si>
    <t>ByteDance</t>
  </si>
  <si>
    <t>SpaceX</t>
  </si>
  <si>
    <t>Universal Music</t>
  </si>
  <si>
    <t>Activision Blizzard</t>
  </si>
  <si>
    <t>Tencent</t>
  </si>
  <si>
    <t>Stonepeak Infrastructure Fund</t>
  </si>
  <si>
    <t>Nintendo</t>
  </si>
  <si>
    <t>Electronic Arts</t>
  </si>
  <si>
    <t>TekSavvy</t>
  </si>
  <si>
    <t>Woodbridge Company</t>
  </si>
  <si>
    <t>Thunder Bay</t>
  </si>
  <si>
    <t>Snapchat</t>
  </si>
  <si>
    <t>Warner Music</t>
  </si>
  <si>
    <t>Other</t>
  </si>
  <si>
    <t>Total Network Media Economy (millions)</t>
  </si>
  <si>
    <t>CR1</t>
  </si>
  <si>
    <t>CR4</t>
  </si>
  <si>
    <t>CR10</t>
  </si>
  <si>
    <t>VI Cos</t>
  </si>
  <si>
    <t>Big Tech + Streaming Cos</t>
  </si>
  <si>
    <t>Pooled HHI</t>
  </si>
  <si>
    <t>Weighted HHI</t>
  </si>
  <si>
    <t>Low Concentration (100 ≤ 1,500)</t>
  </si>
  <si>
    <t>Moderate Concentration (1,500 ≤ 2,500)</t>
  </si>
  <si>
    <t>High Concentration (2,500 ≤ 10,000)</t>
  </si>
  <si>
    <t>Mobile wireless (provincial weighted avg) 3111.3</t>
  </si>
  <si>
    <t>Streaming video services (SVOD &amp; TVOD) 2010.5</t>
  </si>
  <si>
    <t>Streaming music services &amp; publishing (1736.1 )</t>
  </si>
  <si>
    <t>Internet access (local) 3972.5</t>
  </si>
  <si>
    <t>Cable/DTH/IPTV  (Local) 5102.1</t>
  </si>
  <si>
    <t>Telephone</t>
  </si>
  <si>
    <t>CBC Parliamentary Funds + Advertising</t>
  </si>
  <si>
    <t>Private Television Advertising</t>
  </si>
  <si>
    <t>Private Radio Advertising</t>
  </si>
  <si>
    <t>Periodicals</t>
  </si>
  <si>
    <t>Recorded + live music</t>
  </si>
  <si>
    <t>Cable Television</t>
  </si>
  <si>
    <t xml:space="preserve">Total revenue </t>
  </si>
  <si>
    <t>Gross Domestic Income</t>
  </si>
  <si>
    <t>Communications / GDI</t>
  </si>
  <si>
    <t>Cable TV</t>
  </si>
  <si>
    <t xml:space="preserve">Southam </t>
  </si>
  <si>
    <t>Woodbridge</t>
  </si>
  <si>
    <t>Maclean-Hunter</t>
  </si>
  <si>
    <t>Torstar</t>
  </si>
  <si>
    <t>Baton</t>
  </si>
  <si>
    <t>Power Corp</t>
  </si>
  <si>
    <t>Telemedia</t>
  </si>
  <si>
    <t>Selkirk</t>
  </si>
  <si>
    <t>CHUM</t>
  </si>
  <si>
    <t>TeleMetrole</t>
  </si>
  <si>
    <t>Canwest</t>
  </si>
  <si>
    <t>Western Intl Coms</t>
  </si>
  <si>
    <t>Slaight</t>
  </si>
  <si>
    <t>Jean Pouliot</t>
  </si>
  <si>
    <t>Black Press</t>
  </si>
  <si>
    <t>Unimedia</t>
  </si>
  <si>
    <t>American Media</t>
  </si>
  <si>
    <t>J. D. Irving</t>
  </si>
  <si>
    <t>Armadale</t>
  </si>
  <si>
    <t>Shaw</t>
  </si>
  <si>
    <t>London Free Press</t>
  </si>
  <si>
    <t>Moffat Coms</t>
  </si>
  <si>
    <t>Sector Total</t>
  </si>
  <si>
    <t>BCTel</t>
  </si>
  <si>
    <t>AGT</t>
  </si>
  <si>
    <t>Maritime T&amp;T</t>
  </si>
  <si>
    <t>Manitoba Tel</t>
  </si>
  <si>
    <t>NB Tel</t>
  </si>
  <si>
    <t>New Tel</t>
  </si>
  <si>
    <t xml:space="preserve">Gross Domestic Income </t>
  </si>
  <si>
    <t>• BCE acquires CTV and The Globe and Mail ($2.3B) (2000)</t>
  </si>
  <si>
    <t>• Quebecor acquires Sun newspapers ($1B)(1999), Videotron ($4.9B)(2000) and TVA ($500M)(2001)(Total: $6.4B)</t>
  </si>
  <si>
    <t>• Canwest buys Global TV ($800M) (1998) and Hollinger newspapers ($3.2B) (2000)</t>
  </si>
  <si>
    <t>• Shaw acquires catalogue of televison and radio stations from WIC (1998) and Power Broadcasting (1999), then spins them off into Corus (1999). Shaw maintains ownership control of Corus</t>
  </si>
  <si>
    <t>• Telus, created from the amalgamation of BC Tel, AGT, and Edmonton Tel, acquires Clearnet ($6.6B) (2000)</t>
  </si>
  <si>
    <t>• Rogers acquires Microcell ($1.4B) (2004)</t>
  </si>
  <si>
    <t>• BCE exists media business (2006)</t>
  </si>
  <si>
    <t>• CTVglobemedia acquires CHUM ($1.4B) (2007)</t>
  </si>
  <si>
    <t>• Rogers acquires City TV ($375M) (2007)</t>
  </si>
  <si>
    <t>• Astral Media buys Standard Broadcasting ($1.1B) (2007)</t>
  </si>
  <si>
    <t>• Quebecor Acquires Osprey Media ($517M) (2007)</t>
  </si>
  <si>
    <t>• Canwest acquires Alliance Atlantis ($2.4B) (2007)</t>
  </si>
  <si>
    <t>• Canwest declares bankruptcy, newspapers acquired by Postmedia ($1.1B) and TV assets acquired by Shaw ($2B) (2009-2010)</t>
  </si>
  <si>
    <t>• BCE re-acquires CTV ($3.2B) (2011)</t>
  </si>
  <si>
    <t>• BCE's second bid to acquire Astral Media approved after it agrees to divest several TV services ($3.4B) (2013)</t>
  </si>
  <si>
    <t>• Telus acquires Public Mobile (2013)</t>
  </si>
  <si>
    <t>• NordStar Capital acquires Torstar ($52 million) (2020)</t>
  </si>
  <si>
    <t>• Bell acquires Distributel ($335 million) and ebox ($139 million) (2022)</t>
  </si>
  <si>
    <t>• Quebecor acquires VMedia (2022)</t>
  </si>
  <si>
    <t xml:space="preserve">• Telus acquires Start.ca and Altima (price undisclosed) (2022) </t>
  </si>
  <si>
    <t xml:space="preserve">• Cogeco acquires Oxios ($100 million) (2022) </t>
  </si>
  <si>
    <t>• Rogers acquires Shaw Communications ($26 billion) but spins of Freedom Mobile to Videotron for $2.85 billion (2023)</t>
  </si>
  <si>
    <t>• Rogers acquires Comwave (2023)</t>
  </si>
  <si>
    <t>Market Share (%)</t>
  </si>
  <si>
    <t>Verizon Communications</t>
  </si>
  <si>
    <t>AT&amp;T Inc</t>
  </si>
  <si>
    <t>T-Mobile USA</t>
  </si>
  <si>
    <t>Comcast Corporation</t>
  </si>
  <si>
    <t>The Walt Disney Company</t>
  </si>
  <si>
    <t>Charter Communications</t>
  </si>
  <si>
    <t>Warner Brothers Discovery</t>
  </si>
  <si>
    <t xml:space="preserve">Microsoft </t>
  </si>
  <si>
    <t>ViacomCBS</t>
  </si>
  <si>
    <t>TPG/DirecTV</t>
  </si>
  <si>
    <t>Dish Network</t>
  </si>
  <si>
    <t>Bytedance</t>
  </si>
  <si>
    <t>Fox Corporation</t>
  </si>
  <si>
    <t>Lumen Technologies</t>
  </si>
  <si>
    <t>Cox Communications</t>
  </si>
  <si>
    <t>Altice</t>
  </si>
  <si>
    <t>Frontier Communications</t>
  </si>
  <si>
    <t>Nexstar Media Group</t>
  </si>
  <si>
    <t xml:space="preserve">Activision </t>
  </si>
  <si>
    <t>Total $ CDN NME (Millions)</t>
  </si>
  <si>
    <t>Total $ US NME (Millions, CDN$)</t>
  </si>
  <si>
    <t>CR 1 Canada</t>
  </si>
  <si>
    <t>CR 1 US</t>
  </si>
  <si>
    <t>CR 4 Canada</t>
  </si>
  <si>
    <t>CR 4 US</t>
  </si>
  <si>
    <t>CR 10 Canada</t>
  </si>
  <si>
    <t>CR 10 US</t>
  </si>
  <si>
    <t>VI Cos Canada</t>
  </si>
  <si>
    <t>VI Cos US</t>
  </si>
  <si>
    <t>International / US companies</t>
  </si>
  <si>
    <t>Pooled Avg HHI Canada</t>
  </si>
  <si>
    <t>Pooled Avg HHI US</t>
  </si>
  <si>
    <t>Weighted Avg HHI Canada</t>
  </si>
  <si>
    <t>Weighted Avg HHI US</t>
  </si>
  <si>
    <t>Communication</t>
  </si>
  <si>
    <t>Content</t>
  </si>
  <si>
    <t>VI Cos Market Share</t>
  </si>
  <si>
    <t>Big Tech and Streaming Media Companies</t>
  </si>
  <si>
    <t>Online Video Services</t>
  </si>
  <si>
    <t>Traditional Music Services</t>
  </si>
  <si>
    <t>Digital Music Services</t>
  </si>
  <si>
    <t>Grand Total</t>
  </si>
  <si>
    <t>Radio</t>
  </si>
  <si>
    <t>CTV</t>
  </si>
  <si>
    <t>Astral</t>
  </si>
  <si>
    <t>Alliance Atlantis</t>
  </si>
  <si>
    <t>Cable + DTH (millions $)</t>
  </si>
  <si>
    <t>Telecom operator IPTV + DTH (millons $)</t>
  </si>
  <si>
    <t>Total $</t>
  </si>
  <si>
    <t>Online media services</t>
  </si>
  <si>
    <t>Traditional media services</t>
  </si>
  <si>
    <t>POTS Subs</t>
  </si>
  <si>
    <t>Mobile Subs</t>
  </si>
  <si>
    <t>Internet Subs</t>
  </si>
  <si>
    <t>BDU Subs</t>
  </si>
  <si>
    <t>Total Lines</t>
  </si>
  <si>
    <t>POTS Subs (%)</t>
  </si>
  <si>
    <t>Mobile Subs Share (%)</t>
  </si>
  <si>
    <t>Internet Subs Share (%)</t>
  </si>
  <si>
    <t>BDU Subs (%)</t>
  </si>
  <si>
    <t>Total Lines Share (%)</t>
  </si>
  <si>
    <t>Bell</t>
  </si>
  <si>
    <t>Videotron</t>
  </si>
  <si>
    <t>Big 4 Total</t>
  </si>
  <si>
    <t>Big 4 Share ot Total (%)</t>
  </si>
  <si>
    <t>Wireline (Millions$)</t>
  </si>
  <si>
    <t>Mobile Revenue (Millions$)</t>
  </si>
  <si>
    <t>ISP Revenue (Millions$)</t>
  </si>
  <si>
    <t>BDU (Millions$)</t>
  </si>
  <si>
    <t>Total Revenue (Millions$)</t>
  </si>
  <si>
    <t>Mobile Revenue Share (%)</t>
  </si>
  <si>
    <t>BDU (%)</t>
  </si>
  <si>
    <t>Total Revenue Share (%)</t>
  </si>
  <si>
    <t>Internet Access (National)</t>
  </si>
  <si>
    <t>Cable, Sat &amp; IPTV (National)</t>
  </si>
  <si>
    <t>Weighted Average CR4</t>
  </si>
  <si>
    <t>Internet Access (Local)</t>
  </si>
  <si>
    <t>Cable, Sat &amp; IPTV (Local)</t>
  </si>
  <si>
    <t>Weighted Average HHI</t>
  </si>
  <si>
    <t>United States</t>
  </si>
  <si>
    <t>China</t>
  </si>
  <si>
    <t>Japan</t>
  </si>
  <si>
    <t>Russia</t>
  </si>
  <si>
    <t>Germany</t>
  </si>
  <si>
    <t>Canada</t>
  </si>
  <si>
    <t>India</t>
  </si>
  <si>
    <t xml:space="preserve">Mexico </t>
  </si>
  <si>
    <t>Korea</t>
  </si>
  <si>
    <t>France</t>
  </si>
  <si>
    <t>United Kingdom</t>
  </si>
  <si>
    <t>Australia</t>
  </si>
  <si>
    <t>Brazil</t>
  </si>
  <si>
    <t>Italy</t>
  </si>
  <si>
    <t>South Africa</t>
  </si>
  <si>
    <t xml:space="preserve">Spain </t>
  </si>
  <si>
    <t>Nigeria</t>
  </si>
  <si>
    <t>Turkey</t>
  </si>
  <si>
    <t>Netherlands</t>
  </si>
  <si>
    <t>Argentina</t>
  </si>
  <si>
    <t>Switzerland</t>
  </si>
  <si>
    <t>Poland</t>
  </si>
  <si>
    <t>Belgium</t>
  </si>
  <si>
    <t>Sweden</t>
  </si>
  <si>
    <t>Austria</t>
  </si>
  <si>
    <t>Kenya</t>
  </si>
  <si>
    <t>Denmark</t>
  </si>
  <si>
    <t>Finland</t>
  </si>
  <si>
    <t>Chile</t>
  </si>
  <si>
    <t>Czech Republic</t>
  </si>
  <si>
    <t>Norway</t>
  </si>
  <si>
    <t>Israel</t>
  </si>
  <si>
    <t>New Zealand</t>
  </si>
  <si>
    <t>Ireland</t>
  </si>
  <si>
    <t>Portugal</t>
  </si>
  <si>
    <t>Slovakia</t>
  </si>
  <si>
    <t>CPI -- All Items</t>
  </si>
  <si>
    <t>BDU + Subscription TV, Video &amp; Audio Services</t>
  </si>
  <si>
    <t>Mobile Wireless/Phone Service</t>
  </si>
  <si>
    <t>Home phone</t>
  </si>
  <si>
    <t>Home entertainment equipment</t>
  </si>
  <si>
    <t>Digital computing equipment &amp; devices</t>
  </si>
  <si>
    <t>Plan ARPU</t>
  </si>
  <si>
    <t>Service ARPU</t>
  </si>
  <si>
    <t>All</t>
  </si>
  <si>
    <t>Mobile Phones</t>
  </si>
  <si>
    <t>Rank</t>
  </si>
  <si>
    <t xml:space="preserve"> Data and voice subscriptions </t>
  </si>
  <si>
    <t xml:space="preserve">Data-only subscriptions </t>
  </si>
  <si>
    <t>Estonia</t>
  </si>
  <si>
    <t>OECD</t>
  </si>
  <si>
    <t>Iceland</t>
  </si>
  <si>
    <t>Lithuania</t>
  </si>
  <si>
    <t>Latvia</t>
  </si>
  <si>
    <t>Luxembourg</t>
  </si>
  <si>
    <t>Czechia</t>
  </si>
  <si>
    <t>Costa Rica</t>
  </si>
  <si>
    <t>Slovenia</t>
  </si>
  <si>
    <t>Slovak Republic</t>
  </si>
  <si>
    <t>Greece</t>
  </si>
  <si>
    <t>Hungary</t>
  </si>
  <si>
    <t>Colombia</t>
  </si>
  <si>
    <t>Türkiye</t>
  </si>
  <si>
    <t>2017</t>
  </si>
  <si>
    <t>2020</t>
  </si>
  <si>
    <t>Average Growth Rate, 2017-2023</t>
  </si>
  <si>
    <t xml:space="preserve">Bell </t>
  </si>
  <si>
    <t>Bell Aliant</t>
  </si>
  <si>
    <t>MTS</t>
  </si>
  <si>
    <t>Microcell Solutions</t>
  </si>
  <si>
    <t>Orascom Telecom</t>
  </si>
  <si>
    <t>Public Mobile</t>
  </si>
  <si>
    <t>DAVE Wireless</t>
  </si>
  <si>
    <t>Clearnet</t>
  </si>
  <si>
    <t>CR3</t>
  </si>
  <si>
    <t>Regional Competitors</t>
  </si>
  <si>
    <t>Regional Competitors + Alternatives</t>
  </si>
  <si>
    <t>HHI</t>
  </si>
  <si>
    <t>Bell Group</t>
  </si>
  <si>
    <t>TELUS</t>
  </si>
  <si>
    <t>Sasktel</t>
  </si>
  <si>
    <t>TBTel</t>
  </si>
  <si>
    <t>Eastlink</t>
  </si>
  <si>
    <t>British Columbia</t>
  </si>
  <si>
    <t>Alberta</t>
  </si>
  <si>
    <t>Saskatchewan</t>
  </si>
  <si>
    <t>Manitoba</t>
  </si>
  <si>
    <t>Ontario</t>
  </si>
  <si>
    <t>Quebec</t>
  </si>
  <si>
    <t>New Brunswick</t>
  </si>
  <si>
    <t>Nova Scotia</t>
  </si>
  <si>
    <t>Prince Edward Island</t>
  </si>
  <si>
    <t>Newfoundland and Labrador</t>
  </si>
  <si>
    <t>The North</t>
  </si>
  <si>
    <t>Bell Fibe TV</t>
  </si>
  <si>
    <t>MTS Allstream</t>
  </si>
  <si>
    <t>Note: Subscribers is equal to year-over-year average.</t>
  </si>
  <si>
    <t xml:space="preserve">Bell Fibe TV </t>
  </si>
  <si>
    <t xml:space="preserve">Telus </t>
  </si>
  <si>
    <t xml:space="preserve">SaskTel </t>
  </si>
  <si>
    <t>Total IPTV $</t>
  </si>
  <si>
    <t>Total BDU (Cable, DTH + IPTV) (millions $)</t>
  </si>
  <si>
    <t>Total BDU/Households</t>
  </si>
  <si>
    <t>Telecom operator IPTV/Total $  (millions $)</t>
  </si>
  <si>
    <t xml:space="preserve">Telecom operator IPTV + DTH/Total$ </t>
  </si>
  <si>
    <t>Total BDU Subs (thousands)</t>
  </si>
  <si>
    <t>Annual ARPU/Household/month</t>
  </si>
  <si>
    <t>Telecom operator IPTV$  (millions $)</t>
  </si>
  <si>
    <t>Telecom operator DTH (millions $)</t>
  </si>
  <si>
    <t>Before (2022)</t>
  </si>
  <si>
    <t>After (2023)</t>
  </si>
  <si>
    <t>Access Comm</t>
  </si>
  <si>
    <t>Before merger Rogers market share</t>
  </si>
  <si>
    <t>After merger Rogers market share</t>
  </si>
  <si>
    <t>Before merger Rogers-Shaw CR4</t>
  </si>
  <si>
    <t>After merger Rogers-Shaw CR4</t>
  </si>
  <si>
    <t>Before merger Rogers-Shaw HHI</t>
  </si>
  <si>
    <t>After merger Rogers-Shaw HHI</t>
  </si>
  <si>
    <t>Cablecos Cable + CableCo DTH</t>
  </si>
  <si>
    <t xml:space="preserve">Telcos (IPTV + DTH) </t>
  </si>
  <si>
    <t>Total Cable, DTH + IPTV HHI</t>
  </si>
  <si>
    <t>Country</t>
  </si>
  <si>
    <t>Fibre as a pecentage of total broadband connections</t>
  </si>
  <si>
    <t>Telco</t>
  </si>
  <si>
    <t>CableCo</t>
  </si>
  <si>
    <t>SubTotal</t>
  </si>
  <si>
    <t>Indy ISP</t>
  </si>
  <si>
    <t>Sources: CRTC (2024) Communication Markets Report. Figure 15: Residential Internet service subscriptions, by type of service provider (thousands), 2013-2023.</t>
  </si>
  <si>
    <t>CRTC (2024) Communication markets report. Figure 2 and 13: Residential Internet service revenue shares, by type of service provider (%), 2013-2023 and previous iterations of this table in CMR and predecessor reports.</t>
  </si>
  <si>
    <t>Distributel</t>
  </si>
  <si>
    <t>EBOX</t>
  </si>
  <si>
    <t>VMedia</t>
  </si>
  <si>
    <t>Start.ca</t>
  </si>
  <si>
    <t>Comwave</t>
  </si>
  <si>
    <t>Oxio</t>
  </si>
  <si>
    <t xml:space="preserve">Rogers Before Merger </t>
  </si>
  <si>
    <t xml:space="preserve">Rogers After Merger </t>
  </si>
  <si>
    <t>CR4 Before Rogers-Shaw</t>
  </si>
  <si>
    <t>CR4 After Rogers-Shaw</t>
  </si>
  <si>
    <t>HHI Before Rogers-Shaw</t>
  </si>
  <si>
    <t>HHI After Rogers-Shaw</t>
  </si>
  <si>
    <t>Print Newspapers</t>
  </si>
  <si>
    <t>Digital Newspapers</t>
  </si>
  <si>
    <t>Note re. Definitions</t>
  </si>
  <si>
    <t>Online Video Servces</t>
  </si>
  <si>
    <t>Online Music (Incl. Subscriber $, Digital Sales, Other from Total Revenue (Millions) sheet.</t>
  </si>
  <si>
    <t>Newspapers (Digital Column from Total Revenue Sheet)</t>
  </si>
  <si>
    <t>BROADCAST TV &amp; PAY TV</t>
  </si>
  <si>
    <t>Music Recorded (Physical, Live &amp; Publishing, i.e. things not included in Online Music)</t>
  </si>
  <si>
    <t>Newspapers (Excluding Digital column from Total Revenue Sheet)</t>
  </si>
  <si>
    <t>Total (millions $)</t>
  </si>
  <si>
    <t>Internet Ad$</t>
  </si>
  <si>
    <t>Conv TV</t>
  </si>
  <si>
    <t xml:space="preserve">Pay TV  </t>
  </si>
  <si>
    <t>Out-of-Home</t>
  </si>
  <si>
    <t>Total Ad$</t>
  </si>
  <si>
    <t>Advertising/GDI</t>
  </si>
  <si>
    <t>Advertising $/Total Media Economy $ (%)</t>
  </si>
  <si>
    <t>Per Capita Internet Advertising $</t>
  </si>
  <si>
    <t>Per Capita Television Advertising $</t>
  </si>
  <si>
    <t>Per Capita Other Ad$</t>
  </si>
  <si>
    <t>Per Capita Total Advertising $</t>
  </si>
  <si>
    <t>Facebook</t>
  </si>
  <si>
    <t>Display</t>
  </si>
  <si>
    <t>Classified</t>
  </si>
  <si>
    <t>Pelmorex</t>
  </si>
  <si>
    <t>Twitter</t>
  </si>
  <si>
    <t>NordStar Capital LP</t>
  </si>
  <si>
    <t>La Presse</t>
  </si>
  <si>
    <t>Yellow Pages</t>
  </si>
  <si>
    <t>Transcontinental</t>
  </si>
  <si>
    <t>Continental/Glacier</t>
  </si>
  <si>
    <t>Zoomer Media</t>
  </si>
  <si>
    <t>CN2i</t>
  </si>
  <si>
    <t>Groupe Capitales Médias</t>
  </si>
  <si>
    <t>FP Canadian Newspapers</t>
  </si>
  <si>
    <t>Total $ (Mills)</t>
  </si>
  <si>
    <t>Google + Facebook Share</t>
  </si>
  <si>
    <t>Canadian Media Co Share</t>
  </si>
  <si>
    <t>Google</t>
  </si>
  <si>
    <t>Bing (Microsoft)</t>
  </si>
  <si>
    <t>Yahoo!</t>
  </si>
  <si>
    <t>Verizon Media</t>
  </si>
  <si>
    <t>DuckDuckGo</t>
  </si>
  <si>
    <t>Ask</t>
  </si>
  <si>
    <t>WebCrawler</t>
  </si>
  <si>
    <t>Baidu</t>
  </si>
  <si>
    <t>Yandex RU</t>
  </si>
  <si>
    <t>AOL</t>
  </si>
  <si>
    <r>
      <t xml:space="preserve">Source: </t>
    </r>
    <r>
      <rPr>
        <sz val="12"/>
        <color rgb="FF000000"/>
        <rFont val="Times"/>
        <family val="1"/>
      </rPr>
      <t xml:space="preserve">StatCounter. Global Stats (Various Years). http://gs.statcounter.com/search-engine-market-share/all/canada/. Each year is based on December sample. </t>
    </r>
  </si>
  <si>
    <t>Source: United States District Court, DC (August 5, 2024). Memorandum opinion. U.S. and Plaintiff States v. Google LLC [2023]. Closing arguments–PPT Deck (November 25, 2024)(Google Ad case)</t>
  </si>
  <si>
    <t>TikTok</t>
  </si>
  <si>
    <t xml:space="preserve">LinkedIn </t>
  </si>
  <si>
    <t>X/Twitter</t>
  </si>
  <si>
    <t>Google+</t>
  </si>
  <si>
    <t>Reddit</t>
  </si>
  <si>
    <t>Tumblr</t>
  </si>
  <si>
    <t>Discord</t>
  </si>
  <si>
    <t>Canadian FB+IG MAU y-o-y average (000,000)</t>
  </si>
  <si>
    <t>ARPU/month CDN$</t>
  </si>
  <si>
    <t>Canadian revenue (000,000)</t>
  </si>
  <si>
    <t>ARPU/year CDN$</t>
  </si>
  <si>
    <t>Market Share</t>
  </si>
  <si>
    <t xml:space="preserve">Market Share </t>
  </si>
  <si>
    <t>Shaw (Corus)</t>
  </si>
  <si>
    <t>Microsoft (Bing)</t>
  </si>
  <si>
    <t>Stingray</t>
  </si>
  <si>
    <t>Globe &amp; Mail</t>
  </si>
  <si>
    <t>Vista Radio</t>
  </si>
  <si>
    <t>Pattison</t>
  </si>
  <si>
    <t>Golden West Broadcasting</t>
  </si>
  <si>
    <t>Saltwire</t>
  </si>
  <si>
    <t>FP CDN Newspapers</t>
  </si>
  <si>
    <r>
      <t xml:space="preserve">Sources: </t>
    </r>
    <r>
      <rPr>
        <sz val="12"/>
        <color rgb="FF000000"/>
        <rFont val="Times New Roman"/>
        <family val="1"/>
      </rPr>
      <t xml:space="preserve">TVB/Think TV, Net Advertising Volume; Company Annual Reports; Iab.canada 2016 Actual + 2017 Estimated Internet Ad Revenue. http://iabcanada.com/annual-internet-advertising-revenue-reports/, p. 8; Iab.canada 2015 Actual + 2016 Estimated Internet Ad Revenue. http://iabcanada.com/annual-internet-advertising-revenue-reports/, p. 8; CRTC for Broadcast, pay and specialty television and radio. Estimates for individual companies is based on annual reports wherever possible. Where it is not reported, estimates are based on the following assumptions with respect to advertising and digital advertising as part of overall revenue: for radio and tv, revenue based on CRTC returns with 100% of revenue for broadcast TV for private companies attributable to advertising and split between adv$ and Parliamentary appropriation for CBC, while for pay and specialty TV services the split between adv$ and subsciber $ is split based on the ratio of both elements reported for the sector as a whole by CRTC, i.e. 31 and 30% to adv$ in 2017 and 2018, respectively, and as updated annually by the Commission. Lastly, an estimate for TV services digital ads equally 5% and 6% in 2017 and 2018, respectively, and as reported, revised and updated in ThinkTV annual Net Advertising Volume Report; for newspapers, where revenues are not published in an annual report, entities that are primarily daily newspapers are assumed to have a split between adv$ and subscription $ 46/54. For papers like Torstar, advertising revenue is typically clearly identified in its annual reports. For Postmedia, total advertising revenue reported here is based on advertising revenue reported in the company's annual report and half of the "Digital" revenue assigned to advertising the remainder to subscription revenue. For daily and community newspapers, where the break down is not clear, the split is reported here as 60/40, and for community weeklies such as Transcontinent or the successor entitites that took over its community papers between 2016 and 2018, the split in 2018 was 89.5%/11.5% (splits based on revenue splits for each segment as a whole as determined from NewsMediaCanada figures); for magazines, 13.3% of revenue came from advertising, while the rest was from paid subscriptions. </t>
    </r>
  </si>
  <si>
    <t>Commercial Radio</t>
  </si>
  <si>
    <t>Public/CBC</t>
  </si>
  <si>
    <t>Paid Audio (SiriusXM, Stingray)</t>
  </si>
  <si>
    <t>Total Radio (Millions$)</t>
  </si>
  <si>
    <t>Sector</t>
  </si>
  <si>
    <t>Market Shares by Revenue (%)</t>
  </si>
  <si>
    <t>Stingray Country</t>
  </si>
  <si>
    <t>Stingray Loud</t>
  </si>
  <si>
    <t>Stingray POP</t>
  </si>
  <si>
    <t>Stingray Retro</t>
  </si>
  <si>
    <t>Stingray Vibe</t>
  </si>
  <si>
    <t>DAZN</t>
  </si>
  <si>
    <t>CR1 (Netflix)</t>
  </si>
  <si>
    <t>Total Subs (000s)</t>
  </si>
  <si>
    <t>Row Labels</t>
  </si>
  <si>
    <t xml:space="preserve"> </t>
  </si>
  <si>
    <t>National Amusements</t>
  </si>
  <si>
    <t>Pay and Specialty TV</t>
  </si>
  <si>
    <t>Online Video (SVOD, TVOD, AVOD)</t>
  </si>
  <si>
    <t>Total Subsciber $</t>
  </si>
  <si>
    <t>Total public $</t>
  </si>
  <si>
    <t>Thomson-Woodbridge</t>
  </si>
  <si>
    <t>Rem</t>
  </si>
  <si>
    <t>Western International Communications</t>
  </si>
  <si>
    <t>APTN</t>
  </si>
  <si>
    <t>TeleMetrole (Pathonic, Radio Nord, Télé Inter Rives and Télévision de la Baie des Chaleurs)</t>
  </si>
  <si>
    <t> </t>
  </si>
  <si>
    <t>Pooled CR4</t>
  </si>
  <si>
    <t>Conv. TV</t>
  </si>
  <si>
    <t>Pay &amp; Spec. TV</t>
  </si>
  <si>
    <t>Online Video</t>
  </si>
  <si>
    <t>Pooled Average HHI</t>
  </si>
  <si>
    <t xml:space="preserve">Online Video </t>
  </si>
  <si>
    <t>Canadian Theatrical/Feature Film</t>
  </si>
  <si>
    <t>Broadcaster In-House</t>
  </si>
  <si>
    <t xml:space="preserve">Canadian TV </t>
  </si>
  <si>
    <t>Foreign Location service</t>
  </si>
  <si>
    <r>
      <rPr>
        <b/>
        <sz val="12"/>
        <color theme="1"/>
        <rFont val="Times New Roman"/>
        <family val="1"/>
      </rPr>
      <t>Source and Notes</t>
    </r>
    <r>
      <rPr>
        <sz val="12"/>
        <color theme="1"/>
        <rFont val="Times New Roman"/>
        <family val="1"/>
      </rPr>
      <t>: Nordicity (various years). Economic Profile, Exhibit 1-2 Total volume of film and TV production in Canada (Study prepared for CMPA, Heritage Canada, Telefilm Canada &amp; Association québécoise de la production médiatique); CMPA/Heritage Canada (various years). Economic Profile, Exhibit 1-2 Total volume of film and TV production in Canada; CMPA (2010). Economic Profile, Exhibit 1-1 Total volume of film and TV production in Canada. Note: Year runs from April 1 to March 31.</t>
    </r>
  </si>
  <si>
    <t>Advertising $</t>
  </si>
  <si>
    <t>Subscriber $</t>
  </si>
  <si>
    <t>Public funding $</t>
  </si>
  <si>
    <t>Daily Newspaper Adv</t>
  </si>
  <si>
    <t>Daily Newspaper Circ</t>
  </si>
  <si>
    <t>Online Newspaper</t>
  </si>
  <si>
    <t>Government Subsidies (SCJ)</t>
  </si>
  <si>
    <t>Government Subsidies (LJI)</t>
  </si>
  <si>
    <t>Community Newspaper $</t>
  </si>
  <si>
    <t>Total Newspaper $</t>
  </si>
  <si>
    <t>Total Employed in Advertising, Marketing &amp; PR</t>
  </si>
  <si>
    <t>Total Full Time Employed Journalists</t>
  </si>
  <si>
    <r>
      <rPr>
        <sz val="9"/>
        <rFont val="Arial"/>
        <family val="2"/>
      </rPr>
      <t>Media</t>
    </r>
  </si>
  <si>
    <t>DARKSKY.NET</t>
  </si>
  <si>
    <t xml:space="preserve">Canadian </t>
  </si>
  <si>
    <t xml:space="preserve">US </t>
  </si>
  <si>
    <t>International (excluding US)</t>
  </si>
  <si>
    <t>Apple App Store Games</t>
  </si>
  <si>
    <t>Apple App Store Other</t>
  </si>
  <si>
    <t>Google Play Games</t>
  </si>
  <si>
    <t>Google Play Store Other</t>
  </si>
  <si>
    <t>Mobile</t>
  </si>
  <si>
    <t>Consoles</t>
  </si>
  <si>
    <t>PC</t>
  </si>
  <si>
    <t>Mobile (Millions CDN$)</t>
  </si>
  <si>
    <t>Console (Millions CDN$)</t>
  </si>
  <si>
    <t>PC (Millions CDN$)</t>
  </si>
  <si>
    <t>Digital Sales/Download (Millions CDN$)</t>
  </si>
  <si>
    <t>Other (millions CDN$)</t>
  </si>
  <si>
    <t>Total Revenue (Millions local$)</t>
  </si>
  <si>
    <t>Playtika</t>
  </si>
  <si>
    <t>Roblox</t>
  </si>
  <si>
    <t>Epic</t>
  </si>
  <si>
    <t>Ubisoft</t>
  </si>
  <si>
    <t>Sega Sammy</t>
  </si>
  <si>
    <t>Bandai Namco</t>
  </si>
  <si>
    <t>Revenue ($ millions)</t>
  </si>
  <si>
    <t>Warner</t>
  </si>
  <si>
    <t>Take-Two Interactive Software</t>
  </si>
  <si>
    <t>Valve</t>
  </si>
  <si>
    <t xml:space="preserve">HHI </t>
  </si>
  <si>
    <t>Physical Sales (Millions CDN$)</t>
  </si>
  <si>
    <t>Live Entertainment Revenue (Millions CDN$)</t>
  </si>
  <si>
    <t>Publishing Royalties (Millions CDN$)</t>
  </si>
  <si>
    <t>Subscriber Revenue (Millions CDN$)</t>
  </si>
  <si>
    <t>Ad Revenue (Millions CDN$)</t>
  </si>
  <si>
    <t>Other Revenue (Millions CDN$)</t>
  </si>
  <si>
    <t>Total (Millions CDN$)</t>
  </si>
  <si>
    <t>Traditional Music (Milllions CDN$)</t>
  </si>
  <si>
    <t>Digital Music (Milllions CDN$)</t>
  </si>
  <si>
    <t>Advertising Revenue (Millions CDN$)</t>
  </si>
  <si>
    <t>Other (Millions CDN$)</t>
  </si>
  <si>
    <t>Sony Music, Columbia</t>
  </si>
  <si>
    <t>YouTube Music</t>
  </si>
  <si>
    <t>Apple Music</t>
  </si>
  <si>
    <t>Amazon Prime Music</t>
  </si>
  <si>
    <t>Games (console, PC, mobile)</t>
  </si>
  <si>
    <t>ByteDance (TikTok)</t>
  </si>
  <si>
    <t xml:space="preserve">Agnes: Can you please add a second % axis on the right side of the chart to illustrate internet cos' share of revenue? </t>
  </si>
  <si>
    <t>Google % of online + legacy media</t>
  </si>
  <si>
    <t>Facebook % of online + legacy media</t>
  </si>
  <si>
    <t>Amazon % of online + legacy media</t>
  </si>
  <si>
    <t>Netflix % of online + legacy media</t>
  </si>
  <si>
    <t>Microsoft % of online + legacy media</t>
  </si>
  <si>
    <t>Apple % of online + legacy media</t>
  </si>
  <si>
    <t>Sony % of online + legacy media</t>
  </si>
  <si>
    <t>Spotify % of online + legacy media</t>
  </si>
  <si>
    <t>TikTok % of online + legacy media</t>
  </si>
  <si>
    <t>Activision Blizzard % of online + legacy media</t>
  </si>
  <si>
    <t>Twitter % of online + legacy media</t>
  </si>
  <si>
    <t>Online + legacy media ($ millions)</t>
  </si>
  <si>
    <t>Pooled average CR4</t>
  </si>
  <si>
    <t>Pooled average HHI</t>
  </si>
  <si>
    <t>Weighted CR4</t>
  </si>
  <si>
    <t>Online Music Services</t>
  </si>
  <si>
    <t>Total (millions$)</t>
  </si>
  <si>
    <t>Online</t>
  </si>
  <si>
    <t>Traditional</t>
  </si>
  <si>
    <t>Sector Revenue</t>
  </si>
  <si>
    <t>International cos' revenue share (%)</t>
  </si>
  <si>
    <t>Figure 79a: Weighted CR4 &amp; HHI for online/digital media w YT</t>
  </si>
  <si>
    <t>PooledHHI</t>
  </si>
  <si>
    <t>Leading International Internet Companies</t>
  </si>
  <si>
    <t>IBM</t>
  </si>
  <si>
    <t>Alibaba</t>
  </si>
  <si>
    <t>Salesforce</t>
  </si>
  <si>
    <t>Total revenue (millions $)</t>
  </si>
  <si>
    <t>Cloud Services</t>
  </si>
  <si>
    <t>South Korea</t>
  </si>
  <si>
    <t>Spain</t>
  </si>
  <si>
    <t>Mexico</t>
  </si>
  <si>
    <t>Inflator</t>
  </si>
  <si>
    <t>Total TV Adv (Millions)(Real$)</t>
  </si>
  <si>
    <t>Total Internet Adv (Millions)(Real$)</t>
  </si>
  <si>
    <t>Total Adv (Millions)(Real$)</t>
  </si>
  <si>
    <t>Per Capita TV Adv (Real$)</t>
  </si>
  <si>
    <t>Per Capita Internet Ad (Real$)</t>
  </si>
  <si>
    <t>Adv/Capita (Real$)</t>
  </si>
  <si>
    <t>Total Adv (Real$)</t>
  </si>
  <si>
    <t>Gross Domestic Income (Millions $)</t>
  </si>
  <si>
    <t>NME/GDI</t>
  </si>
  <si>
    <t>Population (Millions)</t>
  </si>
  <si>
    <t>Total # of Households (millions)</t>
  </si>
  <si>
    <t>NET ADVERTISING VOLUME</t>
  </si>
  <si>
    <t>Canada - Millions of Dollars (CDN Currency)</t>
  </si>
  <si>
    <t>Medium</t>
  </si>
  <si>
    <t>REPORTED ACTUALS</t>
  </si>
  <si>
    <t>Television</t>
  </si>
  <si>
    <t>Conventional</t>
  </si>
  <si>
    <t>Specialty</t>
  </si>
  <si>
    <t>Infomercial</t>
  </si>
  <si>
    <t>Daily Newspaper 3</t>
  </si>
  <si>
    <t>National</t>
  </si>
  <si>
    <t>Local</t>
  </si>
  <si>
    <t>Inserts</t>
  </si>
  <si>
    <t>Online 1</t>
  </si>
  <si>
    <t>Community Newspaper</t>
  </si>
  <si>
    <t>-</t>
  </si>
  <si>
    <t>All Newspaper 1,3</t>
  </si>
  <si>
    <t>Internet</t>
  </si>
  <si>
    <t>Search</t>
  </si>
  <si>
    <t>Social Media</t>
  </si>
  <si>
    <t>Classifieds/Directories</t>
  </si>
  <si>
    <t>Video</t>
  </si>
  <si>
    <t>Video Gaming</t>
  </si>
  <si>
    <t>Email</t>
  </si>
  <si>
    <t>General Magazines</t>
  </si>
  <si>
    <t>TOTAL ACTUALS</t>
  </si>
  <si>
    <t>Total NME $</t>
  </si>
  <si>
    <t>Adv $/Total NME $</t>
  </si>
  <si>
    <t>Subs $/Total NME $</t>
  </si>
  <si>
    <t>Subscriber $/Adv$</t>
  </si>
  <si>
    <t>Total Television Adv $</t>
  </si>
  <si>
    <t>Total Adv $</t>
  </si>
  <si>
    <t>TV Share of Total Adv $ (%)</t>
  </si>
  <si>
    <t>Internet Share of Total Adv $ (%)</t>
  </si>
  <si>
    <t>Per Capita Internet Advertising</t>
  </si>
  <si>
    <t>Per Capita Television Advertising</t>
  </si>
  <si>
    <t>Per Capita Total Advertising</t>
  </si>
  <si>
    <t>Internet Ad Concentration in Canada, 2009-2019</t>
  </si>
  <si>
    <t>Top 2 Market Share (Google &amp; Facebook)</t>
  </si>
  <si>
    <t>Top 4 Market Share</t>
  </si>
  <si>
    <t>Top 10 Market Share</t>
  </si>
  <si>
    <t>Canadian companies share (%)</t>
  </si>
  <si>
    <t>Canadian companies $ (millions)</t>
  </si>
  <si>
    <t>Internet Adv $</t>
  </si>
  <si>
    <t>Internet Adv $/Capita</t>
  </si>
  <si>
    <t>Total TV Adv $ (Millions)</t>
  </si>
  <si>
    <t>Total Internet Adv $ (Millions)</t>
  </si>
  <si>
    <t>Total Adv $ (Millions)</t>
  </si>
  <si>
    <t>Total Ad$ without Internet Ad$</t>
  </si>
  <si>
    <t>Total Media Economy $ (Millions)</t>
  </si>
  <si>
    <t>Adv $/Total Media Economy $ (%)</t>
  </si>
  <si>
    <t>Total NME (millions$)(Real$)</t>
  </si>
  <si>
    <t>Spending per person (current $)</t>
  </si>
  <si>
    <t>Spending per housheold (current$)</t>
  </si>
  <si>
    <t>Spending per person (real $)</t>
  </si>
  <si>
    <t>Spending per housheold (real$)</t>
  </si>
  <si>
    <t xml:space="preserve">Agnes: This is to be included in this workbook but there's no place for it in the report. </t>
  </si>
  <si>
    <t>Specialty and Pay TV Channels by Major Ownership Group (including those with partial ownership), 2022(Conventional TV Below)</t>
  </si>
  <si>
    <t>Shaw/Corus</t>
  </si>
  <si>
    <t>DHX</t>
  </si>
  <si>
    <t>ACTION (Showcase Action)</t>
  </si>
  <si>
    <t>Animal Planet</t>
  </si>
  <si>
    <t>FX (FX Canada)</t>
  </si>
  <si>
    <t>addikTV (Mystere)</t>
  </si>
  <si>
    <t>ICI ARTV (ARTV)</t>
  </si>
  <si>
    <t>Family CHRGD (Disney XD)</t>
  </si>
  <si>
    <t>Stingray Naturescape (formerly Stingray Ambiance)</t>
  </si>
  <si>
    <t>BC News 1 (formerly Global News Plus BC)</t>
  </si>
  <si>
    <t>Bell TV On Demand and Vu!</t>
  </si>
  <si>
    <t>FXX</t>
  </si>
  <si>
    <t>Canal Indigo</t>
  </si>
  <si>
    <t>CBC News Network (Newsworld)</t>
  </si>
  <si>
    <t>Telemagino/formerly Disney Junior (Telemagino)</t>
  </si>
  <si>
    <t>DéjàView</t>
  </si>
  <si>
    <t>Bell TV On Demand (formerly General Interest)</t>
  </si>
  <si>
    <t>Leafs TV</t>
  </si>
  <si>
    <t>CASA</t>
  </si>
  <si>
    <t>Documentary (The Canadian Documentary Channel)</t>
  </si>
  <si>
    <t>Family Channel (formerly Family)</t>
  </si>
  <si>
    <t>DIY Network</t>
  </si>
  <si>
    <t>Bell TV On Demand (Formerly Vu! On Demand)</t>
  </si>
  <si>
    <t>NBA TV</t>
  </si>
  <si>
    <t>Evasion</t>
  </si>
  <si>
    <t>ICI RDI</t>
  </si>
  <si>
    <t>Food Network</t>
  </si>
  <si>
    <t xml:space="preserve">Business News Network Bloomberg </t>
  </si>
  <si>
    <t>Outdoor Life Network (OLN)</t>
  </si>
  <si>
    <t>Illico sur demande (B)(1)</t>
  </si>
  <si>
    <t>ICI EXPLORA (SENS)</t>
  </si>
  <si>
    <t>H2 (Men TV)</t>
  </si>
  <si>
    <t>CTV Drama (Bravo!)</t>
  </si>
  <si>
    <t>OMNI Regional</t>
  </si>
  <si>
    <t>Le Canal Nouvelles (LCN)</t>
  </si>
  <si>
    <t>Stingray Hits</t>
  </si>
  <si>
    <t>HGTV</t>
  </si>
  <si>
    <t>CablePulse 24</t>
  </si>
  <si>
    <t>Rogers On Demand</t>
  </si>
  <si>
    <t>MOI&amp;cie (Mlle)</t>
  </si>
  <si>
    <t>Palmares Adisq par Stingray</t>
  </si>
  <si>
    <t>History TV</t>
  </si>
  <si>
    <t>CTV Comedy (Comedy Network)</t>
  </si>
  <si>
    <t>Rogers Sportnet PPV</t>
  </si>
  <si>
    <t>Prise 2</t>
  </si>
  <si>
    <t>Lifetime (Showcase Diva)</t>
  </si>
  <si>
    <t>CTV News Channel</t>
  </si>
  <si>
    <t>Rogers Sportsnet (Sportsnet)</t>
  </si>
  <si>
    <t>TVA Sports</t>
  </si>
  <si>
    <t>Movietime</t>
  </si>
  <si>
    <t>Discovery Channel</t>
  </si>
  <si>
    <t>Rogers Sportsnet One</t>
  </si>
  <si>
    <t>Yoopa (TVA Junior)</t>
  </si>
  <si>
    <t>Mystery/Crime Investigation+</t>
  </si>
  <si>
    <t>Discovery Science</t>
  </si>
  <si>
    <t>sportsnet 360 (formerly the Score)</t>
  </si>
  <si>
    <t>Zeste (Cuisine)</t>
  </si>
  <si>
    <t>NatGeo Wild</t>
  </si>
  <si>
    <t>Discovery Velocity/Discovery World HD</t>
  </si>
  <si>
    <t>Natl Geog</t>
  </si>
  <si>
    <t>E! (formerly Star!)</t>
  </si>
  <si>
    <t>Shaw On Demand</t>
  </si>
  <si>
    <t>ESPN Classic Canada</t>
  </si>
  <si>
    <t>Shaw PPV</t>
  </si>
  <si>
    <t>Investigation/formerly Canal D investigation</t>
  </si>
  <si>
    <t>Shaw PPV (formerly Home Theatre)</t>
  </si>
  <si>
    <t>Investigation Discovery (CourtTV)</t>
  </si>
  <si>
    <t>Showcase</t>
  </si>
  <si>
    <t>Slice</t>
  </si>
  <si>
    <t>STARZ/The Moive Network Encore (Mpix)</t>
  </si>
  <si>
    <t>DTOUR (Tvtropolis)</t>
  </si>
  <si>
    <t>MTV Canada</t>
  </si>
  <si>
    <t>ABC Spark (Harmony)(e) (Corus)</t>
  </si>
  <si>
    <t>MTV2 Canada</t>
  </si>
  <si>
    <t>CMT (e)</t>
  </si>
  <si>
    <t>CTV Life (Gusto)</t>
  </si>
  <si>
    <t>Cooking Channel (W Movies) (e)</t>
  </si>
  <si>
    <t>Much (MuchMusic)</t>
  </si>
  <si>
    <t>Disney Channel</t>
  </si>
  <si>
    <t>Disney Junior</t>
  </si>
  <si>
    <t>Crave/The Movie Network</t>
  </si>
  <si>
    <t>Disney XD</t>
  </si>
  <si>
    <t>Nortwestel</t>
  </si>
  <si>
    <t>Nickelodeon (e)</t>
  </si>
  <si>
    <t>CTV Sci-Fi (SPACE)</t>
  </si>
  <si>
    <t>OWN (e)</t>
  </si>
  <si>
    <t>The Sports Network</t>
  </si>
  <si>
    <t>Cartoon Network (Teletoon Retro English)</t>
  </si>
  <si>
    <t>Cablevision du nord de Quebec inc</t>
  </si>
  <si>
    <t>Teletoon/Teletoon</t>
  </si>
  <si>
    <t>Canal D (3)</t>
  </si>
  <si>
    <t>TreeHouse TV (e)</t>
  </si>
  <si>
    <t>Canal Vie</t>
  </si>
  <si>
    <t>W Network (e)</t>
  </si>
  <si>
    <t>Cinepop</t>
  </si>
  <si>
    <t>YTV (e)</t>
  </si>
  <si>
    <t>Reseau des Sports (RDS)</t>
  </si>
  <si>
    <t>La chaine Disney (since 2018)/Teletoon Retro French</t>
  </si>
  <si>
    <t>RDS Info</t>
  </si>
  <si>
    <t>Historia</t>
  </si>
  <si>
    <t>Super Ecran</t>
  </si>
  <si>
    <t>Series+</t>
  </si>
  <si>
    <t>Vrak TV</t>
  </si>
  <si>
    <t>Z/Ztele</t>
  </si>
  <si>
    <t>*Channel revnue not reported in the 2021 individual financial summaries &amp; no report of channel shutdown</t>
  </si>
  <si>
    <t>Pay + Specialty</t>
  </si>
  <si>
    <t>Conv TV stations</t>
  </si>
  <si>
    <t>Fairchild</t>
  </si>
  <si>
    <t>Blue Ant</t>
  </si>
  <si>
    <t>Radio Nord</t>
  </si>
  <si>
    <t>Labatts Brewery</t>
  </si>
  <si>
    <t>Electrohome</t>
  </si>
  <si>
    <t>WildBrain</t>
  </si>
  <si>
    <t>Pattison Media</t>
  </si>
  <si>
    <t>Craig</t>
  </si>
  <si>
    <t>Moffat</t>
  </si>
  <si>
    <t>Maple Leaf Sports &amp; Entertainment</t>
  </si>
  <si>
    <t>Atlantis</t>
  </si>
  <si>
    <t>Mid Canada Comm</t>
  </si>
  <si>
    <t>Blackburn</t>
  </si>
  <si>
    <t>Pathonic</t>
  </si>
  <si>
    <t>Sunwapta</t>
  </si>
  <si>
    <t>Allarcom</t>
  </si>
  <si>
    <t>YorktonTV</t>
  </si>
  <si>
    <t>Huron Broadcasting</t>
  </si>
  <si>
    <t>Year</t>
  </si>
  <si>
    <t>Total Revenue (Millions CDN$)</t>
  </si>
  <si>
    <t>Public Funding (Millions CDN$)</t>
  </si>
  <si>
    <t>Total $ (millions)</t>
  </si>
  <si>
    <t>Online Video Services no Youtube</t>
  </si>
  <si>
    <t>Advertising spending/household as % of HH Income/year</t>
  </si>
  <si>
    <t>Disney % of online + legacy media</t>
  </si>
  <si>
    <t>Google % of online media</t>
  </si>
  <si>
    <t>Facebook % of online media</t>
  </si>
  <si>
    <t>Amazon % of online media</t>
  </si>
  <si>
    <t>Netflix % of online media</t>
  </si>
  <si>
    <t>Microsoft % of online media</t>
  </si>
  <si>
    <t>Apple % of online media</t>
  </si>
  <si>
    <t>Sony % of onlinemedia</t>
  </si>
  <si>
    <t>Disney % of online media</t>
  </si>
  <si>
    <t>Spotify % of online media</t>
  </si>
  <si>
    <t>TikTok % of online media</t>
  </si>
  <si>
    <t>Activision Blizzard % of online media</t>
  </si>
  <si>
    <t>Twitter % of online media</t>
  </si>
  <si>
    <t>Online Media ($ millions)</t>
  </si>
  <si>
    <t>ISP Revenue Share (%)</t>
  </si>
  <si>
    <t>Wireline  (%)</t>
  </si>
  <si>
    <t>Complaints under Pay Television Regulations (1990), Broadcasting Distribution Regulations (1998), the Vertical Integration Code (2011), the New Media Exemption Order (2009), Digital Media Exemption Order (2012, revised in 2015), and Wholesale Code (2015)</t>
  </si>
  <si>
    <t>Source: OECD, Broadband Portal, Table 1.13. Mobile data usage per mobile broadband subscription per month, Dec. 2023. https://www.oecd.org/en/topics/sub-issues/broadband-statistics.html; for Canada, CRTC Communications Markets Reports. Mobile Phone Data Traffic. https://crtc.gc.ca/eng/publications/reports/PolicyMonitoring/mob.htm</t>
  </si>
  <si>
    <t>Household final consumption expenditure</t>
  </si>
  <si>
    <t>Communications by households total (millions)</t>
  </si>
  <si>
    <t>Home Media &amp; ICTs (including Computers) spending by households total (millions)</t>
  </si>
  <si>
    <t>Media Content &amp; Live Entertainment Spending by HH total (millions)</t>
  </si>
  <si>
    <t>Total Household Spending</t>
  </si>
  <si>
    <t>Streaming Subscriber Revenue (Millions CDN$)</t>
  </si>
  <si>
    <t>Streaming Ad Revenue (Millions CDN$)</t>
  </si>
  <si>
    <t>Traditional Music % of total $</t>
  </si>
  <si>
    <t>Digital Music % of total $</t>
  </si>
  <si>
    <t>Total Internet : Total Audience </t>
  </si>
  <si>
    <t>News/Information</t>
  </si>
  <si>
    <t>CBC-Radio Canada Sites</t>
  </si>
  <si>
    <t>MSN</t>
  </si>
  <si>
    <t>Yahoo News Network</t>
  </si>
  <si>
    <t>Pelmorex Corp.</t>
  </si>
  <si>
    <t>Postmedia Network Canada Corp.</t>
  </si>
  <si>
    <t>NBC News Digital</t>
  </si>
  <si>
    <t>CNN Network</t>
  </si>
  <si>
    <t>New York Times Digital</t>
  </si>
  <si>
    <t>BBC Sites</t>
  </si>
  <si>
    <t>Globe And Mail</t>
  </si>
  <si>
    <t>USA TODAY Network</t>
  </si>
  <si>
    <t>Apple News (Mobile App)</t>
  </si>
  <si>
    <t>Torstar Digital</t>
  </si>
  <si>
    <t>Zoomer Daily Hive BlogTO Sites</t>
  </si>
  <si>
    <t>Forbes Digital</t>
  </si>
  <si>
    <t>Fox News Media</t>
  </si>
  <si>
    <t>Future Tech</t>
  </si>
  <si>
    <t>Rogers Digital Media News</t>
  </si>
  <si>
    <t>NYPost Network</t>
  </si>
  <si>
    <t>Quebecor Nouvelles</t>
  </si>
  <si>
    <t>Business Insider</t>
  </si>
  <si>
    <t>Dailymail Sites</t>
  </si>
  <si>
    <t>The Guardian</t>
  </si>
  <si>
    <t>Reach Group</t>
  </si>
  <si>
    <t>Weather Company, The</t>
  </si>
  <si>
    <t>Times Internet Limited</t>
  </si>
  <si>
    <t>Reuters Sites</t>
  </si>
  <si>
    <t>CBS News</t>
  </si>
  <si>
    <t>Glacier Media Group</t>
  </si>
  <si>
    <t>WASHINGTONPOST.COM</t>
  </si>
  <si>
    <t>Dow Jones &amp; Company</t>
  </si>
  <si>
    <t>Narcity Media</t>
  </si>
  <si>
    <t>ABC News Digital</t>
  </si>
  <si>
    <t>CNET Group</t>
  </si>
  <si>
    <t>AccuWeather Sites</t>
  </si>
  <si>
    <t>NEWSWEEK.COM</t>
  </si>
  <si>
    <t>HT Media Group</t>
  </si>
  <si>
    <t>The Sun</t>
  </si>
  <si>
    <t>Environment Canada</t>
  </si>
  <si>
    <t>Groupe Figaro CCM Benchmark</t>
  </si>
  <si>
    <t>Associated Press</t>
  </si>
  <si>
    <t>Nexstar Inc.</t>
  </si>
  <si>
    <t>HuffPost Global (w/ history)</t>
  </si>
  <si>
    <t>The Independent</t>
  </si>
  <si>
    <t>Bloomberg</t>
  </si>
  <si>
    <t>Village Media Inc.</t>
  </si>
  <si>
    <t>Les Coops De L'information</t>
  </si>
  <si>
    <t>News &amp; Information Category - Top 35 Ranked by Average Monthly Uvs (000. Average Monthly Visitors (000) January - December 2024</t>
  </si>
  <si>
    <t>Cloud computing</t>
  </si>
  <si>
    <t>Telephone (Landline or mobile)</t>
  </si>
  <si>
    <t>High speed home internet (fibre optic, phone, cable, fixed wireless)</t>
  </si>
  <si>
    <t>BDU Subscription (cable, IPTV, DTH, other)</t>
  </si>
  <si>
    <t>The Advertising Economy, 2004-2024, I—Advertising Revenue for Television, the Internet and “All Media” (millions, current$)</t>
  </si>
  <si>
    <t>Telegraph</t>
  </si>
  <si>
    <t xml:space="preserve">OECD </t>
  </si>
  <si>
    <t>Pooled Average CR4</t>
  </si>
  <si>
    <t>AWS</t>
  </si>
  <si>
    <t>Oracle</t>
  </si>
  <si>
    <t>Apple iCloud</t>
  </si>
  <si>
    <t>Publishing Royalties + Physical Sales (Millions CDN$)</t>
  </si>
  <si>
    <t>Online Video Servces (without YouTube video sharing platform)</t>
  </si>
  <si>
    <t>Online Video Market HHI</t>
  </si>
  <si>
    <t>Big Tech share</t>
  </si>
  <si>
    <t>last updated July 14, 2023</t>
  </si>
  <si>
    <t>Total Newspaper online adv$</t>
  </si>
  <si>
    <t>Sources: ThinkTV Net Advertising Volume Report (various years), Iab.canada 2016 Actual + 2017 Estimated Internet Ad Revenue. http://iabcanada.com/annual-internet-advertising-revenue-reports/, p. 8 (plus various years). Television: Linear revenue - CRTC; Online revenue - TVB | Daily &amp; Community Newspaper: Newspapers Canada | Radio: CRTC | Internet: IAB | General Magazine: Magazines Canada | Outdoor: Estimate of net revenue based on NMR data | Population: Statistics Canada Mid-Year Population by Year. Note 1 - Indicated online revenue is not included in the totals for Reported Media to avoid double counting with the revenue reported by the IAB in the Internet section. | Note 2 - While online revenue is not double counted in the totals, the share figures for each medium include the revenue generated by their online properties. The Internet share number includes online revenue for all media therefore the share figures overlap and will sum to greater than 100%. | Note 3 - Dailies changed the methodology for calculating their breakdown in 2010. In 2012 revenue from free papers was added to the total. | Note - Some figures may differ from previous charts due to updating. Broadcast revenue is based on the broadcast calendar (Sep-Aug). All other figures are based on calendar year. | Online Note - Effective 2013 a leading publisher began reporting its Online (i.e. desktop/laptop) revenues solely under the Online Search format, rather than across Online Directories and Online Display for 2012 and earlier. This has resulted in a substantial shift of reported 2013 revenues into the Online Search bucket and away from Online Directories primarily and Online Display. Therefore for trending purposes, 2012 revenues are also reclassified for all three formats in Total Canada. Note: reclassified 2012 revenues cannot be compared to 2011. Mobile is defined as tablet and smartphone revenues regardless of type of connection (wifi or cellular). Mobile revenue is comprised of multiple formats, such as display, search, video and others.</t>
  </si>
  <si>
    <t>CAGR 2020-2024 %</t>
  </si>
  <si>
    <t xml:space="preserve">Quint 1 </t>
  </si>
  <si>
    <t>Quint 2</t>
  </si>
  <si>
    <t>Quint 3</t>
  </si>
  <si>
    <t xml:space="preserve">Quint 4 </t>
  </si>
  <si>
    <t>Quint 5</t>
  </si>
  <si>
    <t>Statistics Canada Statistics Canada (2025), Labour Force Survey, custom tabulation: Total
employment for journalists (NOC 51113) and Professional occupations in advertising, marketing and public relations (NOC 11202). Statistics Canada's (2023) Labour Force Survey transitioned from the National Occupational Classification (NOC) 2016 to version 2021 in January 2023. Its estimates for the number of full-time journalists were also revised slightly, showing a few hundred more or less full-time journalists in any given year for the period 2006-2021 than originally reported. These changes do not alter the story one way or another.</t>
  </si>
  <si>
    <t>Traditional Games (Consoles)</t>
  </si>
  <si>
    <t>Total revenue</t>
  </si>
  <si>
    <t>Digital Games (except consoles)</t>
  </si>
  <si>
    <t>Games (just consoles)</t>
  </si>
  <si>
    <t>Print Magazines</t>
  </si>
  <si>
    <t>Figure 42: HHI Scores for the communications infrastructure, 1984 – 2022 (Based on Revenue)</t>
  </si>
  <si>
    <t>Figure 41: The Rise and Fall of Advertising-funded Traditional Media, 1984-2024 (millions, current$). Radio figures are already added. Please don’t change.</t>
  </si>
  <si>
    <t>Access Industries</t>
  </si>
  <si>
    <t>Mobile wireless 2,745.3</t>
  </si>
  <si>
    <t>Magazines 246.119</t>
  </si>
  <si>
    <t>Online news 411</t>
  </si>
  <si>
    <t>Video games 838.2</t>
  </si>
  <si>
    <t>Newspapers 681.2</t>
  </si>
  <si>
    <t>Radio 1223.1</t>
  </si>
  <si>
    <t>Network media economy (pooled average) 967.08</t>
  </si>
  <si>
    <t>Streaming video services (SVOD, TVOD, AVOD &amp; ad-funded VSP) 1958.6</t>
  </si>
  <si>
    <t>Social Media Platforms 2307</t>
  </si>
  <si>
    <t>Network media economy (weighted average) 2490</t>
  </si>
  <si>
    <t>Broadcast TV 2792.8</t>
  </si>
  <si>
    <t>Internet advertising 3297.7</t>
  </si>
  <si>
    <t>Desktop Web Browser 4103.5</t>
  </si>
  <si>
    <t>Mobile Web Browser 4345.3</t>
  </si>
  <si>
    <t>Desktop OS 5047.1</t>
  </si>
  <si>
    <t>App Stores 5042.5</t>
  </si>
  <si>
    <t>Mobile OS 5148.5</t>
  </si>
  <si>
    <t>Desktop Search 6848</t>
  </si>
  <si>
    <t>Mobile Search 9409.5</t>
  </si>
  <si>
    <t>All TV 1222.67</t>
  </si>
  <si>
    <t>Digital Music</t>
  </si>
  <si>
    <t>Snap</t>
  </si>
  <si>
    <t>Total Revenue (2024)(CDN$ millions)</t>
  </si>
  <si>
    <r>
      <rPr>
        <b/>
        <sz val="12"/>
        <color theme="1"/>
        <rFont val="Times New Roman"/>
        <family val="1"/>
      </rPr>
      <t>Sources and note</t>
    </r>
    <r>
      <rPr>
        <sz val="12"/>
        <color theme="1"/>
        <rFont val="Times New Roman"/>
        <family val="1"/>
      </rPr>
      <t>: Meta's Annual Report 2023, p. 103 identifies revenue for US and Canada for 2021 to 2023 ($52.88 billion for 2023) and in a footnote to its revenue figures gives a stand-alone figure for the U.S. in 2023 of $49.78 billion for the US. The balance, therefore, is attributable to Canada. The residual for Canada is $3,108 million (USD) or $4,194.87 million CDN$ at currency exchange rate of 1.3497 CDN$:USD. 
Data for year-over-year monthly average users (MAU) for 2017 and thereafter is from DataReportal Digital in Canada and based on reported advertising reach data. https://datareportal.com/digital-in-canada. The years between 2011 and 2016 are based year-over-year MAU from eMarketer (2024). Social Network Users, by Platform (Canada): Internet users of any age who access their Facebook account via any device at least once per month.</t>
    </r>
  </si>
  <si>
    <t>Figure 41: CR4 scores for the communications infrastructure, 1984 – 2022 (Based on Revenue)</t>
  </si>
  <si>
    <t>Huron Telecom</t>
  </si>
  <si>
    <t>Xplornet Communications</t>
  </si>
  <si>
    <t>Cloud computing 2963.29</t>
  </si>
  <si>
    <t>Pay &amp; specialty TV 2266.16</t>
  </si>
  <si>
    <t>Music services (legacy, online, including live concerts) 1794.28</t>
  </si>
  <si>
    <t>Total advertising all media 2039.02</t>
  </si>
  <si>
    <t>Per Household Advertising ($)</t>
  </si>
  <si>
    <t>Total NME (Real$)</t>
  </si>
  <si>
    <t>Telecom without cloud computing</t>
  </si>
  <si>
    <t>NME without cloud computing</t>
  </si>
  <si>
    <t>People / Household</t>
  </si>
  <si>
    <t>Population millions</t>
  </si>
  <si>
    <t>Household millions</t>
  </si>
  <si>
    <t>Home Media &amp; ICTs spending per person (current $)</t>
  </si>
  <si>
    <t>Media Content and Live Entertainment spending per person (current $)</t>
  </si>
  <si>
    <t>Communications spending per person (real $)</t>
  </si>
  <si>
    <t>Home Media &amp; ICTs spending per person (real $)</t>
  </si>
  <si>
    <t>Media Content and Live Entertainment spending per person (real $)</t>
  </si>
  <si>
    <t>Total spending per person (real $)</t>
  </si>
  <si>
    <t>Total Spending per person (current $)</t>
  </si>
  <si>
    <t>Canada (with cloud computing)</t>
  </si>
  <si>
    <t>NordStar Capital</t>
  </si>
  <si>
    <t>Cable/DTH/IPTV  (national) 2202.17</t>
  </si>
  <si>
    <t>NME w/o cc</t>
  </si>
  <si>
    <t>Communications Avg $/HH  (real $)</t>
  </si>
  <si>
    <t>Home Media &amp; ICTs (including Computers) Avg $/HH (real $)</t>
  </si>
  <si>
    <t>Media Content and Live Entertainment Avg $/HH (real $)</t>
  </si>
  <si>
    <t>Houshold spending  (real $)</t>
  </si>
  <si>
    <t xml:space="preserve">Media &amp; Live Entertainment </t>
  </si>
  <si>
    <t>2012  (or nearest year)</t>
  </si>
  <si>
    <t>Revenue (millions US$)</t>
  </si>
  <si>
    <t>Share of reported $</t>
  </si>
  <si>
    <t>Share of World NME</t>
  </si>
  <si>
    <t>2023 (or nearest year)</t>
  </si>
  <si>
    <t xml:space="preserve">India </t>
  </si>
  <si>
    <t xml:space="preserve">Turkey </t>
  </si>
  <si>
    <t>Total Media Economy (millions, USD) GMICP country's reporting</t>
  </si>
  <si>
    <t>GMICP Media Economy/World Media Economy</t>
  </si>
  <si>
    <t>Total World Media Economy (estimated)</t>
  </si>
  <si>
    <t>CR2</t>
  </si>
  <si>
    <t>Figure 2: Worlds Biggest Media Economies</t>
  </si>
  <si>
    <t xml:space="preserve">Figure 3: Development of the network media economy, 1984-2024 (current $, millions) </t>
  </si>
  <si>
    <t>Figure 4: Growth, Stagnation, Decline and Recovery in the NME, 2024</t>
  </si>
  <si>
    <t>Figure 5: Household Spending on Communications and Media Services and ICTs, 1982-2023</t>
  </si>
  <si>
    <t>Figure 6: Leading telecom, internet, cloud computing and media companies in Canada, 2024 (based on revenue, millions$)</t>
  </si>
  <si>
    <t>Figure 6: Leading telecom, internet, and media companies in Canada, 2024 (based on revenue, millions$)</t>
  </si>
  <si>
    <t>Leading companies</t>
  </si>
  <si>
    <t>Province weight</t>
  </si>
  <si>
    <t xml:space="preserve">Source and methodological note: These data are based primarily on provincial subscriber market share data for the big three national mobile operators—Bell, TELUS and Rogers—released by the CRTC as part of its annual Communications Market Report. See CRTC (2024). Communications Market Report, Open Data--Mobile. Provincial/territorial subscriber market share of Bell, TELUS, Rogers and other providers (%), 2013-2024. The CRTC, in turn, uses primary data provided by relevant carriers to produce subscriber market share figures. 
The estimates in this figure are meant to overcome two limits in the CRTC’s provincial mobile wireless data. First, the Commission’s figures only cover market share by subscriber, not revenue. To estimate provincial revenue figures for Bell, Telus and Rogers, we multiply their provincial subscriber numbers by each of their respective ARPU. The ARPU for all companies is total revenue / number of mobile subscribers, not the figure they report in their annual reports/financial statments. A second limitation to the CRTC’s Open Data—Mobile set is that it does not include revenue or subscriber figures for Freedom Mobile, Videotron or Eastlink, although Videotron’s subscriber numbers in Quebec can be inferred from the data provided, as can Sasktel’s in Saskatchewan. 
Steps taken to fill the provincial revenue and subscriber gaps for Videotron, Eastlink and TBayTel. 
First, we start by identifying their respective operating territories: Quebecor indicates that after its acquisition of Freedom Mobile in 2023, its subscriber base was split as follows: 45% for Quebec, 40% for Ontario and 15% for Western Canada. For the latter, we split the subscriber based in both provinces 8.07% BC and the rest to Alberta based on their respective shares of both provinces population (Quebecor, Management Discussion and Analysis, 2024, pp. 8, 13). Eastlink operates mainly in the Atlantic Provinces but also operates in a few towns in Northern Ontario. TBayTel services Thunder Bay, Ontario and nearby areas, with data for it coming from it’s annual report. Eastlink does not publicly release any data on its telecoms operations. 
Second, provincial population rates are estimated using Statistics Canada's population estimates quarterly by province. 
Third, we then multiply provincial population rates by the CRTC’s estimates for mobile subscriber penetration rates by province. See CRTC (2024). Communications Market Report, Open Data--Mobile. Tab MB-S6 Mobile subscriber penetration rates, as a percent of total population, by province/territory (%), 2015-2024. 
Fourth, total revenue for each of the regional operators—Videotron, Eastlink and TBayTel—is divided by their subscriber numbers to obtain an average revenue per user (ARPU) (not the one they post in their annual reports). 
Eastlink ARPU ($87.75) and estimated number of subscribers (275,422.5) are used to calculate revenue market shares, based on end of year subscribers for 2023. Eastlink was estimated to have 8,959 subscribers in Ontario in 2023, which was the residual left over after summing up the number of Bell, Rogers, Telus, Shaw, Videotron and TBayTel’s subscribers. That amount was than subtracted from its total subscriber base for its operations in the Atlantic provinces. Those subscribers were then assigned to NB, NS, Newfoundland and Labrador, and PEI according to each province’s respective share of population and subscribers, as indicated in Statistics Canada's population estimates quarterly by province and CRTC (2024). Communications Market Report, Open Data--Mobile. Tab MB-S6 Mobile subscriber penetration rates, as a percent of total population, by province/territory (%), 2015-2023. 
Fifth, we add the number of subscribers accounted for by each of the regional / provincial operators to the CRTC’s denominator to calculate an “adjusted” market share for Bell, Rogers and Telus in each of the provinces the operate in. Provincial revenue estimates for each of the three national mobile operators are estimated by multiplying their subscriber numbers in each province by their ARPU (which also has the unfortunate effect of washing out important regional differences in pricing).  </t>
  </si>
  <si>
    <t>Figure 9: Canada's communications and media economy (current $, millions), 1969 (or most recent year)</t>
  </si>
  <si>
    <t>Figure 8: Merger Guidelines in U.S., European Union and China</t>
  </si>
  <si>
    <t>Figure 10: Leading Communication in Canada based in revenue (current $, millions), 1984</t>
  </si>
  <si>
    <t>Figure 11: Telecoms, broadcasting &amp; publishing companies in Canada, 1984 (current $, millions),</t>
  </si>
  <si>
    <t xml:space="preserve">Figure 12: Canada's communications and media economy  (current $, millions), 1969, 1984 &amp; 1996 </t>
  </si>
  <si>
    <t>Figure 13: Major Communications &amp; Media Ownership Changes in Canada, 1994-2024</t>
  </si>
  <si>
    <t>Mobile Wireless ARPU/mo per person</t>
  </si>
  <si>
    <t>Mobile Wireless ARPU/annum per person</t>
  </si>
  <si>
    <t>Internet Access ARPU/annum per person</t>
  </si>
  <si>
    <t>Communications spending per annum per person (current $)</t>
  </si>
  <si>
    <t>Mobile Wireless ARPU/mo/person</t>
  </si>
  <si>
    <t>Communications spending/mo/person (current $)</t>
  </si>
  <si>
    <t>Internet Access ARPU/mo/person</t>
  </si>
  <si>
    <t>Home Media &amp; ICTs spending /mo/person (current $)</t>
  </si>
  <si>
    <t>Media Content and Live Entertainment spending/mo/person (current $)</t>
  </si>
  <si>
    <t>Total Spending/mo/person current $)</t>
  </si>
  <si>
    <t>Wireline 3225.22</t>
  </si>
  <si>
    <t>Internet access (national) 1604.90</t>
  </si>
  <si>
    <t>w/o cc</t>
  </si>
  <si>
    <t>BDU subscription/total households</t>
  </si>
  <si>
    <t>Figure 38: Communications infrastructure revenue, 1984-2024</t>
  </si>
  <si>
    <t>Figure 15: Communication vs Content at Canada’s Vertically-Integrated Telecoms and Media Companies, 2024 (Ratio by
Revenue)</t>
  </si>
  <si>
    <t>Figure 14: Vertical Integration and the Network Media Ecology in Canada (2024) vs U.S. (2023) (Market share based on revenue)</t>
  </si>
  <si>
    <t>Total Revenue (CDN$ millions)</t>
  </si>
  <si>
    <t>Revenue (millions)</t>
  </si>
  <si>
    <t>Figure 16: Separate Media, Distinct Evolutionary Paths and the Network Media Economy, 1984-2024 (current $, millions)</t>
  </si>
  <si>
    <t>Figure 17: Telecoms &amp; Internet Access Sectors, 1984-2024 (current $, millions)</t>
  </si>
  <si>
    <t>Figure 18: Distribution Market share by Subscriber Lines and Type of Service, 2024</t>
  </si>
  <si>
    <t>Figure 19: Distribution Market share by Type of Service and Revenue, 2024</t>
  </si>
  <si>
    <t>Figure 20: CR Scores for the Telecom &amp; Internet Access Sectors, 1984 – 2022 (Based on Revenue)</t>
  </si>
  <si>
    <t>Figure 21: HHI Scores for the Telecom &amp; Internet Access Sectors, 1984 – 2024 (Based on Revenue)</t>
  </si>
  <si>
    <t>Figure 22: Mobile Wireless Markets in Select Countries Ranked by Revenue, 2021-2024 (millions CDN$)</t>
  </si>
  <si>
    <t>Figure 23: Communication Services &amp; Devices vs the CPI, 2002-2024</t>
  </si>
  <si>
    <t>Figure 24 Household Access to Information and Communication Technologies by Income Quintile, 2023</t>
  </si>
  <si>
    <t>Figure 25: National Mobile Operators' Plan and Service Average Revenue Per User, 2020 vs 2023</t>
  </si>
  <si>
    <t>Figure 26: OECD wireless broadband subscriptions per 100 inhabitants, by technology, December 2024</t>
  </si>
  <si>
    <t>Figure 27 Mobile data usage per mobile broadband subscription per month, 2017-2024</t>
  </si>
  <si>
    <t>Figure 28 Mobile Wireless Operators’ National Market Share, 1985-2023 (based on revenue)</t>
  </si>
  <si>
    <t>Figure 29: Province mobile wireless market shares, by subscriber, 2024</t>
  </si>
  <si>
    <t>Figure 30: Province mobile wireless market shares, by revenue, 2024</t>
  </si>
  <si>
    <t>Figure 31: The Growth of Telecom Operator IPTV Subscribers in Canada (000s), 2004–2024</t>
  </si>
  <si>
    <t>Figure 32: The Growth of Telecom Operators IPTV Revenues in Canada, 2004–2024 (current $, millions)</t>
  </si>
  <si>
    <t>Figure 33: Broadcasting distribution revenues by type of provider, 2004–2024 (current $, millions)</t>
  </si>
  <si>
    <t>Figure 34: The Decline of Monopoly Cable TV: Cable Companies vs Telephone Companies Market Share Based on Revenue, 1996-2024</t>
  </si>
  <si>
    <t>Figure 35: National BDU market: "Before" vs "after" Rogers-Shaw Deal (based on revenue)</t>
  </si>
  <si>
    <t>Figure 36: Residential Internet Access Services by Type of ISP: Market Share, CR4 and HHI Scores based on Subscribers, 2000-2024</t>
  </si>
  <si>
    <t>Figure 37: Residential Internet Access Services by Type of ISP: Market Share based on Revenue, 2000-2024</t>
  </si>
  <si>
    <t>Figure 38: National retail internet access market: "Before" vs "after" Rogers-Shaw Deal (based on revenue)</t>
  </si>
  <si>
    <t>Figure 39: Fibre and total fixed broadband subscriptions per 100, Dec. 2024</t>
  </si>
  <si>
    <t>Figure 40: Vertically Integrated Communications Conglomerates vs Big Tech and Streaming Media Services Market Share based on revenue, 1984-2024</t>
  </si>
  <si>
    <t>1 yr</t>
  </si>
  <si>
    <t>3 yr</t>
  </si>
  <si>
    <t>5 yr</t>
  </si>
  <si>
    <t>4 yr</t>
  </si>
  <si>
    <t>Since 2008</t>
  </si>
  <si>
    <t>Alphabet does not dominate either because not in top 3 players in highly concentrated sector or sector is not concentrated</t>
  </si>
  <si>
    <t>Internet advertising general</t>
  </si>
  <si>
    <t>Internet advertising search</t>
  </si>
  <si>
    <t>Internet advertising video</t>
  </si>
  <si>
    <t>Search Engines-Mobile</t>
  </si>
  <si>
    <t>Search Engines-Desktop</t>
  </si>
  <si>
    <t>Social media</t>
  </si>
  <si>
    <t>Mobile O/S</t>
  </si>
  <si>
    <t>Desktop O/S</t>
  </si>
  <si>
    <t>Mobile browser</t>
  </si>
  <si>
    <t>Desktop browswer</t>
  </si>
  <si>
    <t xml:space="preserve">App distribution </t>
  </si>
  <si>
    <t>Cloud services</t>
  </si>
  <si>
    <t>Internet news</t>
  </si>
  <si>
    <t>Figure 72: Gaming Industry Revenues in Canada, 1984-2024(current $, millions)</t>
  </si>
  <si>
    <t xml:space="preserve">Figure 73: Leading Games Platforms and Publishers in Canada, 2024 (current $, millions) </t>
  </si>
  <si>
    <t>Figure 74: Gaming Publishers and Platforms, 2024 (Market Share based on $)</t>
  </si>
  <si>
    <t>Figure 75: Total Music Industry Revenues in Canada, 1984—2024 (current $, millions)</t>
  </si>
  <si>
    <t>Figure 76: Music Platforms and Publishing, 2024 (Market Share based on $)</t>
  </si>
  <si>
    <t>Alphabet dominates (i.e. top 2-3 players in highly concentrated market)</t>
  </si>
  <si>
    <t>Figure 41: Appstore distribution and video game app revenue, 2011-2024 (current$, millions)</t>
  </si>
  <si>
    <t>Figure 71: Internet News Sources--Share of Average Monthly Users, 2024</t>
  </si>
  <si>
    <t>Figure 42: Cloud computing in Canada, market share based on revenue, 2024</t>
  </si>
  <si>
    <t>Figure 43: Traditional and online media revenue, 1984-2024 (current $ millions)</t>
  </si>
  <si>
    <t xml:space="preserve"> Figure 44: Online media services vs legacy content media, 2000-2024 (Current $, Millions)</t>
  </si>
  <si>
    <t>Figure 45: The Rise and Fall of Advertising-funded Traditional Media, 1984-2024 (millions, current$)</t>
  </si>
  <si>
    <t>Figure 46: Internet Advertising Outstrips Advertising on Television and Other Media by a Widening Margin, 1984-2024</t>
  </si>
  <si>
    <t>Figure 47: Advertising Spending as a Percentage of Canadian Gross Domestic Income and Household Income, 2004-2024</t>
  </si>
  <si>
    <t>Figure 48: Advertising spending as a percentage of network media economy revenue, 2004-2024</t>
  </si>
  <si>
    <t>Figure 49: Advertising spending per capita, 2004-2024 (millions, current$)</t>
  </si>
  <si>
    <t>Figure 50: Internet Advertising: Revenue, Market Shares and Concentration Scores (based on $), 2014-2024</t>
  </si>
  <si>
    <t>Figure 51: Search Engines--Desktop, Market Shares, and Concentration Levels, 2009-2024</t>
  </si>
  <si>
    <t>Figure 52: Google’s Vertically-Integrated Ad-Tech Stack</t>
  </si>
  <si>
    <t>Figure 53: Alphabet's cross digital market dominance in Canada, 2024</t>
  </si>
  <si>
    <t>Figure 54: Social Media Sites, 2011-2024</t>
  </si>
  <si>
    <t>Figure 55: Meta's Canadian subscribers and average revenue per user (ARPU), 2011-2024</t>
  </si>
  <si>
    <t>Figure 57: CR 1 and CR4 scores and vertically integrated communications conglomerates vs big tech and streaming media services, 1984-2024 (market share based on revenue)</t>
  </si>
  <si>
    <t>Figure 58: Upheaval and the remaking of radio, 1984-2024 (current $, millions)</t>
  </si>
  <si>
    <t>Figure 59: Online video market growth in Canada: 2011-2024 (millions, current$)</t>
  </si>
  <si>
    <t>Figure 60: Online video market concentration trends 2015, 2019, 2024 (based on revenue)</t>
  </si>
  <si>
    <t>Figure 61: Online video market concentration, 2024 (based on subscribers)</t>
  </si>
  <si>
    <t>Figure 63: Growth &amp; Upheaval in the Canadian Video Market, 1984-2024 (current$, millions)</t>
  </si>
  <si>
    <t>Figure 64: Television ownership groups and the evolution of television, 1984-2024 (based on revenue, millions $)</t>
  </si>
  <si>
    <t>Figure 65: CR Scores for Television, 1984-2024</t>
  </si>
  <si>
    <t>Figure 66: HHI Scores for Television, 1984-2024</t>
  </si>
  <si>
    <t>Figure 67: Total Film and TV Production in Canada, 2001-2023 (millions, current$)</t>
  </si>
  <si>
    <t>Figure 68: Changes in how we pay for television--advertising, subscriber fees, and public funds, 1984-2024</t>
  </si>
  <si>
    <t>Figure 69: Newspaper Revenue, 2004-2024 (current$, millions)</t>
  </si>
  <si>
    <t>Figure 70: Journalists vs the PR, Advertising and Marketing Professions, 1987-2024</t>
  </si>
  <si>
    <t>internet advertising online retail</t>
  </si>
  <si>
    <t>Internet advertising social &amp; display</t>
  </si>
  <si>
    <t>Paramount+</t>
  </si>
  <si>
    <t>Total Revenue ($ millions)</t>
  </si>
  <si>
    <t xml:space="preserve">Figure 77: Leading Music Streaming and Publishers in Canada, 2024 (current $, millions) </t>
  </si>
  <si>
    <t>Figure 78: Growth of the online media economy, 2011-2024 (current $, millions)</t>
  </si>
  <si>
    <t>Figure 81: Leading media aggregation, distribution, and content companies in Canada, 2024 (Millions$)</t>
  </si>
  <si>
    <t>Figure 84: CR  1, 4 and 10 Scores and Vertically Integrated Company Market Share for the Network Media Economy, 1984-2024</t>
  </si>
  <si>
    <t>Figure 85 Weighted HHI for Total NME, 1984-2024</t>
  </si>
  <si>
    <t>Figure 86: Select international comparison of CR4 and HHI figures, 2024 (or closest year)</t>
  </si>
  <si>
    <t>Digital content aggregators &amp; distributors % of online media</t>
  </si>
  <si>
    <t>Digital content aggregators &amp; distributors % of online + legacy media</t>
  </si>
  <si>
    <t>Digital content aggregators &amp; distributors share of online media (%)</t>
  </si>
  <si>
    <t>Digital content aggregators &amp; distributors share of online + legacy media (%)</t>
  </si>
  <si>
    <t xml:space="preserve">Figure 79: Digital content aggregation &amp; distribution platforms' growing share of online and legacy media revenue 2014-2024 (current $, millions)    </t>
  </si>
  <si>
    <t>Figure 80: Leading digital content aggregation and distribution platforms in Canada, 2024 (millions$)</t>
  </si>
  <si>
    <t>*No YouTube</t>
  </si>
  <si>
    <t>Figure 82: Weighted and pooled HHI for online media, 2011-2024</t>
  </si>
  <si>
    <t>Figure 83: Weighted and pooled HHI for online &amp; traditional media, 1984-2024</t>
  </si>
  <si>
    <t>1984 real $</t>
  </si>
  <si>
    <t>2000 real$</t>
  </si>
  <si>
    <t>Paramount</t>
  </si>
  <si>
    <t>Average all countries without cloud services</t>
  </si>
  <si>
    <t>Average all countries with cloud services</t>
  </si>
  <si>
    <t>Average peer countries with cloud services</t>
  </si>
  <si>
    <t>Average peer countries without cloud services</t>
  </si>
  <si>
    <t>Figure 62: Online Video Distributors, 2015, 2020 vs 2024 (Market Share based on revenue) with YT</t>
  </si>
  <si>
    <t>Figure 7: Concentration Rankings based on HHI Scores, 2024</t>
  </si>
  <si>
    <t>Figure 56: Advertising Revenue across all media, market shares and concentration Scores, 2017 versus 2020 and 2024</t>
  </si>
  <si>
    <r>
      <rPr>
        <b/>
        <sz val="12"/>
        <color theme="1"/>
        <rFont val="Aptos Narrow"/>
        <family val="2"/>
        <scheme val="minor"/>
      </rPr>
      <t>Core internet applications and sectors</t>
    </r>
    <r>
      <rPr>
        <sz val="12"/>
        <color theme="1"/>
        <rFont val="Aptos Narrow"/>
        <family val="2"/>
        <scheme val="minor"/>
      </rPr>
      <t>: Online news sources; Search engines; Social media and video sharing platforms; Mobile and Desktop operating systems; and Mobile and Desktop browsers</t>
    </r>
  </si>
  <si>
    <r>
      <rPr>
        <b/>
        <sz val="12"/>
        <rFont val="Aptos Narrow"/>
        <family val="2"/>
        <scheme val="minor"/>
      </rPr>
      <t>Telecoms and internet access services</t>
    </r>
    <r>
      <rPr>
        <sz val="12"/>
        <rFont val="Aptos Narrow"/>
        <family val="2"/>
        <scheme val="minor"/>
      </rPr>
      <t>: wireline telecoms; mobile wireless service; internet service providers; cloud computing; BDU (Cable, Sat &amp; IPTV)</t>
    </r>
  </si>
  <si>
    <r>
      <rPr>
        <b/>
        <sz val="12"/>
        <color theme="1"/>
        <rFont val="Aptos Narrow"/>
        <scheme val="minor"/>
      </rPr>
      <t xml:space="preserve">Online and traditional media services: </t>
    </r>
    <r>
      <rPr>
        <sz val="12"/>
        <color theme="1"/>
        <rFont val="Aptos Narrow"/>
        <family val="2"/>
        <scheme val="minor"/>
      </rPr>
      <t>Broadcast TV; Pay &amp; Specialty TV;  Streaming video services (SVOD, TVOD, AVOD); Radio (ad-funded, public service and paid subscription); Internet advertising; Traditional Music (physical, publishing, live concerts); Streaming music (paid subscription and ad-funded streaming services and downloads); Video games (console, PC and mobile); App distribution; Newspapers; Magazines.</t>
    </r>
  </si>
  <si>
    <t xml:space="preserve">Note: V2 (Revised) of this table modifies Statistics Canada Household Expenditure categories in three ways: first, it takes the purchase of telephone equipment out of the "Communications" category and puts it in the Home Entertainment Category. The goal is to give a "purer" conception of communication services. Second, it takes computer equipment out of "recreational services" and puts it in the Home Entertainment Equipment category to capture its emergence as a significant part of people's home communications and entertainment equipment/devices. Third, it takes the rental of "video recordings" out of the Home Entertainment Equipment category and puts it in the Media Content and Live Entertainment category to get a "purer" division between "devices" in the former and "content" in the latter. This latter category includes: Video and audio subscription services except traditional BDU service, movie theatres, live sports events, live performing arts, admissions to museums and other activities, pre-recorded audio and video cassettes, CDs, DVD and video games, reading materials and other printed matter. </t>
  </si>
  <si>
    <t>Sources: Statistics Canada (1982). Table 78A97 Detailed Aggregate Expenditure by Province; Statistics Canada (1986) Table 48A91: Detailed Average Expenditure by Family Income Quintile Groups; Statistics Canada (1992). Table 02A91 Detailed Average Expenditure by Household Income Quintile Groups, 1992; Statistics Canada (1996). Detailed Expenditures Full Year Only, Provinces and Territories, 1996; Statistics Canada (2001). Survey of Household Spending in 2000; Statistics Canada (2006). Survey of Household Spending in 2005; Statistics Canada (2009). Survey of Household Spending in 2009 - Enquête sur les dépenses des ménages en 2009; Statistics Canada. Table 203-0004 - Survey of household spending (SHS), household spending on household operation, by province and territory, annual; Statistics Canada Table 203-0021 Survey of household spending (SHS), dwelling characteristics and household equipment at time of interview, Canada, regions and provinces, annual (number), 2010 to 2016; Statistics Canada (2017). Table 203-0021 Survey of household spending (SHS), household spending, Canada, regions and provinces. Statistics Canada (2017). Custom Table C1012953 Income Statistics Division, Canadian Income Survey; Statistics Canada (February 29, 2024). Detailed household final consumption expenditure, Canada, quarterly (x 1,000,000). Table: 36-10-0124-01 (formerly CANSIM 380-0085). Statistics Canada. Table 11-10-0222-01  Household spending, Canada, regions and provinces. https://www150.statcan.gc.ca/t1/tbl1/en/tv.action?pid=1110022201 CBC Annual report (various years).</t>
  </si>
  <si>
    <t>Sources &amp; Notes. 1969 or most recent year. Canada Special Senate Committee on the Mass Media. Vol. II: Words, music, and dollars. Ottawa: Queen’s Printer, pp. 172, 192, 527, 534, 572; entry for music is an estimated based on CAGR from 1984; Statistics Canada (1970). Telephone statistics. Table 18: Revenue of the Telephone Industry , by Province, 1969. p. 25. Ottawa: Dominion Bureau of Statistics.</t>
  </si>
  <si>
    <r>
      <t xml:space="preserve">• </t>
    </r>
    <r>
      <rPr>
        <sz val="12"/>
        <color rgb="FF000000"/>
        <rFont val="Aptos Narrow"/>
        <family val="1"/>
        <scheme val="minor"/>
      </rPr>
      <t>Rogers acquires Maclean-Hunter ($2.5B) (1994)</t>
    </r>
  </si>
  <si>
    <r>
      <t xml:space="preserve">• </t>
    </r>
    <r>
      <rPr>
        <sz val="12"/>
        <color rgb="FF000000"/>
        <rFont val="Aptos Narrow"/>
        <family val="1"/>
        <scheme val="minor"/>
      </rPr>
      <t>Rogers acquires Mobilicity</t>
    </r>
    <r>
      <rPr>
        <sz val="12"/>
        <color theme="1"/>
        <rFont val="Aptos Narrow"/>
        <family val="1"/>
        <scheme val="minor"/>
      </rPr>
      <t xml:space="preserve"> ($465M) (2015)</t>
    </r>
  </si>
  <si>
    <r>
      <t xml:space="preserve">• </t>
    </r>
    <r>
      <rPr>
        <sz val="12"/>
        <color rgb="FF000000"/>
        <rFont val="Aptos Narrow"/>
        <family val="1"/>
        <scheme val="minor"/>
      </rPr>
      <t>Postmedia acquires Quebecor English language Sun newspapers ($360M) (2015)</t>
    </r>
  </si>
  <si>
    <r>
      <t xml:space="preserve">• </t>
    </r>
    <r>
      <rPr>
        <sz val="12"/>
        <color rgb="FF000000"/>
        <rFont val="Aptos Narrow"/>
        <family val="1"/>
        <scheme val="minor"/>
      </rPr>
      <t>Shaw acquires Wind Mobile (rebrands as Freedom Mobile)</t>
    </r>
    <r>
      <rPr>
        <sz val="12"/>
        <color theme="1"/>
        <rFont val="Aptos Narrow"/>
        <family val="1"/>
        <scheme val="minor"/>
      </rPr>
      <t xml:space="preserve"> ($1.6B) (2016) and spins off Shaw televion assets to Corus to help finance the deal (Corus is under common ownership with Shaw given controlling ownership stake held by Shaw Family Trust)</t>
    </r>
  </si>
  <si>
    <r>
      <t xml:space="preserve">• </t>
    </r>
    <r>
      <rPr>
        <sz val="12"/>
        <color rgb="FF000000"/>
        <rFont val="Aptos Narrow"/>
        <family val="1"/>
        <scheme val="minor"/>
      </rPr>
      <t>Bell acquires MTS</t>
    </r>
    <r>
      <rPr>
        <sz val="12"/>
        <color theme="1"/>
        <rFont val="Aptos Narrow"/>
        <family val="1"/>
        <scheme val="minor"/>
      </rPr>
      <t xml:space="preserve"> ($3.1B) (2017)</t>
    </r>
  </si>
  <si>
    <r>
      <t xml:space="preserve">• </t>
    </r>
    <r>
      <rPr>
        <sz val="12"/>
        <color rgb="FF000000"/>
        <rFont val="Aptos Narrow"/>
        <family val="1"/>
        <scheme val="minor"/>
      </rPr>
      <t>Torstar and Postmedia swap ownership and subsequently close the majority of 41 community newspapers</t>
    </r>
    <r>
      <rPr>
        <sz val="12"/>
        <color theme="1"/>
        <rFont val="Aptos Narrow"/>
        <family val="1"/>
        <scheme val="minor"/>
      </rPr>
      <t xml:space="preserve"> (2017)</t>
    </r>
  </si>
  <si>
    <t>Sources: Subscriber #s are y-o-y average from company annual reports. For additional explanation of estimates for firms that do not publish subscriber or revenue data, see the entries for firms in the relevant sheets in master workbook. Also see CRTC Communications Market Report--Open Data, CRTC Communications Markets Reports Open Data Retail Fixed Internet, Tab N-I3: Points of interest in residential internet service revenues, 2016-2023. and CRTC (2024). Communications Market Report--Open Data, BDU. Table 5: Subscribers (millions) of broadcasting distribution undertakings, by type, 2009-2023; CRTC (2024). Communications Market Report--Open Data (Mobile). Tab MB-S5. Number of mobile subscribers in Canada (millions), 2013-2023; Open Data (Local and Long Distance). Tab LLD3 Residential and business local telephone lines by type of TSP (thousands), 2013-2022 with CAGR of -3.71% used to estimate 2023 results; Broadcasting distribution sector Tab U-T5. Evolution of broadcasting distribution revenues ($ billions) and subscribership (millions) compared to the number of households in Canada, 2009-2023.</t>
  </si>
  <si>
    <r>
      <rPr>
        <b/>
        <sz val="12"/>
        <color theme="1"/>
        <rFont val="Aptos Narrow"/>
        <family val="1"/>
        <scheme val="minor"/>
      </rPr>
      <t>Note</t>
    </r>
    <r>
      <rPr>
        <sz val="12"/>
        <color theme="1"/>
        <rFont val="Aptos Narrow"/>
        <family val="1"/>
        <scheme val="minor"/>
      </rPr>
      <t xml:space="preserve">: Sources cited in each individual cell. Annual average exchange rate from the Bank of Canada. See the data set under the “Biggest Mobile Markets” sheet in the Excel Workbook. </t>
    </r>
  </si>
  <si>
    <t>Source: OECD Broadband Statistics. https://www.oecd.org/en/topics/sub-issues/broadband-statistics.html. Data for Canada is from CRTC. (2025). Communications Market Report, Open Data--Mobile. Tab MB-S6 Mobile subscriber penetration rates, as a percentage of total population, by province/territory (%), 2015-2024.</t>
  </si>
  <si>
    <r>
      <t>Source:</t>
    </r>
    <r>
      <rPr>
        <sz val="12"/>
        <color theme="1"/>
        <rFont val="Aptos Narrow"/>
        <family val="1"/>
        <scheme val="minor"/>
      </rPr>
      <t xml:space="preserve"> OECD (December 2023). Broadband statistics. Table 1.2.1. OECD Fixed broadband subscriptions per 100 inhabitants, by technology, December 2023 and Table 1.10. Percentage of fibre connections in total fixed broadband, December 2023.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</si>
</sst>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0.00_);_(* \(#,##0.00\);_(* &quot;-&quot;??_);_(@_)"/>
    <numFmt numFmtId="164" formatCode="_-&quot;$&quot;* #,##0.00_-;\-&quot;$&quot;* #,##0.00_-;_-&quot;$&quot;* &quot;-&quot;??_-;_-@_-"/>
    <numFmt numFmtId="165" formatCode="_-* #,##0.00_-;\-* #,##0.00_-;_-* &quot;-&quot;??_-;_-@_-"/>
    <numFmt numFmtId="166" formatCode="0.0"/>
    <numFmt numFmtId="167" formatCode="_ * #,##0.00_)_ ;_ * \(#,##0.00\)_ ;_ * &quot;-&quot;??_)_ ;_ @_ "/>
    <numFmt numFmtId="168" formatCode="#,##0.0"/>
    <numFmt numFmtId="169" formatCode="0.000"/>
    <numFmt numFmtId="170" formatCode="_ * #,##0.0_)_ ;_ * \(#,##0.0\)_ ;_ * &quot;-&quot;??_)_ ;_ @_ "/>
    <numFmt numFmtId="171" formatCode="_(* #,##0.0_);_(* \(#,##0.0\);_(* &quot;-&quot;??_);_(@_)"/>
    <numFmt numFmtId="172" formatCode="0.0000"/>
    <numFmt numFmtId="173" formatCode="_(* #,##0.0000_);_(* \(#,##0.0000\);_(* &quot;-&quot;??_);_(@_)"/>
    <numFmt numFmtId="174" formatCode="0.0%"/>
    <numFmt numFmtId="175" formatCode="#,##0.000"/>
    <numFmt numFmtId="176" formatCode="0.00000"/>
    <numFmt numFmtId="177" formatCode="0.00\ "/>
    <numFmt numFmtId="178" formatCode="_-* #,##0.0_-;\-* #,##0.0_-;_-* &quot;-&quot;??_-;_-@_-"/>
    <numFmt numFmtId="179" formatCode="_(* #,##0.000_);_(* \(#,##0.000\);_(* &quot;-&quot;??_);_(@_)"/>
    <numFmt numFmtId="180" formatCode="_(* #,##0.00000_);_(* \(#,##0.00000\);_(* &quot;-&quot;??_);_(@_)"/>
    <numFmt numFmtId="181" formatCode="#,##0.000000000000"/>
  </numFmts>
  <fonts count="155">
    <font>
      <sz val="12"/>
      <color theme="1"/>
      <name val="Aptos Narrow"/>
      <family val="2"/>
      <scheme val="minor"/>
    </font>
    <font>
      <sz val="11"/>
      <color theme="1"/>
      <name val="Aptos Narrow"/>
      <family val="2"/>
      <scheme val="minor"/>
    </font>
    <font>
      <sz val="12"/>
      <color theme="1"/>
      <name val="Aptos Narrow"/>
      <family val="2"/>
      <scheme val="minor"/>
    </font>
    <font>
      <b/>
      <sz val="12"/>
      <color rgb="FF000000"/>
      <name val="Times New Roman"/>
      <family val="1"/>
    </font>
    <font>
      <sz val="12"/>
      <color theme="1"/>
      <name val="Times New Roman"/>
      <family val="1"/>
    </font>
    <font>
      <sz val="12"/>
      <color theme="1"/>
      <name val="Times"/>
      <family val="1"/>
    </font>
    <font>
      <sz val="12"/>
      <color theme="1"/>
      <name val="Times"/>
    </font>
    <font>
      <b/>
      <sz val="12"/>
      <color theme="1"/>
      <name val="Times"/>
    </font>
    <font>
      <b/>
      <sz val="12"/>
      <color theme="1"/>
      <name val="Times"/>
      <family val="1"/>
    </font>
    <font>
      <sz val="12"/>
      <color rgb="FF000000"/>
      <name val="Times"/>
      <family val="1"/>
    </font>
    <font>
      <sz val="12"/>
      <color rgb="FF000000"/>
      <name val="Times New Roman"/>
      <family val="1"/>
    </font>
    <font>
      <sz val="12"/>
      <color rgb="FF000000"/>
      <name val="Aptos Narrow"/>
      <family val="2"/>
      <scheme val="minor"/>
    </font>
    <font>
      <b/>
      <sz val="12"/>
      <color rgb="FF000000"/>
      <name val="Times"/>
      <family val="1"/>
    </font>
    <font>
      <sz val="11"/>
      <color theme="1"/>
      <name val="Aptos Narrow"/>
      <family val="2"/>
      <scheme val="minor"/>
    </font>
    <font>
      <b/>
      <sz val="12"/>
      <color theme="1"/>
      <name val="Times New Roman"/>
      <family val="1"/>
    </font>
    <font>
      <sz val="11"/>
      <name val="Times New Roman"/>
      <family val="1"/>
    </font>
    <font>
      <sz val="12"/>
      <name val="Times New Roman"/>
      <family val="1"/>
    </font>
    <font>
      <sz val="10"/>
      <name val="Verdana"/>
      <family val="2"/>
    </font>
    <font>
      <sz val="12"/>
      <color indexed="8"/>
      <name val="Times New Roman"/>
      <family val="1"/>
    </font>
    <font>
      <b/>
      <sz val="12"/>
      <name val="Times New Roman"/>
      <family val="1"/>
    </font>
    <font>
      <sz val="12"/>
      <color rgb="FFFF0000"/>
      <name val="Times New Roman"/>
      <family val="1"/>
    </font>
    <font>
      <b/>
      <sz val="16"/>
      <color theme="1"/>
      <name val="Times New Roman"/>
      <family val="1"/>
    </font>
    <font>
      <sz val="10"/>
      <color rgb="FF000000"/>
      <name val="Tahoma"/>
      <family val="2"/>
    </font>
    <font>
      <sz val="10"/>
      <color rgb="FF000000"/>
      <name val="Calibri"/>
      <family val="2"/>
    </font>
    <font>
      <sz val="10"/>
      <color rgb="FF000000"/>
      <name val="Times New Roman"/>
      <family val="18"/>
    </font>
    <font>
      <b/>
      <sz val="10"/>
      <color rgb="FF000000"/>
      <name val="Tahoma"/>
      <family val="2"/>
    </font>
    <font>
      <sz val="10"/>
      <color rgb="FF000000"/>
      <name val="Aptos Narrow"/>
      <family val="2"/>
      <scheme val="minor"/>
    </font>
    <font>
      <sz val="12"/>
      <color theme="1"/>
      <name val="Aptos"/>
      <family val="2"/>
    </font>
    <font>
      <b/>
      <sz val="18"/>
      <color theme="1"/>
      <name val="Times New Roman"/>
      <family val="1"/>
    </font>
    <font>
      <sz val="12"/>
      <name val="Aptos"/>
      <family val="2"/>
    </font>
    <font>
      <sz val="14"/>
      <color theme="1"/>
      <name val="Times New Roman"/>
      <family val="1"/>
    </font>
    <font>
      <b/>
      <sz val="14"/>
      <color theme="1"/>
      <name val="Times New Roman"/>
      <family val="1"/>
    </font>
    <font>
      <b/>
      <sz val="12"/>
      <color theme="1"/>
      <name val="Aptos Narrow"/>
      <family val="2"/>
      <scheme val="minor"/>
    </font>
    <font>
      <b/>
      <sz val="16"/>
      <color rgb="FF000000"/>
      <name val="Times New Roman"/>
      <family val="1"/>
    </font>
    <font>
      <b/>
      <sz val="11"/>
      <color theme="1"/>
      <name val="Times New Roman"/>
      <family val="1"/>
    </font>
    <font>
      <b/>
      <sz val="12"/>
      <color theme="1"/>
      <name val="Aptos Narrow"/>
      <family val="2"/>
      <scheme val="minor"/>
    </font>
    <font>
      <b/>
      <sz val="12"/>
      <color indexed="8"/>
      <name val="Times New Roman"/>
      <family val="1"/>
    </font>
    <font>
      <sz val="10"/>
      <name val="Arial Narrow"/>
      <family val="2"/>
    </font>
    <font>
      <u/>
      <sz val="10"/>
      <color rgb="FF000000"/>
      <name val="Calibri"/>
      <family val="2"/>
    </font>
    <font>
      <b/>
      <sz val="10"/>
      <color rgb="FF000000"/>
      <name val="+mn-lt"/>
      <charset val="1"/>
    </font>
    <font>
      <sz val="10"/>
      <color rgb="FF000000"/>
      <name val="+mn-lt"/>
      <charset val="1"/>
    </font>
    <font>
      <sz val="12"/>
      <color rgb="FF000000"/>
      <name val="+mn-lt"/>
      <charset val="1"/>
    </font>
    <font>
      <u/>
      <sz val="12"/>
      <color rgb="FF000000"/>
      <name val="+mn-lt"/>
      <charset val="1"/>
    </font>
    <font>
      <b/>
      <sz val="10"/>
      <color rgb="FF000000"/>
      <name val="Calibri"/>
      <family val="2"/>
    </font>
    <font>
      <sz val="10"/>
      <color rgb="FF000000"/>
      <name val="Aptos Narrow"/>
      <family val="2"/>
    </font>
    <font>
      <u/>
      <sz val="10"/>
      <color rgb="FF000000"/>
      <name val="Aptos Narrow"/>
      <family val="2"/>
    </font>
    <font>
      <i/>
      <sz val="10"/>
      <color rgb="FF000000"/>
      <name val="Calibri"/>
      <family val="2"/>
    </font>
    <font>
      <b/>
      <sz val="10"/>
      <color rgb="FF000000"/>
      <name val="Times New Roman"/>
      <family val="18"/>
    </font>
    <font>
      <u/>
      <sz val="10"/>
      <color rgb="FF000000"/>
      <name val="+mn-lt"/>
      <charset val="1"/>
    </font>
    <font>
      <i/>
      <sz val="10"/>
      <color rgb="FF000000"/>
      <name val="Times New Roman"/>
      <family val="18"/>
    </font>
    <font>
      <i/>
      <vertAlign val="superscript"/>
      <sz val="10"/>
      <color rgb="FF000000"/>
      <name val="Times New Roman"/>
      <family val="18"/>
    </font>
    <font>
      <u/>
      <sz val="12"/>
      <color rgb="FF000000"/>
      <name val="Times New Roman"/>
      <family val="18"/>
    </font>
    <font>
      <u/>
      <sz val="10"/>
      <color rgb="FF000000"/>
      <name val="Times New Roman"/>
      <family val="18"/>
    </font>
    <font>
      <sz val="10"/>
      <color theme="1"/>
      <name val="Arial"/>
      <family val="2"/>
    </font>
    <font>
      <sz val="10"/>
      <name val="Arial"/>
      <family val="2"/>
    </font>
    <font>
      <sz val="18"/>
      <color rgb="FF000000"/>
      <name val="Calibri"/>
      <family val="2"/>
    </font>
    <font>
      <b/>
      <sz val="12"/>
      <color rgb="FF000000"/>
      <name val="Times"/>
    </font>
    <font>
      <sz val="10"/>
      <color rgb="FF000000"/>
      <name val="Verdana"/>
      <family val="2"/>
    </font>
    <font>
      <sz val="12"/>
      <name val="Times"/>
      <family val="1"/>
    </font>
    <font>
      <b/>
      <sz val="12"/>
      <name val="Times"/>
      <family val="1"/>
    </font>
    <font>
      <sz val="16"/>
      <color theme="1"/>
      <name val="Times New Roman"/>
      <family val="1"/>
    </font>
    <font>
      <sz val="18"/>
      <color theme="1"/>
      <name val="Times New Roman"/>
      <family val="1"/>
    </font>
    <font>
      <sz val="10"/>
      <color rgb="FF000000"/>
      <name val="Times New Roman"/>
      <family val="1"/>
    </font>
    <font>
      <sz val="12"/>
      <color rgb="FF202122"/>
      <name val="Times New Roman"/>
      <family val="1"/>
    </font>
    <font>
      <i/>
      <sz val="10"/>
      <color rgb="FF000000"/>
      <name val="Aptos Narrow"/>
      <family val="2"/>
    </font>
    <font>
      <sz val="10"/>
      <color rgb="FF000000"/>
      <name val="Arial"/>
      <family val="2"/>
    </font>
    <font>
      <sz val="9"/>
      <color rgb="FF000000"/>
      <name val="Arial"/>
      <family val="2"/>
    </font>
    <font>
      <b/>
      <sz val="10"/>
      <color indexed="81"/>
      <name val="Calibri"/>
      <family val="2"/>
    </font>
    <font>
      <sz val="10"/>
      <color indexed="81"/>
      <name val="Calibri"/>
      <family val="2"/>
    </font>
    <font>
      <i/>
      <sz val="10"/>
      <color rgb="FF000000"/>
      <name val="Arial"/>
      <family val="2"/>
    </font>
    <font>
      <b/>
      <sz val="9"/>
      <color rgb="FF000000"/>
      <name val="Arial"/>
      <family val="2"/>
    </font>
    <font>
      <sz val="12"/>
      <color rgb="FF222222"/>
      <name val="Times New Roman"/>
      <family val="1"/>
    </font>
    <font>
      <b/>
      <sz val="16"/>
      <color indexed="8"/>
      <name val="Times New Roman"/>
      <family val="1"/>
    </font>
    <font>
      <sz val="12"/>
      <color rgb="FFFF0000"/>
      <name val="Times"/>
      <family val="1"/>
    </font>
    <font>
      <sz val="10.5"/>
      <color rgb="FF000000"/>
      <name val="+mn-lt"/>
      <charset val="1"/>
    </font>
    <font>
      <sz val="10.5"/>
      <color rgb="FF000000"/>
      <name val="Times New Roman"/>
      <family val="18"/>
    </font>
    <font>
      <b/>
      <sz val="9"/>
      <color rgb="FF000000"/>
      <name val="Tahoma"/>
      <family val="2"/>
    </font>
    <font>
      <sz val="9"/>
      <color rgb="FF000000"/>
      <name val="Tahoma"/>
      <family val="2"/>
    </font>
    <font>
      <b/>
      <sz val="9"/>
      <color indexed="81"/>
      <name val="Tahoma"/>
      <family val="2"/>
    </font>
    <font>
      <sz val="9"/>
      <color indexed="81"/>
      <name val="Tahoma"/>
      <family val="2"/>
    </font>
    <font>
      <sz val="16"/>
      <name val="Times New Roman"/>
      <family val="1"/>
    </font>
    <font>
      <b/>
      <sz val="16"/>
      <name val="Times New Roman"/>
      <family val="1"/>
    </font>
    <font>
      <b/>
      <sz val="12"/>
      <color rgb="FF222222"/>
      <name val="Times New Roman"/>
      <family val="1"/>
    </font>
    <font>
      <b/>
      <sz val="14"/>
      <color rgb="FF000000"/>
      <name val="Times"/>
      <family val="1"/>
    </font>
    <font>
      <b/>
      <sz val="14"/>
      <color theme="1"/>
      <name val="Times"/>
      <family val="1"/>
    </font>
    <font>
      <i/>
      <sz val="12"/>
      <color rgb="FF000000"/>
      <name val="+mn-lt"/>
      <charset val="1"/>
    </font>
    <font>
      <sz val="9"/>
      <name val="Arial"/>
      <family val="2"/>
    </font>
    <font>
      <b/>
      <sz val="14"/>
      <color rgb="FF000000"/>
      <name val="Times New Roman"/>
      <family val="1"/>
    </font>
    <font>
      <sz val="14"/>
      <color theme="1"/>
      <name val="Times"/>
      <family val="1"/>
    </font>
    <font>
      <sz val="11"/>
      <color rgb="FF000000"/>
      <name val="+mn-lt"/>
      <charset val="1"/>
    </font>
    <font>
      <u/>
      <sz val="11"/>
      <color rgb="FF000000"/>
      <name val="+mn-lt"/>
      <charset val="1"/>
    </font>
    <font>
      <u/>
      <sz val="10"/>
      <color rgb="FF000000"/>
      <name val="Aptos Narrow"/>
      <family val="2"/>
      <scheme val="minor"/>
    </font>
    <font>
      <sz val="12"/>
      <color rgb="FF000000"/>
      <name val="+mn-lt"/>
    </font>
    <font>
      <i/>
      <sz val="10"/>
      <color rgb="FF000000"/>
      <name val="Aptos Narrow"/>
      <family val="2"/>
      <scheme val="minor"/>
    </font>
    <font>
      <b/>
      <sz val="10"/>
      <color rgb="FF000000"/>
      <name val="Aptos Narrow"/>
      <family val="2"/>
    </font>
    <font>
      <sz val="10.5"/>
      <color rgb="FF000000"/>
      <name val="Aptos Narrow"/>
      <family val="2"/>
    </font>
    <font>
      <b/>
      <sz val="18"/>
      <color rgb="FF000000"/>
      <name val="Aptos Narrow"/>
      <family val="2"/>
    </font>
    <font>
      <sz val="18"/>
      <color rgb="FF000000"/>
      <name val="Aptos Narrow"/>
      <family val="2"/>
    </font>
    <font>
      <b/>
      <sz val="9"/>
      <color rgb="FF242424"/>
      <name val="Arial"/>
      <family val="2"/>
    </font>
    <font>
      <sz val="9"/>
      <color rgb="FF242424"/>
      <name val="Arial"/>
      <family val="2"/>
    </font>
    <font>
      <sz val="12"/>
      <color rgb="FF242424"/>
      <name val="Arial"/>
      <family val="2"/>
    </font>
    <font>
      <sz val="18"/>
      <color rgb="FF000000"/>
      <name val="Aptos Narrow"/>
      <family val="2"/>
      <scheme val="minor"/>
    </font>
    <font>
      <sz val="10"/>
      <color rgb="FF000000"/>
      <name val="Calibri"/>
      <family val="34"/>
    </font>
    <font>
      <sz val="12"/>
      <name val="Aptos Narrow"/>
      <family val="2"/>
      <scheme val="minor"/>
    </font>
    <font>
      <sz val="12"/>
      <color rgb="FF000000"/>
      <name val="Times New Roman"/>
      <family val="18"/>
    </font>
    <font>
      <b/>
      <sz val="10"/>
      <name val="Arial"/>
      <family val="2"/>
    </font>
    <font>
      <sz val="12"/>
      <name val="Times"/>
    </font>
    <font>
      <b/>
      <sz val="14"/>
      <color indexed="8"/>
      <name val="Times"/>
      <family val="1"/>
    </font>
    <font>
      <sz val="11"/>
      <color theme="1"/>
      <name val="Times New Roman"/>
      <family val="1"/>
    </font>
    <font>
      <sz val="11"/>
      <color rgb="FF000000"/>
      <name val="Times New Roman"/>
      <family val="1"/>
    </font>
    <font>
      <sz val="12"/>
      <color rgb="FF242424"/>
      <name val="Times New Roman"/>
      <family val="1"/>
    </font>
    <font>
      <i/>
      <sz val="12"/>
      <color rgb="FFFF0000"/>
      <name val="Times New Roman"/>
      <family val="1"/>
    </font>
    <font>
      <sz val="10"/>
      <color theme="1"/>
      <name val="Times New Roman"/>
      <family val="1"/>
    </font>
    <font>
      <b/>
      <sz val="12"/>
      <color rgb="FF00B050"/>
      <name val="Times New Roman"/>
      <family val="1"/>
    </font>
    <font>
      <sz val="12"/>
      <color rgb="FF00B050"/>
      <name val="Times New Roman"/>
      <family val="1"/>
    </font>
    <font>
      <b/>
      <sz val="12"/>
      <color rgb="FFFF0000"/>
      <name val="Times New Roman"/>
      <family val="1"/>
    </font>
    <font>
      <b/>
      <sz val="14"/>
      <name val="Times New Roman"/>
      <family val="1"/>
    </font>
    <font>
      <sz val="14"/>
      <name val="Times New Roman"/>
      <family val="1"/>
    </font>
    <font>
      <sz val="16"/>
      <color rgb="FF000000"/>
      <name val="Times New Roman"/>
      <family val="1"/>
    </font>
    <font>
      <b/>
      <sz val="12"/>
      <name val="Aptos"/>
      <family val="2"/>
    </font>
    <font>
      <sz val="12"/>
      <name val="Aptos"/>
      <family val="2"/>
    </font>
    <font>
      <sz val="12"/>
      <color theme="1"/>
      <name val="Aptos"/>
      <family val="2"/>
    </font>
    <font>
      <b/>
      <sz val="12"/>
      <color theme="1"/>
      <name val="Aptos"/>
      <family val="2"/>
    </font>
    <font>
      <sz val="12"/>
      <color rgb="FF000000"/>
      <name val="Aptos"/>
      <family val="2"/>
    </font>
    <font>
      <b/>
      <u/>
      <sz val="12"/>
      <name val="Aptos"/>
      <family val="2"/>
    </font>
    <font>
      <sz val="12"/>
      <color rgb="FFFF0000"/>
      <name val="Aptos"/>
      <family val="2"/>
    </font>
    <font>
      <sz val="12"/>
      <color rgb="FF32333E"/>
      <name val="Aptos"/>
      <family val="2"/>
    </font>
    <font>
      <sz val="12"/>
      <color rgb="FF444444"/>
      <name val="Aptos"/>
      <family val="2"/>
    </font>
    <font>
      <b/>
      <sz val="14"/>
      <color rgb="FF000000"/>
      <name val="Aptos Narrow"/>
      <family val="2"/>
    </font>
    <font>
      <sz val="14"/>
      <color rgb="FF000000"/>
      <name val="Aptos Narrow"/>
      <family val="2"/>
    </font>
    <font>
      <b/>
      <sz val="11"/>
      <color rgb="FF000000"/>
      <name val="Aptos Narrow"/>
      <family val="2"/>
    </font>
    <font>
      <sz val="11"/>
      <color theme="1"/>
      <name val="Aptos Narrow"/>
      <family val="2"/>
    </font>
    <font>
      <sz val="11"/>
      <color rgb="FF000000"/>
      <name val="Aptos Narrow"/>
      <family val="2"/>
    </font>
    <font>
      <sz val="11"/>
      <color theme="1"/>
      <name val="Aptos Narrow"/>
      <family val="2"/>
    </font>
    <font>
      <sz val="11"/>
      <color theme="1"/>
      <name val="Aptos Narrow"/>
      <family val="2"/>
      <scheme val="minor"/>
    </font>
    <font>
      <sz val="11"/>
      <color rgb="FF000000"/>
      <name val="Aptos"/>
      <family val="2"/>
    </font>
    <font>
      <b/>
      <sz val="12"/>
      <color theme="1"/>
      <name val="Aptos Narrow"/>
      <family val="2"/>
      <scheme val="minor"/>
    </font>
    <font>
      <sz val="12"/>
      <color theme="1"/>
      <name val="Calibri"/>
      <family val="2"/>
    </font>
    <font>
      <b/>
      <sz val="12"/>
      <color rgb="FF000000"/>
      <name val="Aptos Narrow"/>
      <family val="2"/>
      <scheme val="minor"/>
    </font>
    <font>
      <sz val="12"/>
      <color theme="1"/>
      <name val="Aptos Narrow"/>
      <family val="2"/>
    </font>
    <font>
      <b/>
      <sz val="14"/>
      <color rgb="FF000000"/>
      <name val="Aptos Narrow"/>
      <family val="2"/>
      <scheme val="minor"/>
    </font>
    <font>
      <sz val="12"/>
      <color rgb="FF212529"/>
      <name val="Times New Roman"/>
      <family val="1"/>
    </font>
    <font>
      <sz val="11"/>
      <color theme="1"/>
      <name val="Arial"/>
      <family val="2"/>
    </font>
    <font>
      <b/>
      <sz val="12"/>
      <name val="Aptos Narrow"/>
      <family val="2"/>
      <scheme val="minor"/>
    </font>
    <font>
      <b/>
      <sz val="12"/>
      <color theme="1"/>
      <name val="Aptos Narrow"/>
      <scheme val="minor"/>
    </font>
    <font>
      <sz val="12"/>
      <color theme="1"/>
      <name val="Aptos Narrow"/>
      <scheme val="minor"/>
    </font>
    <font>
      <sz val="12"/>
      <color rgb="FF000000"/>
      <name val="Aptos Narrow"/>
      <family val="1"/>
      <scheme val="minor"/>
    </font>
    <font>
      <sz val="12"/>
      <color theme="1"/>
      <name val="Aptos Narrow"/>
      <family val="1"/>
      <scheme val="minor"/>
    </font>
    <font>
      <b/>
      <sz val="12"/>
      <name val="Aptos Display"/>
      <scheme val="major"/>
    </font>
    <font>
      <i/>
      <sz val="12"/>
      <name val="Aptos Display"/>
      <scheme val="major"/>
    </font>
    <font>
      <sz val="12"/>
      <color theme="1"/>
      <name val="Aptos Display"/>
      <scheme val="major"/>
    </font>
    <font>
      <b/>
      <sz val="12"/>
      <color theme="1"/>
      <name val="Aptos Display"/>
      <scheme val="major"/>
    </font>
    <font>
      <sz val="12"/>
      <name val="Aptos Display"/>
      <scheme val="major"/>
    </font>
    <font>
      <sz val="12"/>
      <color rgb="FF000000"/>
      <name val="Aptos Display"/>
      <scheme val="major"/>
    </font>
    <font>
      <b/>
      <sz val="12"/>
      <color theme="1"/>
      <name val="Aptos Narrow"/>
      <family val="1"/>
      <scheme val="minor"/>
    </font>
  </fonts>
  <fills count="17">
    <fill>
      <patternFill patternType="none"/>
    </fill>
    <fill>
      <patternFill patternType="gray125"/>
    </fill>
    <fill>
      <patternFill patternType="solid">
        <fgColor rgb="FFFFFF00"/>
        <bgColor indexed="64"/>
      </patternFill>
    </fill>
    <fill>
      <patternFill patternType="solid">
        <fgColor theme="4" tint="0.79998168889431442"/>
        <bgColor theme="4" tint="0.79998168889431442"/>
      </patternFill>
    </fill>
    <fill>
      <patternFill patternType="solid">
        <fgColor theme="0"/>
        <bgColor indexed="64"/>
      </patternFill>
    </fill>
    <fill>
      <patternFill patternType="solid">
        <fgColor rgb="FFFFFF00"/>
        <bgColor rgb="FF000000"/>
      </patternFill>
    </fill>
    <fill>
      <patternFill patternType="solid">
        <fgColor rgb="FFFFFF00"/>
        <bgColor theme="4" tint="0.79998168889431442"/>
      </patternFill>
    </fill>
    <fill>
      <patternFill patternType="solid">
        <fgColor rgb="FF92D050"/>
        <bgColor indexed="64"/>
      </patternFill>
    </fill>
    <fill>
      <patternFill patternType="solid">
        <fgColor rgb="FFE7E6E6"/>
        <bgColor rgb="FF000000"/>
      </patternFill>
    </fill>
    <fill>
      <patternFill patternType="solid">
        <fgColor rgb="FFFFFFFF"/>
        <bgColor rgb="FFFFFFFF"/>
      </patternFill>
    </fill>
    <fill>
      <patternFill patternType="solid">
        <fgColor indexed="9"/>
        <bgColor indexed="9"/>
      </patternFill>
    </fill>
    <fill>
      <patternFill patternType="solid">
        <fgColor theme="2"/>
        <bgColor indexed="64"/>
      </patternFill>
    </fill>
    <fill>
      <patternFill patternType="solid">
        <fgColor rgb="FFEEEEEE"/>
        <bgColor indexed="64"/>
      </patternFill>
    </fill>
    <fill>
      <patternFill patternType="solid">
        <fgColor theme="2"/>
        <bgColor rgb="FFD9D9D9"/>
      </patternFill>
    </fill>
    <fill>
      <patternFill patternType="solid">
        <fgColor theme="9"/>
        <bgColor indexed="64"/>
      </patternFill>
    </fill>
    <fill>
      <patternFill patternType="solid">
        <fgColor rgb="FFFF0000"/>
        <bgColor indexed="64"/>
      </patternFill>
    </fill>
    <fill>
      <patternFill patternType="solid">
        <fgColor theme="0" tint="-0.14999847407452621"/>
        <bgColor indexed="64"/>
      </patternFill>
    </fill>
  </fills>
  <borders count="19">
    <border>
      <left/>
      <right/>
      <top/>
      <bottom/>
      <diagonal/>
    </border>
    <border>
      <left/>
      <right/>
      <top/>
      <bottom style="thin">
        <color theme="4" tint="0.39997558519241921"/>
      </bottom>
      <diagonal/>
    </border>
    <border>
      <left/>
      <right style="thin">
        <color indexed="64"/>
      </right>
      <top/>
      <bottom/>
      <diagonal/>
    </border>
    <border>
      <left/>
      <right/>
      <top style="thin">
        <color theme="4" tint="0.39997558519241921"/>
      </top>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bottom style="dotted">
        <color indexed="64"/>
      </bottom>
      <diagonal/>
    </border>
    <border>
      <left/>
      <right/>
      <top/>
      <bottom style="thin">
        <color rgb="FFC0C0C0"/>
      </bottom>
      <diagonal/>
    </border>
    <border>
      <left/>
      <right/>
      <top/>
      <bottom style="thin">
        <color indexed="22"/>
      </bottom>
      <diagonal/>
    </border>
    <border>
      <left style="thin">
        <color indexed="8"/>
      </left>
      <right/>
      <top/>
      <bottom style="thin">
        <color indexed="22"/>
      </bottom>
      <diagonal/>
    </border>
    <border>
      <left/>
      <right/>
      <top/>
      <bottom style="thin">
        <color rgb="FF9BC2E6"/>
      </bottom>
      <diagonal/>
    </border>
    <border>
      <left/>
      <right/>
      <top/>
      <bottom style="thin">
        <color rgb="FF44B3E1"/>
      </bottom>
      <diagonal/>
    </border>
    <border>
      <left style="thin">
        <color theme="2" tint="-9.9978637043366805E-2"/>
      </left>
      <right style="thin">
        <color theme="2" tint="-9.9978637043366805E-2"/>
      </right>
      <top style="thin">
        <color theme="2" tint="-9.9978637043366805E-2"/>
      </top>
      <bottom style="thin">
        <color theme="2" tint="-9.9978637043366805E-2"/>
      </bottom>
      <diagonal/>
    </border>
    <border>
      <left style="thin">
        <color rgb="FF000000"/>
      </left>
      <right style="thin">
        <color rgb="FF000000"/>
      </right>
      <top style="thin">
        <color rgb="FF000000"/>
      </top>
      <bottom style="thin">
        <color rgb="FF000000"/>
      </bottom>
      <diagonal/>
    </border>
    <border>
      <left/>
      <right/>
      <top style="thin">
        <color rgb="FF44B3E1"/>
      </top>
      <bottom/>
      <diagonal/>
    </border>
    <border>
      <left/>
      <right/>
      <top/>
      <bottom style="thin">
        <color rgb="FF000000"/>
      </bottom>
      <diagonal/>
    </border>
    <border>
      <left style="thin">
        <color rgb="FFCCCCCC"/>
      </left>
      <right style="thin">
        <color rgb="FFCCCCCC"/>
      </right>
      <top style="thin">
        <color rgb="FFCCCCCC"/>
      </top>
      <bottom style="thin">
        <color rgb="FFCCCCCC"/>
      </bottom>
      <diagonal/>
    </border>
    <border>
      <left/>
      <right style="thin">
        <color theme="2" tint="-9.9978637043366805E-2"/>
      </right>
      <top style="thin">
        <color theme="2" tint="-9.9978637043366805E-2"/>
      </top>
      <bottom style="thin">
        <color theme="2" tint="-9.9978637043366805E-2"/>
      </bottom>
      <diagonal/>
    </border>
    <border>
      <left style="thin">
        <color theme="2" tint="-9.9978637043366805E-2"/>
      </left>
      <right style="thin">
        <color theme="2" tint="-9.9978637043366805E-2"/>
      </right>
      <top style="thin">
        <color indexed="64"/>
      </top>
      <bottom style="thin">
        <color theme="2" tint="-9.9978637043366805E-2"/>
      </bottom>
      <diagonal/>
    </border>
    <border>
      <left/>
      <right style="thin">
        <color theme="2" tint="-9.9978637043366805E-2"/>
      </right>
      <top style="thin">
        <color indexed="64"/>
      </top>
      <bottom style="thin">
        <color theme="2" tint="-9.9978637043366805E-2"/>
      </bottom>
      <diagonal/>
    </border>
  </borders>
  <cellStyleXfs count="19">
    <xf numFmtId="0" fontId="0" fillId="0" borderId="0"/>
    <xf numFmtId="0" fontId="13" fillId="0" borderId="0"/>
    <xf numFmtId="0" fontId="17" fillId="0" borderId="0"/>
    <xf numFmtId="167"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9" fontId="37" fillId="0" borderId="0" applyFont="0" applyFill="0" applyBorder="0" applyAlignment="0" applyProtection="0"/>
    <xf numFmtId="0" fontId="53" fillId="0" borderId="0"/>
    <xf numFmtId="0" fontId="54" fillId="0" borderId="0"/>
    <xf numFmtId="9" fontId="2" fillId="0" borderId="0" applyFont="0" applyFill="0" applyBorder="0" applyAlignment="0" applyProtection="0"/>
    <xf numFmtId="0" fontId="57" fillId="0" borderId="0"/>
    <xf numFmtId="0" fontId="2" fillId="0" borderId="0"/>
    <xf numFmtId="167" fontId="13" fillId="0" borderId="0" applyFont="0" applyFill="0" applyBorder="0" applyAlignment="0" applyProtection="0"/>
    <xf numFmtId="0" fontId="26" fillId="0" borderId="0"/>
    <xf numFmtId="0" fontId="1"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7" fontId="1" fillId="0" borderId="0" applyFont="0" applyFill="0" applyBorder="0" applyAlignment="0" applyProtection="0"/>
  </cellStyleXfs>
  <cellXfs count="669">
    <xf numFmtId="0" fontId="0" fillId="0" borderId="0" xfId="0"/>
    <xf numFmtId="0" fontId="3" fillId="0" borderId="0" xfId="0" applyFont="1"/>
    <xf numFmtId="0" fontId="4" fillId="0" borderId="0" xfId="0" applyFont="1"/>
    <xf numFmtId="0" fontId="5" fillId="0" borderId="0" xfId="0" applyFont="1"/>
    <xf numFmtId="0" fontId="8" fillId="0" borderId="1" xfId="0" applyFont="1" applyBorder="1"/>
    <xf numFmtId="0" fontId="9" fillId="0" borderId="0" xfId="0" applyFont="1"/>
    <xf numFmtId="43" fontId="4" fillId="0" borderId="0" xfId="0" applyNumberFormat="1" applyFont="1"/>
    <xf numFmtId="0" fontId="8" fillId="0" borderId="0" xfId="0" applyFont="1"/>
    <xf numFmtId="0" fontId="4" fillId="0" borderId="0" xfId="1" applyFont="1"/>
    <xf numFmtId="166" fontId="4" fillId="0" borderId="0" xfId="1" applyNumberFormat="1" applyFont="1"/>
    <xf numFmtId="166" fontId="4" fillId="0" borderId="0" xfId="1" applyNumberFormat="1" applyFont="1" applyAlignment="1">
      <alignment horizontal="right"/>
    </xf>
    <xf numFmtId="0" fontId="10" fillId="0" borderId="0" xfId="0" applyFont="1"/>
    <xf numFmtId="166" fontId="10" fillId="0" borderId="0" xfId="0" applyNumberFormat="1" applyFont="1"/>
    <xf numFmtId="166" fontId="10" fillId="0" borderId="0" xfId="0" applyNumberFormat="1" applyFont="1" applyAlignment="1">
      <alignment horizontal="right"/>
    </xf>
    <xf numFmtId="166" fontId="16" fillId="0" borderId="0" xfId="0" applyNumberFormat="1" applyFont="1" applyAlignment="1">
      <alignment horizontal="right"/>
    </xf>
    <xf numFmtId="166" fontId="0" fillId="0" borderId="0" xfId="0" applyNumberFormat="1"/>
    <xf numFmtId="2" fontId="0" fillId="0" borderId="0" xfId="0" applyNumberFormat="1"/>
    <xf numFmtId="0" fontId="14" fillId="0" borderId="0" xfId="1" applyFont="1"/>
    <xf numFmtId="0" fontId="20" fillId="0" borderId="0" xfId="0" applyFont="1"/>
    <xf numFmtId="2" fontId="20" fillId="0" borderId="0" xfId="0" applyNumberFormat="1" applyFont="1"/>
    <xf numFmtId="0" fontId="27" fillId="0" borderId="0" xfId="0" applyFont="1"/>
    <xf numFmtId="166" fontId="4" fillId="0" borderId="0" xfId="0" applyNumberFormat="1" applyFont="1"/>
    <xf numFmtId="0" fontId="16" fillId="0" borderId="0" xfId="0" applyFont="1" applyAlignment="1">
      <alignment wrapText="1"/>
    </xf>
    <xf numFmtId="0" fontId="14" fillId="0" borderId="0" xfId="0" applyFont="1" applyAlignment="1">
      <alignment horizontal="left"/>
    </xf>
    <xf numFmtId="167" fontId="4" fillId="0" borderId="0" xfId="3" applyFont="1" applyFill="1"/>
    <xf numFmtId="0" fontId="4" fillId="0" borderId="0" xfId="0" applyFont="1" applyAlignment="1">
      <alignment horizontal="left"/>
    </xf>
    <xf numFmtId="4" fontId="16" fillId="0" borderId="0" xfId="0" applyNumberFormat="1" applyFont="1"/>
    <xf numFmtId="0" fontId="4" fillId="0" borderId="0" xfId="0" applyFont="1" applyAlignment="1">
      <alignment vertical="top" wrapText="1"/>
    </xf>
    <xf numFmtId="0" fontId="16" fillId="0" borderId="0" xfId="0" applyFont="1"/>
    <xf numFmtId="2" fontId="4" fillId="0" borderId="0" xfId="0" applyNumberFormat="1" applyFont="1"/>
    <xf numFmtId="2" fontId="10" fillId="0" borderId="0" xfId="0" applyNumberFormat="1" applyFont="1"/>
    <xf numFmtId="0" fontId="14" fillId="0" borderId="0" xfId="0" applyFont="1"/>
    <xf numFmtId="0" fontId="18" fillId="0" borderId="0" xfId="0" applyFont="1"/>
    <xf numFmtId="166" fontId="10" fillId="0" borderId="0" xfId="0" applyNumberFormat="1" applyFont="1" applyAlignment="1">
      <alignment horizontal="right" vertical="top"/>
    </xf>
    <xf numFmtId="0" fontId="30" fillId="0" borderId="0" xfId="0" applyFont="1"/>
    <xf numFmtId="0" fontId="14" fillId="3" borderId="1" xfId="0" applyFont="1" applyFill="1" applyBorder="1"/>
    <xf numFmtId="0" fontId="0" fillId="2" borderId="0" xfId="0" applyFill="1"/>
    <xf numFmtId="4" fontId="10" fillId="0" borderId="0" xfId="0" applyNumberFormat="1" applyFont="1"/>
    <xf numFmtId="0" fontId="4" fillId="2" borderId="0" xfId="0" applyFont="1" applyFill="1"/>
    <xf numFmtId="0" fontId="34" fillId="3" borderId="1" xfId="0" applyFont="1" applyFill="1" applyBorder="1"/>
    <xf numFmtId="0" fontId="34" fillId="3" borderId="0" xfId="0" applyFont="1" applyFill="1"/>
    <xf numFmtId="0" fontId="10" fillId="5" borderId="0" xfId="0" applyFont="1" applyFill="1"/>
    <xf numFmtId="0" fontId="14" fillId="0" borderId="0" xfId="0" applyFont="1" applyAlignment="1">
      <alignment vertical="top" wrapText="1"/>
    </xf>
    <xf numFmtId="4" fontId="10" fillId="0" borderId="0" xfId="0" applyNumberFormat="1" applyFont="1" applyAlignment="1">
      <alignment horizontal="right" vertical="center"/>
    </xf>
    <xf numFmtId="0" fontId="10" fillId="0" borderId="0" xfId="0" applyFont="1" applyAlignment="1">
      <alignment horizontal="right"/>
    </xf>
    <xf numFmtId="0" fontId="10" fillId="0" borderId="0" xfId="0" applyFont="1" applyAlignment="1">
      <alignment horizontal="right" vertical="center"/>
    </xf>
    <xf numFmtId="0" fontId="36" fillId="0" borderId="0" xfId="0" applyFont="1"/>
    <xf numFmtId="168" fontId="10" fillId="0" borderId="0" xfId="0" applyNumberFormat="1" applyFont="1"/>
    <xf numFmtId="166" fontId="18" fillId="0" borderId="0" xfId="0" applyNumberFormat="1" applyFont="1"/>
    <xf numFmtId="0" fontId="14" fillId="0" borderId="0" xfId="0" applyFont="1" applyAlignment="1">
      <alignment vertical="top"/>
    </xf>
    <xf numFmtId="166" fontId="4" fillId="0" borderId="0" xfId="3" applyNumberFormat="1" applyFont="1" applyFill="1"/>
    <xf numFmtId="2" fontId="16" fillId="0" borderId="0" xfId="0" applyNumberFormat="1" applyFont="1"/>
    <xf numFmtId="174" fontId="4" fillId="0" borderId="0" xfId="0" applyNumberFormat="1" applyFont="1"/>
    <xf numFmtId="0" fontId="10" fillId="2" borderId="0" xfId="0" applyFont="1" applyFill="1"/>
    <xf numFmtId="174" fontId="10" fillId="0" borderId="0" xfId="0" applyNumberFormat="1" applyFont="1"/>
    <xf numFmtId="3" fontId="4" fillId="0" borderId="0" xfId="0" applyNumberFormat="1" applyFont="1"/>
    <xf numFmtId="1" fontId="4" fillId="0" borderId="0" xfId="0" applyNumberFormat="1" applyFont="1"/>
    <xf numFmtId="172" fontId="10" fillId="0" borderId="0" xfId="0" applyNumberFormat="1" applyFont="1"/>
    <xf numFmtId="0" fontId="3" fillId="0" borderId="0" xfId="0" applyFont="1" applyAlignment="1">
      <alignment horizontal="center" vertical="center"/>
    </xf>
    <xf numFmtId="0" fontId="0" fillId="7" borderId="0" xfId="0" applyFill="1"/>
    <xf numFmtId="0" fontId="10" fillId="0" borderId="0" xfId="0" applyFont="1" applyAlignment="1">
      <alignment horizontal="left"/>
    </xf>
    <xf numFmtId="0" fontId="10" fillId="0" borderId="0" xfId="0" applyFont="1" applyAlignment="1">
      <alignment horizontal="left" vertical="top"/>
    </xf>
    <xf numFmtId="0" fontId="16" fillId="0" borderId="0" xfId="0" applyFont="1" applyAlignment="1">
      <alignment horizontal="left" vertical="top"/>
    </xf>
    <xf numFmtId="168" fontId="4" fillId="0" borderId="0" xfId="0" applyNumberFormat="1" applyFont="1"/>
    <xf numFmtId="4" fontId="4" fillId="0" borderId="0" xfId="0" applyNumberFormat="1" applyFont="1"/>
    <xf numFmtId="0" fontId="56" fillId="0" borderId="0" xfId="0" applyFont="1"/>
    <xf numFmtId="0" fontId="12" fillId="0" borderId="0" xfId="0" applyFont="1"/>
    <xf numFmtId="3" fontId="10" fillId="0" borderId="0" xfId="0" applyNumberFormat="1" applyFont="1"/>
    <xf numFmtId="166" fontId="9" fillId="0" borderId="0" xfId="0" applyNumberFormat="1" applyFont="1"/>
    <xf numFmtId="166" fontId="16" fillId="0" borderId="0" xfId="0" applyNumberFormat="1" applyFont="1"/>
    <xf numFmtId="0" fontId="4" fillId="0" borderId="0" xfId="0" applyFont="1" applyAlignment="1">
      <alignment vertical="top"/>
    </xf>
    <xf numFmtId="173" fontId="4" fillId="0" borderId="0" xfId="4" applyNumberFormat="1" applyFont="1"/>
    <xf numFmtId="4" fontId="10" fillId="0" borderId="0" xfId="0" applyNumberFormat="1" applyFont="1" applyAlignment="1">
      <alignment horizontal="right"/>
    </xf>
    <xf numFmtId="0" fontId="10" fillId="7" borderId="0" xfId="0" applyFont="1" applyFill="1"/>
    <xf numFmtId="166" fontId="10" fillId="7" borderId="0" xfId="0" applyNumberFormat="1" applyFont="1" applyFill="1"/>
    <xf numFmtId="43" fontId="10" fillId="0" borderId="0" xfId="4" applyFont="1"/>
    <xf numFmtId="174" fontId="10" fillId="0" borderId="0" xfId="9" applyNumberFormat="1" applyFont="1" applyFill="1"/>
    <xf numFmtId="4" fontId="16" fillId="0" borderId="0" xfId="0" applyNumberFormat="1" applyFont="1" applyAlignment="1">
      <alignment vertical="top"/>
    </xf>
    <xf numFmtId="0" fontId="10" fillId="0" borderId="0" xfId="0" applyFont="1" applyAlignment="1">
      <alignment vertical="top" wrapText="1"/>
    </xf>
    <xf numFmtId="166" fontId="15" fillId="0" borderId="0" xfId="0" applyNumberFormat="1" applyFont="1"/>
    <xf numFmtId="0" fontId="19" fillId="0" borderId="0" xfId="0" applyFont="1"/>
    <xf numFmtId="0" fontId="5" fillId="0" borderId="0" xfId="0" applyFont="1" applyAlignment="1">
      <alignment horizontal="center" vertical="center"/>
    </xf>
    <xf numFmtId="0" fontId="7" fillId="0" borderId="0" xfId="0" applyFont="1" applyAlignment="1">
      <alignment horizontal="center" vertical="center"/>
    </xf>
    <xf numFmtId="0" fontId="8" fillId="0" borderId="0" xfId="0" applyFont="1" applyAlignment="1">
      <alignment horizontal="center" vertical="center"/>
    </xf>
    <xf numFmtId="0" fontId="59" fillId="0" borderId="0" xfId="0" applyFont="1" applyAlignment="1">
      <alignment horizontal="center" vertical="center"/>
    </xf>
    <xf numFmtId="0" fontId="58" fillId="0" borderId="0" xfId="0" applyFont="1" applyAlignment="1">
      <alignment horizontal="center" vertical="center"/>
    </xf>
    <xf numFmtId="0" fontId="59" fillId="0" borderId="0" xfId="0" applyFont="1" applyAlignment="1">
      <alignment vertical="top"/>
    </xf>
    <xf numFmtId="2" fontId="19" fillId="0" borderId="0" xfId="0" applyNumberFormat="1" applyFont="1"/>
    <xf numFmtId="0" fontId="10" fillId="0" borderId="0" xfId="0" applyFont="1" applyAlignment="1">
      <alignment horizontal="left" vertical="center"/>
    </xf>
    <xf numFmtId="2" fontId="5" fillId="0" borderId="0" xfId="0" applyNumberFormat="1" applyFont="1"/>
    <xf numFmtId="0" fontId="8" fillId="7" borderId="0" xfId="0" applyFont="1" applyFill="1"/>
    <xf numFmtId="2" fontId="5" fillId="7" borderId="0" xfId="0" applyNumberFormat="1" applyFont="1" applyFill="1"/>
    <xf numFmtId="0" fontId="62" fillId="0" borderId="0" xfId="0" applyFont="1"/>
    <xf numFmtId="166" fontId="4" fillId="0" borderId="0" xfId="0" applyNumberFormat="1" applyFont="1" applyAlignment="1">
      <alignment horizontal="right" vertical="top"/>
    </xf>
    <xf numFmtId="0" fontId="10" fillId="0" borderId="0" xfId="0" applyFont="1" applyAlignment="1">
      <alignment horizontal="right" vertical="top"/>
    </xf>
    <xf numFmtId="0" fontId="16" fillId="0" borderId="0" xfId="0" applyFont="1" applyAlignment="1">
      <alignment horizontal="right"/>
    </xf>
    <xf numFmtId="0" fontId="11" fillId="0" borderId="0" xfId="0" applyFont="1"/>
    <xf numFmtId="169" fontId="4" fillId="0" borderId="0" xfId="0" applyNumberFormat="1" applyFont="1"/>
    <xf numFmtId="43" fontId="10" fillId="0" borderId="0" xfId="0" applyNumberFormat="1" applyFont="1"/>
    <xf numFmtId="43" fontId="14" fillId="0" borderId="0" xfId="0" applyNumberFormat="1" applyFont="1" applyAlignment="1">
      <alignment vertical="top" wrapText="1"/>
    </xf>
    <xf numFmtId="166" fontId="16" fillId="0" borderId="0" xfId="0" applyNumberFormat="1" applyFont="1" applyAlignment="1">
      <alignment horizontal="right" vertical="top"/>
    </xf>
    <xf numFmtId="166" fontId="4" fillId="0" borderId="0" xfId="0" applyNumberFormat="1" applyFont="1" applyAlignment="1">
      <alignment vertical="top"/>
    </xf>
    <xf numFmtId="2" fontId="10" fillId="0" borderId="0" xfId="0" applyNumberFormat="1" applyFont="1" applyAlignment="1">
      <alignment horizontal="right"/>
    </xf>
    <xf numFmtId="168" fontId="10" fillId="0" borderId="0" xfId="0" applyNumberFormat="1" applyFont="1" applyAlignment="1">
      <alignment horizontal="right" vertical="center"/>
    </xf>
    <xf numFmtId="166" fontId="4" fillId="0" borderId="0" xfId="0" applyNumberFormat="1" applyFont="1" applyAlignment="1">
      <alignment vertical="top" wrapText="1"/>
    </xf>
    <xf numFmtId="166" fontId="4" fillId="7" borderId="0" xfId="0" applyNumberFormat="1" applyFont="1" applyFill="1"/>
    <xf numFmtId="0" fontId="16" fillId="0" borderId="0" xfId="0" applyFont="1" applyAlignment="1">
      <alignment horizontal="right" vertical="top"/>
    </xf>
    <xf numFmtId="0" fontId="16" fillId="0" borderId="0" xfId="0" applyFont="1" applyAlignment="1">
      <alignment horizontal="right" vertical="top" wrapText="1"/>
    </xf>
    <xf numFmtId="0" fontId="14" fillId="0" borderId="1" xfId="0" applyFont="1" applyBorder="1"/>
    <xf numFmtId="166" fontId="4" fillId="0" borderId="0" xfId="10" applyNumberFormat="1" applyFont="1" applyAlignment="1">
      <alignment horizontal="right"/>
    </xf>
    <xf numFmtId="0" fontId="8" fillId="0" borderId="4" xfId="0" applyFont="1" applyBorder="1"/>
    <xf numFmtId="0" fontId="5" fillId="0" borderId="4" xfId="0" applyFont="1" applyBorder="1"/>
    <xf numFmtId="166" fontId="5" fillId="0" borderId="4" xfId="0" applyNumberFormat="1" applyFont="1" applyBorder="1"/>
    <xf numFmtId="0" fontId="9" fillId="0" borderId="0" xfId="10" applyFont="1"/>
    <xf numFmtId="0" fontId="59" fillId="0" borderId="0" xfId="10" applyFont="1"/>
    <xf numFmtId="0" fontId="58" fillId="0" borderId="0" xfId="10" applyFont="1"/>
    <xf numFmtId="0" fontId="9" fillId="0" borderId="0" xfId="10" applyFont="1" applyAlignment="1">
      <alignment horizontal="left"/>
    </xf>
    <xf numFmtId="0" fontId="58" fillId="0" borderId="0" xfId="10" applyFont="1" applyAlignment="1">
      <alignment horizontal="right"/>
    </xf>
    <xf numFmtId="166" fontId="14" fillId="0" borderId="0" xfId="0" applyNumberFormat="1" applyFont="1"/>
    <xf numFmtId="4" fontId="10" fillId="0" borderId="0" xfId="0" applyNumberFormat="1" applyFont="1" applyAlignment="1">
      <alignment horizontal="right" vertical="top"/>
    </xf>
    <xf numFmtId="0" fontId="9" fillId="5" borderId="0" xfId="0" applyFont="1" applyFill="1"/>
    <xf numFmtId="0" fontId="14" fillId="7" borderId="0" xfId="0" applyFont="1" applyFill="1"/>
    <xf numFmtId="2" fontId="16" fillId="0" borderId="0" xfId="0" applyNumberFormat="1" applyFont="1" applyAlignment="1">
      <alignment horizontal="right" vertical="top"/>
    </xf>
    <xf numFmtId="0" fontId="19" fillId="0" borderId="0" xfId="0" applyFont="1" applyAlignment="1">
      <alignment horizontal="center" vertical="top"/>
    </xf>
    <xf numFmtId="1" fontId="4" fillId="0" borderId="0" xfId="0" applyNumberFormat="1" applyFont="1" applyAlignment="1">
      <alignment vertical="top"/>
    </xf>
    <xf numFmtId="3" fontId="4" fillId="0" borderId="0" xfId="0" applyNumberFormat="1" applyFont="1" applyAlignment="1">
      <alignment vertical="top"/>
    </xf>
    <xf numFmtId="0" fontId="82" fillId="0" borderId="0" xfId="0" applyFont="1"/>
    <xf numFmtId="0" fontId="19" fillId="0" borderId="0" xfId="0" applyFont="1" applyAlignment="1">
      <alignment horizontal="right" vertical="top"/>
    </xf>
    <xf numFmtId="169" fontId="10" fillId="0" borderId="0" xfId="0" applyNumberFormat="1" applyFont="1"/>
    <xf numFmtId="0" fontId="5" fillId="0" borderId="11" xfId="0" applyFont="1" applyBorder="1"/>
    <xf numFmtId="0" fontId="86" fillId="0" borderId="12" xfId="0" applyFont="1" applyBorder="1" applyAlignment="1">
      <alignment horizontal="center" vertical="top" wrapText="1"/>
    </xf>
    <xf numFmtId="0" fontId="86" fillId="0" borderId="12" xfId="0" applyFont="1" applyBorder="1" applyAlignment="1">
      <alignment horizontal="left" vertical="top" wrapText="1" indent="4"/>
    </xf>
    <xf numFmtId="0" fontId="62" fillId="7" borderId="0" xfId="0" applyFont="1" applyFill="1" applyAlignment="1">
      <alignment horizontal="left" vertical="center" wrapText="1"/>
    </xf>
    <xf numFmtId="175" fontId="0" fillId="7" borderId="0" xfId="0" applyNumberFormat="1" applyFill="1" applyAlignment="1">
      <alignment horizontal="right" vertical="top" wrapText="1"/>
    </xf>
    <xf numFmtId="3" fontId="0" fillId="7" borderId="0" xfId="0" applyNumberFormat="1" applyFill="1" applyAlignment="1">
      <alignment horizontal="right" vertical="top" wrapText="1"/>
    </xf>
    <xf numFmtId="4" fontId="0" fillId="7" borderId="0" xfId="0" applyNumberFormat="1" applyFill="1" applyAlignment="1">
      <alignment horizontal="right" vertical="top" wrapText="1"/>
    </xf>
    <xf numFmtId="0" fontId="36" fillId="0" borderId="0" xfId="1" applyFont="1"/>
    <xf numFmtId="2" fontId="0" fillId="0" borderId="0" xfId="0" applyNumberFormat="1" applyAlignment="1">
      <alignment vertical="top"/>
    </xf>
    <xf numFmtId="0" fontId="14" fillId="0" borderId="0" xfId="11" applyFont="1" applyAlignment="1">
      <alignment vertical="top" wrapText="1"/>
    </xf>
    <xf numFmtId="169" fontId="0" fillId="0" borderId="0" xfId="0" applyNumberFormat="1"/>
    <xf numFmtId="2" fontId="10" fillId="7" borderId="0" xfId="0" applyNumberFormat="1" applyFont="1" applyFill="1"/>
    <xf numFmtId="0" fontId="16" fillId="2" borderId="0" xfId="0" applyFont="1" applyFill="1"/>
    <xf numFmtId="0" fontId="14" fillId="0" borderId="0" xfId="0" applyFont="1" applyAlignment="1">
      <alignment horizontal="left" vertical="center"/>
    </xf>
    <xf numFmtId="0" fontId="4" fillId="0" borderId="0" xfId="0" applyFont="1" applyAlignment="1">
      <alignment horizontal="left" vertical="center" wrapText="1"/>
    </xf>
    <xf numFmtId="0" fontId="4" fillId="0" borderId="0" xfId="0" applyFont="1" applyAlignment="1">
      <alignment horizontal="right" vertical="top" wrapText="1"/>
    </xf>
    <xf numFmtId="0" fontId="4" fillId="0" borderId="0" xfId="0" applyFont="1" applyAlignment="1">
      <alignment horizontal="right" vertical="top"/>
    </xf>
    <xf numFmtId="0" fontId="3" fillId="0" borderId="0" xfId="1" applyFont="1" applyAlignment="1">
      <alignment horizontal="center" vertical="top" wrapText="1"/>
    </xf>
    <xf numFmtId="2" fontId="4" fillId="0" borderId="0" xfId="0" applyNumberFormat="1" applyFont="1" applyAlignment="1">
      <alignment vertical="top"/>
    </xf>
    <xf numFmtId="4" fontId="3" fillId="0" borderId="0" xfId="1" applyNumberFormat="1" applyFont="1" applyAlignment="1">
      <alignment horizontal="center" vertical="top" wrapText="1"/>
    </xf>
    <xf numFmtId="0" fontId="14" fillId="0" borderId="0" xfId="0" applyFont="1" applyAlignment="1">
      <alignment horizontal="center" vertical="center" wrapText="1"/>
    </xf>
    <xf numFmtId="0" fontId="14" fillId="0" borderId="0" xfId="1" applyFont="1" applyAlignment="1">
      <alignment horizontal="left" vertical="top" wrapText="1"/>
    </xf>
    <xf numFmtId="177" fontId="3" fillId="0" borderId="0" xfId="1" applyNumberFormat="1" applyFont="1" applyAlignment="1">
      <alignment horizontal="center" vertical="top" wrapText="1"/>
    </xf>
    <xf numFmtId="0" fontId="35" fillId="2" borderId="0" xfId="0" applyFont="1" applyFill="1"/>
    <xf numFmtId="0" fontId="88" fillId="2" borderId="0" xfId="0" applyFont="1" applyFill="1" applyAlignment="1">
      <alignment horizontal="left"/>
    </xf>
    <xf numFmtId="0" fontId="3" fillId="5" borderId="0" xfId="0" applyFont="1" applyFill="1" applyAlignment="1">
      <alignment horizontal="center" vertical="center"/>
    </xf>
    <xf numFmtId="2" fontId="10" fillId="0" borderId="0" xfId="0" applyNumberFormat="1" applyFont="1" applyAlignment="1">
      <alignment vertical="top"/>
    </xf>
    <xf numFmtId="0" fontId="70" fillId="0" borderId="0" xfId="0" applyFont="1"/>
    <xf numFmtId="0" fontId="98" fillId="0" borderId="0" xfId="0" applyFont="1"/>
    <xf numFmtId="3" fontId="98" fillId="0" borderId="0" xfId="0" applyNumberFormat="1" applyFont="1"/>
    <xf numFmtId="0" fontId="99" fillId="0" borderId="0" xfId="0" applyFont="1"/>
    <xf numFmtId="3" fontId="99" fillId="0" borderId="0" xfId="0" applyNumberFormat="1" applyFont="1"/>
    <xf numFmtId="169" fontId="99" fillId="0" borderId="0" xfId="0" applyNumberFormat="1" applyFont="1"/>
    <xf numFmtId="0" fontId="11" fillId="13" borderId="0" xfId="1" applyFont="1" applyFill="1" applyAlignment="1">
      <alignment horizontal="center" vertical="center"/>
    </xf>
    <xf numFmtId="0" fontId="2" fillId="11" borderId="0" xfId="1" applyFont="1" applyFill="1" applyAlignment="1">
      <alignment horizontal="right"/>
    </xf>
    <xf numFmtId="169" fontId="100" fillId="0" borderId="0" xfId="0" applyNumberFormat="1" applyFont="1"/>
    <xf numFmtId="0" fontId="2" fillId="4" borderId="0" xfId="1" applyFont="1" applyFill="1" applyAlignment="1">
      <alignment horizontal="right"/>
    </xf>
    <xf numFmtId="168" fontId="16" fillId="0" borderId="0" xfId="0" applyNumberFormat="1" applyFont="1" applyAlignment="1">
      <alignment horizontal="right"/>
    </xf>
    <xf numFmtId="166" fontId="2" fillId="0" borderId="0" xfId="1" applyNumberFormat="1" applyFont="1" applyAlignment="1">
      <alignment horizontal="right"/>
    </xf>
    <xf numFmtId="0" fontId="2" fillId="11" borderId="0" xfId="1" applyFont="1" applyFill="1"/>
    <xf numFmtId="2" fontId="16" fillId="0" borderId="0" xfId="0" applyNumberFormat="1" applyFont="1" applyAlignment="1">
      <alignment horizontal="right"/>
    </xf>
    <xf numFmtId="169" fontId="4" fillId="7" borderId="0" xfId="0" applyNumberFormat="1" applyFont="1" applyFill="1"/>
    <xf numFmtId="172" fontId="14" fillId="7" borderId="0" xfId="0" applyNumberFormat="1" applyFont="1" applyFill="1"/>
    <xf numFmtId="172" fontId="4" fillId="7" borderId="0" xfId="0" applyNumberFormat="1" applyFont="1" applyFill="1"/>
    <xf numFmtId="0" fontId="5" fillId="0" borderId="16" xfId="0" applyFont="1" applyBorder="1"/>
    <xf numFmtId="0" fontId="59" fillId="0" borderId="16" xfId="0" applyFont="1" applyBorder="1"/>
    <xf numFmtId="0" fontId="59" fillId="0" borderId="11" xfId="0" applyFont="1" applyBorder="1"/>
    <xf numFmtId="0" fontId="5" fillId="0" borderId="17" xfId="0" applyFont="1" applyBorder="1"/>
    <xf numFmtId="0" fontId="5" fillId="0" borderId="18" xfId="0" applyFont="1" applyBorder="1"/>
    <xf numFmtId="0" fontId="59" fillId="0" borderId="4" xfId="0" applyFont="1" applyBorder="1" applyAlignment="1">
      <alignment horizontal="center"/>
    </xf>
    <xf numFmtId="0" fontId="7" fillId="0" borderId="4" xfId="0" applyFont="1" applyBorder="1"/>
    <xf numFmtId="0" fontId="5" fillId="0" borderId="4" xfId="0" applyFont="1" applyBorder="1" applyAlignment="1">
      <alignment vertical="top"/>
    </xf>
    <xf numFmtId="168" fontId="0" fillId="0" borderId="4" xfId="0" applyNumberFormat="1" applyBorder="1" applyAlignment="1">
      <alignment horizontal="right" vertical="top"/>
    </xf>
    <xf numFmtId="2" fontId="15" fillId="0" borderId="4" xfId="0" applyNumberFormat="1" applyFont="1" applyBorder="1"/>
    <xf numFmtId="168" fontId="15" fillId="0" borderId="4" xfId="0" applyNumberFormat="1" applyFont="1" applyBorder="1"/>
    <xf numFmtId="0" fontId="15" fillId="0" borderId="4" xfId="0" applyFont="1" applyBorder="1"/>
    <xf numFmtId="166" fontId="15" fillId="0" borderId="4" xfId="0" applyNumberFormat="1" applyFont="1" applyBorder="1"/>
    <xf numFmtId="0" fontId="0" fillId="0" borderId="4" xfId="0" applyBorder="1"/>
    <xf numFmtId="166" fontId="0" fillId="0" borderId="4" xfId="0" applyNumberFormat="1" applyBorder="1"/>
    <xf numFmtId="2" fontId="0" fillId="0" borderId="4" xfId="0" applyNumberFormat="1" applyBorder="1"/>
    <xf numFmtId="0" fontId="58" fillId="0" borderId="4" xfId="0" applyFont="1" applyBorder="1" applyAlignment="1">
      <alignment vertical="top"/>
    </xf>
    <xf numFmtId="168" fontId="103" fillId="0" borderId="4" xfId="0" applyNumberFormat="1" applyFont="1" applyBorder="1" applyAlignment="1">
      <alignment horizontal="right" vertical="top"/>
    </xf>
    <xf numFmtId="168" fontId="103" fillId="0" borderId="4" xfId="1" applyNumberFormat="1" applyFont="1" applyBorder="1" applyAlignment="1">
      <alignment horizontal="right" vertical="top"/>
    </xf>
    <xf numFmtId="0" fontId="59" fillId="0" borderId="4" xfId="0" applyFont="1" applyBorder="1" applyAlignment="1">
      <alignment vertical="top"/>
    </xf>
    <xf numFmtId="168" fontId="105" fillId="0" borderId="4" xfId="0" applyNumberFormat="1" applyFont="1" applyBorder="1" applyAlignment="1">
      <alignment horizontal="right" vertical="top"/>
    </xf>
    <xf numFmtId="0" fontId="59" fillId="0" borderId="4" xfId="0" applyFont="1" applyBorder="1"/>
    <xf numFmtId="0" fontId="16" fillId="0" borderId="4" xfId="0" applyFont="1" applyBorder="1" applyAlignment="1">
      <alignment horizontal="right" vertical="top"/>
    </xf>
    <xf numFmtId="3" fontId="5" fillId="0" borderId="4" xfId="0" applyNumberFormat="1" applyFont="1" applyBorder="1"/>
    <xf numFmtId="168" fontId="5" fillId="0" borderId="4" xfId="0" applyNumberFormat="1" applyFont="1" applyBorder="1"/>
    <xf numFmtId="168" fontId="54" fillId="0" borderId="4" xfId="0" applyNumberFormat="1" applyFont="1" applyBorder="1" applyAlignment="1">
      <alignment horizontal="right" vertical="top"/>
    </xf>
    <xf numFmtId="166" fontId="6" fillId="0" borderId="4" xfId="0" applyNumberFormat="1" applyFont="1" applyBorder="1" applyAlignment="1">
      <alignment vertical="top"/>
    </xf>
    <xf numFmtId="166" fontId="106" fillId="0" borderId="4" xfId="0" applyNumberFormat="1" applyFont="1" applyBorder="1" applyAlignment="1">
      <alignment vertical="top"/>
    </xf>
    <xf numFmtId="0" fontId="16" fillId="2" borderId="0" xfId="0" applyFont="1" applyFill="1" applyAlignment="1">
      <alignment horizontal="right" vertical="top"/>
    </xf>
    <xf numFmtId="2" fontId="4" fillId="0" borderId="0" xfId="1" applyNumberFormat="1" applyFont="1"/>
    <xf numFmtId="169" fontId="4" fillId="0" borderId="0" xfId="1" applyNumberFormat="1" applyFont="1" applyAlignment="1">
      <alignment horizontal="right"/>
    </xf>
    <xf numFmtId="0" fontId="4" fillId="7" borderId="0" xfId="0" applyFont="1" applyFill="1" applyAlignment="1">
      <alignment vertical="top"/>
    </xf>
    <xf numFmtId="2" fontId="4" fillId="7" borderId="0" xfId="0" applyNumberFormat="1" applyFont="1" applyFill="1" applyAlignment="1">
      <alignment vertical="top"/>
    </xf>
    <xf numFmtId="0" fontId="34" fillId="0" borderId="1" xfId="0" applyFont="1" applyBorder="1"/>
    <xf numFmtId="0" fontId="0" fillId="12" borderId="0" xfId="0" applyFill="1" applyAlignment="1">
      <alignment horizontal="right" vertical="center"/>
    </xf>
    <xf numFmtId="2" fontId="0" fillId="12" borderId="0" xfId="0" applyNumberFormat="1" applyFill="1" applyAlignment="1">
      <alignment horizontal="right" vertical="center"/>
    </xf>
    <xf numFmtId="0" fontId="4" fillId="0" borderId="1" xfId="0" applyFont="1" applyBorder="1" applyAlignment="1">
      <alignment horizontal="center"/>
    </xf>
    <xf numFmtId="4" fontId="16" fillId="2" borderId="0" xfId="0" applyNumberFormat="1" applyFont="1" applyFill="1"/>
    <xf numFmtId="0" fontId="16" fillId="2" borderId="0" xfId="0" applyFont="1" applyFill="1" applyAlignment="1">
      <alignment horizontal="right" vertical="top" wrapText="1"/>
    </xf>
    <xf numFmtId="0" fontId="14" fillId="0" borderId="0" xfId="0" applyFont="1" applyAlignment="1">
      <alignment horizontal="center" vertical="center"/>
    </xf>
    <xf numFmtId="167" fontId="4" fillId="0" borderId="0" xfId="0" applyNumberFormat="1" applyFont="1"/>
    <xf numFmtId="0" fontId="58" fillId="0" borderId="0" xfId="0" applyFont="1" applyAlignment="1">
      <alignment horizontal="center" vertical="center" wrapText="1"/>
    </xf>
    <xf numFmtId="2" fontId="58" fillId="0" borderId="0" xfId="0" applyNumberFormat="1" applyFont="1" applyAlignment="1">
      <alignment horizontal="center" vertical="center"/>
    </xf>
    <xf numFmtId="2" fontId="5" fillId="0" borderId="0" xfId="0" applyNumberFormat="1" applyFont="1" applyAlignment="1">
      <alignment horizontal="center" vertical="center"/>
    </xf>
    <xf numFmtId="0" fontId="4" fillId="0" borderId="0" xfId="1" applyFont="1" applyAlignment="1">
      <alignment horizontal="left"/>
    </xf>
    <xf numFmtId="2" fontId="20" fillId="0" borderId="0" xfId="1" applyNumberFormat="1" applyFont="1"/>
    <xf numFmtId="0" fontId="83" fillId="2" borderId="0" xfId="0" applyFont="1" applyFill="1"/>
    <xf numFmtId="166" fontId="83" fillId="2" borderId="0" xfId="0" applyNumberFormat="1" applyFont="1" applyFill="1"/>
    <xf numFmtId="0" fontId="73" fillId="0" borderId="0" xfId="10" applyFont="1" applyAlignment="1">
      <alignment horizontal="left"/>
    </xf>
    <xf numFmtId="0" fontId="12" fillId="0" borderId="0" xfId="10" applyFont="1"/>
    <xf numFmtId="0" fontId="59" fillId="0" borderId="0" xfId="10" applyFont="1" applyAlignment="1">
      <alignment horizontal="right"/>
    </xf>
    <xf numFmtId="0" fontId="84" fillId="6" borderId="1" xfId="0" applyFont="1" applyFill="1" applyBorder="1"/>
    <xf numFmtId="166" fontId="88" fillId="2" borderId="0" xfId="0" applyNumberFormat="1" applyFont="1" applyFill="1"/>
    <xf numFmtId="0" fontId="88" fillId="2" borderId="0" xfId="0" applyFont="1" applyFill="1"/>
    <xf numFmtId="0" fontId="3" fillId="5" borderId="0" xfId="0" applyFont="1" applyFill="1" applyAlignment="1">
      <alignment horizontal="left" vertical="center"/>
    </xf>
    <xf numFmtId="0" fontId="16" fillId="2" borderId="0" xfId="0" applyFont="1" applyFill="1" applyAlignment="1">
      <alignment horizontal="center" vertical="top"/>
    </xf>
    <xf numFmtId="0" fontId="16" fillId="2" borderId="0" xfId="0" applyFont="1" applyFill="1" applyAlignment="1">
      <alignment horizontal="center"/>
    </xf>
    <xf numFmtId="4" fontId="16" fillId="2" borderId="0" xfId="0" applyNumberFormat="1" applyFont="1" applyFill="1" applyAlignment="1">
      <alignment horizontal="right"/>
    </xf>
    <xf numFmtId="0" fontId="19" fillId="2" borderId="0" xfId="0" applyFont="1" applyFill="1" applyAlignment="1">
      <alignment horizontal="right" vertical="top"/>
    </xf>
    <xf numFmtId="0" fontId="10" fillId="2" borderId="0" xfId="0" applyFont="1" applyFill="1" applyAlignment="1">
      <alignment horizontal="right" vertical="top"/>
    </xf>
    <xf numFmtId="4" fontId="0" fillId="2" borderId="0" xfId="0" applyNumberFormat="1" applyFill="1"/>
    <xf numFmtId="175" fontId="0" fillId="2" borderId="0" xfId="0" applyNumberFormat="1" applyFill="1"/>
    <xf numFmtId="0" fontId="3" fillId="0" borderId="0" xfId="0" applyFont="1" applyAlignment="1">
      <alignment horizontal="center" vertical="top"/>
    </xf>
    <xf numFmtId="43" fontId="4" fillId="0" borderId="0" xfId="4" applyFont="1" applyFill="1"/>
    <xf numFmtId="0" fontId="4" fillId="0" borderId="0" xfId="0" applyFont="1" applyAlignment="1">
      <alignment horizontal="center"/>
    </xf>
    <xf numFmtId="0" fontId="4" fillId="0" borderId="0" xfId="0" applyFont="1" applyAlignment="1">
      <alignment horizontal="center" vertical="center"/>
    </xf>
    <xf numFmtId="168" fontId="4" fillId="0" borderId="0" xfId="0" applyNumberFormat="1" applyFont="1" applyAlignment="1">
      <alignment horizontal="right"/>
    </xf>
    <xf numFmtId="43" fontId="4" fillId="0" borderId="0" xfId="4" applyFont="1" applyFill="1" applyAlignment="1">
      <alignment horizontal="left"/>
    </xf>
    <xf numFmtId="165" fontId="4" fillId="0" borderId="0" xfId="0" applyNumberFormat="1" applyFont="1"/>
    <xf numFmtId="173" fontId="4" fillId="0" borderId="0" xfId="0" applyNumberFormat="1" applyFont="1"/>
    <xf numFmtId="43" fontId="14" fillId="0" borderId="0" xfId="4" applyFont="1" applyAlignment="1">
      <alignment vertical="top" wrapText="1"/>
    </xf>
    <xf numFmtId="43" fontId="4" fillId="0" borderId="0" xfId="4" applyFont="1" applyAlignment="1">
      <alignment vertical="top" wrapText="1"/>
    </xf>
    <xf numFmtId="43" fontId="4" fillId="0" borderId="0" xfId="4" applyFont="1"/>
    <xf numFmtId="43" fontId="10" fillId="0" borderId="0" xfId="4" applyFont="1" applyAlignment="1">
      <alignment vertical="top" wrapText="1"/>
    </xf>
    <xf numFmtId="43" fontId="14" fillId="0" borderId="0" xfId="4" applyFont="1"/>
    <xf numFmtId="0" fontId="36" fillId="0" borderId="0" xfId="0" applyFont="1" applyAlignment="1">
      <alignment vertical="top"/>
    </xf>
    <xf numFmtId="0" fontId="34" fillId="0" borderId="1" xfId="0" applyFont="1" applyBorder="1" applyAlignment="1">
      <alignment vertical="top"/>
    </xf>
    <xf numFmtId="0" fontId="18" fillId="0" borderId="0" xfId="0" applyFont="1" applyAlignment="1">
      <alignment vertical="top"/>
    </xf>
    <xf numFmtId="0" fontId="4" fillId="0" borderId="0" xfId="1" applyFont="1" applyAlignment="1">
      <alignment vertical="top"/>
    </xf>
    <xf numFmtId="0" fontId="3" fillId="0" borderId="0" xfId="0" applyFont="1" applyAlignment="1">
      <alignment vertical="top" wrapText="1"/>
    </xf>
    <xf numFmtId="0" fontId="3" fillId="0" borderId="0" xfId="0" applyFont="1" applyAlignment="1">
      <alignment horizontal="right" vertical="center" wrapText="1"/>
    </xf>
    <xf numFmtId="0" fontId="4" fillId="0" borderId="0" xfId="0" applyFont="1" applyAlignment="1">
      <alignment horizontal="right" vertical="center"/>
    </xf>
    <xf numFmtId="43" fontId="0" fillId="0" borderId="0" xfId="0" applyNumberFormat="1"/>
    <xf numFmtId="43" fontId="10" fillId="0" borderId="0" xfId="4" applyFont="1" applyFill="1"/>
    <xf numFmtId="0" fontId="3" fillId="0" borderId="0" xfId="0" applyFont="1" applyAlignment="1">
      <alignment horizontal="left" vertical="top" wrapText="1"/>
    </xf>
    <xf numFmtId="166" fontId="4" fillId="11" borderId="0" xfId="1" applyNumberFormat="1" applyFont="1" applyFill="1"/>
    <xf numFmtId="166" fontId="4" fillId="11" borderId="0" xfId="0" applyNumberFormat="1" applyFont="1" applyFill="1" applyAlignment="1">
      <alignment vertical="top"/>
    </xf>
    <xf numFmtId="0" fontId="34" fillId="0" borderId="3" xfId="0" applyFont="1" applyBorder="1" applyAlignment="1">
      <alignment horizontal="left"/>
    </xf>
    <xf numFmtId="0" fontId="108" fillId="0" borderId="3" xfId="0" applyFont="1" applyBorder="1"/>
    <xf numFmtId="166" fontId="4" fillId="0" borderId="14" xfId="0" applyNumberFormat="1" applyFont="1" applyBorder="1" applyAlignment="1">
      <alignment horizontal="right" vertical="center"/>
    </xf>
    <xf numFmtId="43" fontId="3" fillId="0" borderId="0" xfId="4" applyFont="1" applyFill="1" applyAlignment="1">
      <alignment vertical="top"/>
    </xf>
    <xf numFmtId="166" fontId="10" fillId="0" borderId="0" xfId="0" applyNumberFormat="1" applyFont="1" applyAlignment="1">
      <alignment vertical="top" wrapText="1"/>
    </xf>
    <xf numFmtId="0" fontId="10" fillId="0" borderId="0" xfId="0" applyFont="1" applyAlignment="1">
      <alignment vertical="center"/>
    </xf>
    <xf numFmtId="166" fontId="4" fillId="0" borderId="0" xfId="0" applyNumberFormat="1" applyFont="1" applyAlignment="1">
      <alignment horizontal="right"/>
    </xf>
    <xf numFmtId="168" fontId="16" fillId="0" borderId="0" xfId="0" applyNumberFormat="1" applyFont="1"/>
    <xf numFmtId="0" fontId="19" fillId="0" borderId="0" xfId="0" applyFont="1" applyAlignment="1">
      <alignment vertical="top"/>
    </xf>
    <xf numFmtId="166" fontId="16" fillId="0" borderId="0" xfId="0" applyNumberFormat="1" applyFont="1" applyAlignment="1">
      <alignment vertical="top"/>
    </xf>
    <xf numFmtId="0" fontId="10" fillId="0" borderId="0" xfId="0" applyFont="1" applyAlignment="1">
      <alignment wrapText="1"/>
    </xf>
    <xf numFmtId="0" fontId="10" fillId="0" borderId="0" xfId="0" applyFont="1" applyAlignment="1">
      <alignment vertical="center" wrapText="1"/>
    </xf>
    <xf numFmtId="0" fontId="3" fillId="0" borderId="0" xfId="0" applyFont="1" applyAlignment="1">
      <alignment vertical="center" wrapText="1"/>
    </xf>
    <xf numFmtId="166" fontId="61" fillId="0" borderId="0" xfId="0" applyNumberFormat="1" applyFont="1"/>
    <xf numFmtId="0" fontId="28" fillId="0" borderId="0" xfId="0" applyFont="1"/>
    <xf numFmtId="0" fontId="61" fillId="0" borderId="0" xfId="0" applyFont="1"/>
    <xf numFmtId="166" fontId="62" fillId="0" borderId="0" xfId="0" applyNumberFormat="1" applyFont="1"/>
    <xf numFmtId="10" fontId="62" fillId="0" borderId="0" xfId="0" applyNumberFormat="1" applyFont="1"/>
    <xf numFmtId="0" fontId="10" fillId="0" borderId="0" xfId="0" applyFont="1" applyAlignment="1">
      <alignment horizontal="right" vertical="center" wrapText="1"/>
    </xf>
    <xf numFmtId="3" fontId="62" fillId="0" borderId="0" xfId="0" applyNumberFormat="1" applyFont="1"/>
    <xf numFmtId="166" fontId="10" fillId="0" borderId="0" xfId="3" applyNumberFormat="1" applyFont="1" applyFill="1"/>
    <xf numFmtId="166" fontId="10" fillId="0" borderId="0" xfId="3" applyNumberFormat="1" applyFont="1"/>
    <xf numFmtId="0" fontId="63" fillId="0" borderId="0" xfId="0" applyFont="1"/>
    <xf numFmtId="166" fontId="10" fillId="0" borderId="0" xfId="0" applyNumberFormat="1" applyFont="1" applyAlignment="1">
      <alignment vertical="top"/>
    </xf>
    <xf numFmtId="166" fontId="10" fillId="0" borderId="0" xfId="3" applyNumberFormat="1" applyFont="1" applyFill="1" applyAlignment="1">
      <alignment vertical="top"/>
    </xf>
    <xf numFmtId="168" fontId="10" fillId="0" borderId="0" xfId="0" applyNumberFormat="1" applyFont="1" applyAlignment="1">
      <alignment horizontal="right" vertical="top"/>
    </xf>
    <xf numFmtId="168" fontId="10" fillId="0" borderId="0" xfId="3" applyNumberFormat="1" applyFont="1" applyFill="1"/>
    <xf numFmtId="167" fontId="10" fillId="0" borderId="0" xfId="3" applyFont="1"/>
    <xf numFmtId="166" fontId="10" fillId="0" borderId="0" xfId="3" applyNumberFormat="1" applyFont="1" applyFill="1" applyAlignment="1">
      <alignment horizontal="right" vertical="top"/>
    </xf>
    <xf numFmtId="168" fontId="10" fillId="0" borderId="0" xfId="0" applyNumberFormat="1" applyFont="1" applyAlignment="1">
      <alignment horizontal="right"/>
    </xf>
    <xf numFmtId="166" fontId="10" fillId="8" borderId="0" xfId="0" applyNumberFormat="1" applyFont="1" applyFill="1"/>
    <xf numFmtId="166" fontId="10" fillId="0" borderId="0" xfId="0" applyNumberFormat="1" applyFont="1" applyAlignment="1">
      <alignment horizontal="right" vertical="center"/>
    </xf>
    <xf numFmtId="168" fontId="16" fillId="0" borderId="0" xfId="0" applyNumberFormat="1" applyFont="1" applyAlignment="1">
      <alignment horizontal="right" vertical="center"/>
    </xf>
    <xf numFmtId="166" fontId="16" fillId="0" borderId="0" xfId="0" applyNumberFormat="1" applyFont="1" applyAlignment="1">
      <alignment horizontal="right" vertical="center"/>
    </xf>
    <xf numFmtId="166" fontId="3" fillId="0" borderId="0" xfId="0" applyNumberFormat="1" applyFont="1" applyAlignment="1">
      <alignment vertical="top"/>
    </xf>
    <xf numFmtId="166" fontId="19" fillId="0" borderId="0" xfId="0" applyNumberFormat="1" applyFont="1" applyAlignment="1">
      <alignment horizontal="right" vertical="top"/>
    </xf>
    <xf numFmtId="168" fontId="3" fillId="0" borderId="0" xfId="0" applyNumberFormat="1" applyFont="1"/>
    <xf numFmtId="168" fontId="4" fillId="0" borderId="0" xfId="0" applyNumberFormat="1" applyFont="1" applyAlignment="1">
      <alignment vertical="top" wrapText="1"/>
    </xf>
    <xf numFmtId="0" fontId="3" fillId="7" borderId="0" xfId="0" applyFont="1" applyFill="1"/>
    <xf numFmtId="171" fontId="10" fillId="7" borderId="0" xfId="0" applyNumberFormat="1" applyFont="1" applyFill="1"/>
    <xf numFmtId="175" fontId="4" fillId="0" borderId="0" xfId="0" applyNumberFormat="1" applyFont="1"/>
    <xf numFmtId="2" fontId="10" fillId="0" borderId="0" xfId="3" applyNumberFormat="1" applyFont="1"/>
    <xf numFmtId="0" fontId="16" fillId="0" borderId="0" xfId="0" applyFont="1" applyAlignment="1">
      <alignment vertical="center"/>
    </xf>
    <xf numFmtId="4" fontId="16" fillId="0" borderId="0" xfId="0" applyNumberFormat="1" applyFont="1" applyAlignment="1">
      <alignment horizontal="right" vertical="top"/>
    </xf>
    <xf numFmtId="4" fontId="16" fillId="0" borderId="0" xfId="0" applyNumberFormat="1" applyFont="1" applyAlignment="1">
      <alignment horizontal="right" vertical="top" wrapText="1"/>
    </xf>
    <xf numFmtId="0" fontId="31" fillId="0" borderId="0" xfId="0" applyFont="1"/>
    <xf numFmtId="0" fontId="10" fillId="0" borderId="0" xfId="0" applyFont="1" applyAlignment="1">
      <alignment horizontal="right" vertical="top" wrapText="1"/>
    </xf>
    <xf numFmtId="2" fontId="4" fillId="0" borderId="0" xfId="10" applyNumberFormat="1" applyFont="1"/>
    <xf numFmtId="0" fontId="4" fillId="7" borderId="0" xfId="0" applyFont="1" applyFill="1"/>
    <xf numFmtId="2" fontId="4" fillId="7" borderId="0" xfId="10" applyNumberFormat="1" applyFont="1" applyFill="1"/>
    <xf numFmtId="0" fontId="71" fillId="0" borderId="0" xfId="0" applyFont="1"/>
    <xf numFmtId="2" fontId="10" fillId="0" borderId="0" xfId="0" applyNumberFormat="1" applyFont="1" applyAlignment="1">
      <alignment horizontal="right" vertical="top"/>
    </xf>
    <xf numFmtId="43" fontId="3" fillId="0" borderId="0" xfId="4" applyFont="1" applyFill="1"/>
    <xf numFmtId="43" fontId="14" fillId="0" borderId="0" xfId="4" applyFont="1" applyFill="1"/>
    <xf numFmtId="0" fontId="3" fillId="0" borderId="0" xfId="0" applyFont="1" applyAlignment="1">
      <alignment vertical="top"/>
    </xf>
    <xf numFmtId="0" fontId="3" fillId="14" borderId="0" xfId="0" applyFont="1" applyFill="1" applyAlignment="1">
      <alignment vertical="top"/>
    </xf>
    <xf numFmtId="2" fontId="4" fillId="14" borderId="0" xfId="0" applyNumberFormat="1" applyFont="1" applyFill="1"/>
    <xf numFmtId="0" fontId="4" fillId="14" borderId="0" xfId="0" applyFont="1" applyFill="1"/>
    <xf numFmtId="0" fontId="3" fillId="0" borderId="0" xfId="0" applyFont="1" applyAlignment="1">
      <alignment horizontal="center" vertical="top" wrapText="1"/>
    </xf>
    <xf numFmtId="43" fontId="10" fillId="0" borderId="0" xfId="4" applyFont="1" applyFill="1" applyAlignment="1">
      <alignment horizontal="right"/>
    </xf>
    <xf numFmtId="0" fontId="18" fillId="0" borderId="0" xfId="0" applyFont="1" applyAlignment="1">
      <alignment horizontal="left"/>
    </xf>
    <xf numFmtId="43" fontId="16" fillId="0" borderId="0" xfId="4" applyFont="1" applyFill="1" applyAlignment="1">
      <alignment horizontal="left" vertical="top"/>
    </xf>
    <xf numFmtId="0" fontId="87" fillId="0" borderId="0" xfId="0" applyFont="1"/>
    <xf numFmtId="0" fontId="3" fillId="0" borderId="9" xfId="0" applyFont="1" applyBorder="1"/>
    <xf numFmtId="0" fontId="87" fillId="0" borderId="10" xfId="0" applyFont="1" applyBorder="1"/>
    <xf numFmtId="43" fontId="87" fillId="0" borderId="0" xfId="4" applyFont="1" applyFill="1"/>
    <xf numFmtId="43" fontId="5" fillId="0" borderId="0" xfId="4" applyFont="1"/>
    <xf numFmtId="168" fontId="4" fillId="0" borderId="0" xfId="1" applyNumberFormat="1" applyFont="1" applyAlignment="1">
      <alignment horizontal="right"/>
    </xf>
    <xf numFmtId="4" fontId="4" fillId="0" borderId="0" xfId="1" applyNumberFormat="1" applyFont="1" applyAlignment="1">
      <alignment horizontal="right"/>
    </xf>
    <xf numFmtId="0" fontId="3" fillId="0" borderId="0" xfId="0" applyFont="1" applyAlignment="1">
      <alignment horizontal="center" vertical="center" wrapText="1"/>
    </xf>
    <xf numFmtId="168" fontId="4" fillId="0" borderId="0" xfId="1" applyNumberFormat="1" applyFont="1"/>
    <xf numFmtId="166" fontId="108" fillId="0" borderId="0" xfId="0" applyNumberFormat="1" applyFont="1"/>
    <xf numFmtId="0" fontId="109" fillId="0" borderId="0" xfId="0" applyFont="1"/>
    <xf numFmtId="0" fontId="110" fillId="0" borderId="0" xfId="0" applyFont="1"/>
    <xf numFmtId="0" fontId="20" fillId="0" borderId="0" xfId="0" applyFont="1" applyAlignment="1">
      <alignment horizontal="right" vertical="top"/>
    </xf>
    <xf numFmtId="166" fontId="109" fillId="0" borderId="0" xfId="0" applyNumberFormat="1" applyFont="1"/>
    <xf numFmtId="0" fontId="14" fillId="0" borderId="4" xfId="0" applyFont="1" applyBorder="1"/>
    <xf numFmtId="2" fontId="4" fillId="0" borderId="4" xfId="0" applyNumberFormat="1" applyFont="1" applyBorder="1"/>
    <xf numFmtId="166" fontId="20" fillId="0" borderId="0" xfId="0" applyNumberFormat="1" applyFont="1" applyAlignment="1">
      <alignment horizontal="right" vertical="top"/>
    </xf>
    <xf numFmtId="0" fontId="3" fillId="9" borderId="4" xfId="0" applyFont="1" applyFill="1" applyBorder="1" applyAlignment="1">
      <alignment horizontal="right"/>
    </xf>
    <xf numFmtId="166" fontId="111" fillId="0" borderId="0" xfId="0" applyNumberFormat="1" applyFont="1"/>
    <xf numFmtId="0" fontId="4" fillId="0" borderId="4" xfId="0" applyFont="1" applyBorder="1"/>
    <xf numFmtId="166" fontId="18" fillId="10" borderId="7" xfId="11" applyNumberFormat="1" applyFont="1" applyFill="1" applyBorder="1" applyAlignment="1">
      <alignment horizontal="right"/>
    </xf>
    <xf numFmtId="166" fontId="18" fillId="10" borderId="8" xfId="11" applyNumberFormat="1" applyFont="1" applyFill="1" applyBorder="1" applyAlignment="1">
      <alignment horizontal="right"/>
    </xf>
    <xf numFmtId="166" fontId="36" fillId="10" borderId="0" xfId="11" applyNumberFormat="1" applyFont="1" applyFill="1" applyAlignment="1">
      <alignment horizontal="right"/>
    </xf>
    <xf numFmtId="166" fontId="3" fillId="9" borderId="6" xfId="0" applyNumberFormat="1" applyFont="1" applyFill="1" applyBorder="1" applyAlignment="1">
      <alignment horizontal="right"/>
    </xf>
    <xf numFmtId="166" fontId="3" fillId="9" borderId="4" xfId="0" applyNumberFormat="1" applyFont="1" applyFill="1" applyBorder="1" applyAlignment="1">
      <alignment horizontal="right"/>
    </xf>
    <xf numFmtId="166" fontId="10" fillId="9" borderId="6" xfId="0" applyNumberFormat="1" applyFont="1" applyFill="1" applyBorder="1" applyAlignment="1">
      <alignment horizontal="right"/>
    </xf>
    <xf numFmtId="166" fontId="4" fillId="0" borderId="4" xfId="0" applyNumberFormat="1" applyFont="1" applyBorder="1"/>
    <xf numFmtId="166" fontId="10" fillId="9" borderId="4" xfId="0" applyNumberFormat="1" applyFont="1" applyFill="1" applyBorder="1" applyAlignment="1">
      <alignment horizontal="right"/>
    </xf>
    <xf numFmtId="0" fontId="14" fillId="0" borderId="5" xfId="0" applyFont="1" applyBorder="1"/>
    <xf numFmtId="166" fontId="14" fillId="0" borderId="5" xfId="0" applyNumberFormat="1" applyFont="1" applyBorder="1"/>
    <xf numFmtId="166" fontId="14" fillId="0" borderId="4" xfId="0" applyNumberFormat="1" applyFont="1" applyBorder="1"/>
    <xf numFmtId="43" fontId="14" fillId="7" borderId="0" xfId="4" applyFont="1" applyFill="1"/>
    <xf numFmtId="43" fontId="3" fillId="7" borderId="0" xfId="4" applyFont="1" applyFill="1"/>
    <xf numFmtId="43" fontId="10" fillId="7" borderId="0" xfId="4" applyFont="1" applyFill="1"/>
    <xf numFmtId="166" fontId="112" fillId="0" borderId="0" xfId="0" applyNumberFormat="1" applyFont="1"/>
    <xf numFmtId="168" fontId="4" fillId="0" borderId="0" xfId="0" applyNumberFormat="1" applyFont="1" applyAlignment="1">
      <alignment horizontal="right" vertical="top"/>
    </xf>
    <xf numFmtId="168" fontId="4" fillId="0" borderId="15" xfId="0" applyNumberFormat="1" applyFont="1" applyBorder="1" applyAlignment="1">
      <alignment horizontal="right"/>
    </xf>
    <xf numFmtId="4" fontId="4" fillId="7" borderId="0" xfId="0" applyNumberFormat="1" applyFont="1" applyFill="1"/>
    <xf numFmtId="43" fontId="19" fillId="0" borderId="0" xfId="4" applyFont="1" applyAlignment="1">
      <alignment vertical="top"/>
    </xf>
    <xf numFmtId="43" fontId="16" fillId="0" borderId="0" xfId="4" applyFont="1"/>
    <xf numFmtId="43" fontId="16" fillId="0" borderId="0" xfId="4" applyFont="1" applyAlignment="1">
      <alignment horizontal="right" vertical="top" wrapText="1"/>
    </xf>
    <xf numFmtId="43" fontId="16" fillId="0" borderId="0" xfId="4" applyFont="1" applyAlignment="1">
      <alignment horizontal="right" vertical="top"/>
    </xf>
    <xf numFmtId="43" fontId="4" fillId="0" borderId="0" xfId="4" applyFont="1" applyAlignment="1">
      <alignment horizontal="right" vertical="top" wrapText="1"/>
    </xf>
    <xf numFmtId="43" fontId="16" fillId="0" borderId="0" xfId="4" applyFont="1" applyAlignment="1">
      <alignment horizontal="right"/>
    </xf>
    <xf numFmtId="43" fontId="4" fillId="0" borderId="0" xfId="4" applyFont="1" applyAlignment="1">
      <alignment horizontal="right"/>
    </xf>
    <xf numFmtId="43" fontId="10" fillId="0" borderId="0" xfId="4" applyFont="1" applyAlignment="1">
      <alignment horizontal="right"/>
    </xf>
    <xf numFmtId="0" fontId="113" fillId="0" borderId="0" xfId="0" applyFont="1"/>
    <xf numFmtId="0" fontId="114" fillId="0" borderId="0" xfId="0" applyFont="1" applyAlignment="1">
      <alignment vertical="top"/>
    </xf>
    <xf numFmtId="0" fontId="114" fillId="0" borderId="0" xfId="0" applyFont="1"/>
    <xf numFmtId="0" fontId="115" fillId="0" borderId="0" xfId="0" applyFont="1"/>
    <xf numFmtId="0" fontId="20" fillId="0" borderId="0" xfId="0" applyFont="1" applyAlignment="1">
      <alignment horizontal="left"/>
    </xf>
    <xf numFmtId="4" fontId="114" fillId="0" borderId="0" xfId="0" applyNumberFormat="1" applyFont="1"/>
    <xf numFmtId="2" fontId="114" fillId="0" borderId="0" xfId="0" applyNumberFormat="1" applyFont="1"/>
    <xf numFmtId="166" fontId="114" fillId="0" borderId="0" xfId="0" applyNumberFormat="1" applyFont="1"/>
    <xf numFmtId="43" fontId="16" fillId="0" borderId="0" xfId="4" applyFont="1" applyFill="1"/>
    <xf numFmtId="43" fontId="108" fillId="0" borderId="0" xfId="4" applyFont="1"/>
    <xf numFmtId="0" fontId="3" fillId="0" borderId="0" xfId="0" applyFont="1" applyAlignment="1">
      <alignment horizontal="left"/>
    </xf>
    <xf numFmtId="0" fontId="60" fillId="0" borderId="0" xfId="0" applyFont="1"/>
    <xf numFmtId="166" fontId="60" fillId="0" borderId="0" xfId="0" applyNumberFormat="1" applyFont="1"/>
    <xf numFmtId="166" fontId="118" fillId="0" borderId="0" xfId="0" applyNumberFormat="1" applyFont="1"/>
    <xf numFmtId="0" fontId="60" fillId="0" borderId="0" xfId="0" applyFont="1" applyAlignment="1">
      <alignment horizontal="left"/>
    </xf>
    <xf numFmtId="0" fontId="18" fillId="0" borderId="0" xfId="1" applyFont="1"/>
    <xf numFmtId="0" fontId="36" fillId="0" borderId="0" xfId="14" applyFont="1"/>
    <xf numFmtId="0" fontId="18" fillId="0" borderId="0" xfId="14" applyFont="1"/>
    <xf numFmtId="166" fontId="4" fillId="0" borderId="0" xfId="14" applyNumberFormat="1" applyFont="1"/>
    <xf numFmtId="0" fontId="4" fillId="0" borderId="0" xfId="14" applyFont="1"/>
    <xf numFmtId="43" fontId="10" fillId="0" borderId="0" xfId="4" applyFont="1" applyFill="1" applyAlignment="1">
      <alignment vertical="top"/>
    </xf>
    <xf numFmtId="9" fontId="10" fillId="0" borderId="0" xfId="0" applyNumberFormat="1" applyFont="1"/>
    <xf numFmtId="43" fontId="10" fillId="0" borderId="13" xfId="4" applyFont="1" applyFill="1" applyBorder="1" applyAlignment="1">
      <alignment vertical="center"/>
    </xf>
    <xf numFmtId="43" fontId="4" fillId="0" borderId="0" xfId="4" applyFont="1" applyFill="1" applyAlignment="1">
      <alignment vertical="center"/>
    </xf>
    <xf numFmtId="9" fontId="10" fillId="0" borderId="0" xfId="0" applyNumberFormat="1" applyFont="1" applyAlignment="1">
      <alignment vertical="top"/>
    </xf>
    <xf numFmtId="43" fontId="10" fillId="0" borderId="0" xfId="4" applyFont="1" applyFill="1" applyAlignment="1">
      <alignment vertical="center"/>
    </xf>
    <xf numFmtId="174" fontId="10" fillId="0" borderId="0" xfId="0" applyNumberFormat="1" applyFont="1" applyAlignment="1">
      <alignment vertical="top"/>
    </xf>
    <xf numFmtId="0" fontId="14" fillId="0" borderId="1" xfId="14" applyFont="1" applyBorder="1"/>
    <xf numFmtId="43" fontId="7" fillId="0" borderId="0" xfId="4" applyFont="1" applyFill="1"/>
    <xf numFmtId="43" fontId="8" fillId="0" borderId="0" xfId="4" applyFont="1" applyFill="1"/>
    <xf numFmtId="0" fontId="120" fillId="0" borderId="0" xfId="0" applyFont="1" applyAlignment="1">
      <alignment vertical="top" wrapText="1"/>
    </xf>
    <xf numFmtId="0" fontId="120" fillId="0" borderId="0" xfId="0" applyFont="1"/>
    <xf numFmtId="0" fontId="121" fillId="0" borderId="0" xfId="0" applyFont="1"/>
    <xf numFmtId="0" fontId="119" fillId="0" borderId="0" xfId="0" applyFont="1" applyAlignment="1">
      <alignment vertical="top"/>
    </xf>
    <xf numFmtId="0" fontId="119" fillId="0" borderId="0" xfId="0" applyFont="1"/>
    <xf numFmtId="0" fontId="122" fillId="0" borderId="0" xfId="0" applyFont="1"/>
    <xf numFmtId="166" fontId="120" fillId="0" borderId="0" xfId="0" applyNumberFormat="1" applyFont="1" applyAlignment="1">
      <alignment vertical="top"/>
    </xf>
    <xf numFmtId="166" fontId="120" fillId="0" borderId="0" xfId="0" applyNumberFormat="1" applyFont="1"/>
    <xf numFmtId="166" fontId="121" fillId="0" borderId="0" xfId="0" applyNumberFormat="1" applyFont="1"/>
    <xf numFmtId="166" fontId="123" fillId="0" borderId="0" xfId="0" applyNumberFormat="1" applyFont="1"/>
    <xf numFmtId="166" fontId="119" fillId="0" borderId="0" xfId="0" applyNumberFormat="1" applyFont="1" applyAlignment="1">
      <alignment vertical="top"/>
    </xf>
    <xf numFmtId="166" fontId="122" fillId="0" borderId="0" xfId="0" applyNumberFormat="1" applyFont="1"/>
    <xf numFmtId="2" fontId="120" fillId="0" borderId="0" xfId="0" applyNumberFormat="1" applyFont="1"/>
    <xf numFmtId="49" fontId="120" fillId="0" borderId="0" xfId="0" applyNumberFormat="1" applyFont="1"/>
    <xf numFmtId="2" fontId="4" fillId="0" borderId="0" xfId="14" applyNumberFormat="1" applyFont="1"/>
    <xf numFmtId="2" fontId="4" fillId="0" borderId="0" xfId="14" applyNumberFormat="1" applyFont="1" applyAlignment="1">
      <alignment horizontal="right"/>
    </xf>
    <xf numFmtId="2" fontId="16" fillId="0" borderId="0" xfId="14" applyNumberFormat="1" applyFont="1" applyAlignment="1">
      <alignment horizontal="right"/>
    </xf>
    <xf numFmtId="2" fontId="120" fillId="0" borderId="0" xfId="0" applyNumberFormat="1" applyFont="1" applyAlignment="1">
      <alignment vertical="top"/>
    </xf>
    <xf numFmtId="3" fontId="120" fillId="0" borderId="0" xfId="0" applyNumberFormat="1" applyFont="1"/>
    <xf numFmtId="3" fontId="121" fillId="0" borderId="0" xfId="0" applyNumberFormat="1" applyFont="1"/>
    <xf numFmtId="0" fontId="120" fillId="0" borderId="0" xfId="0" applyFont="1" applyAlignment="1">
      <alignment vertical="top"/>
    </xf>
    <xf numFmtId="169" fontId="120" fillId="0" borderId="0" xfId="0" applyNumberFormat="1" applyFont="1"/>
    <xf numFmtId="169" fontId="121" fillId="0" borderId="0" xfId="0" applyNumberFormat="1" applyFont="1"/>
    <xf numFmtId="168" fontId="120" fillId="0" borderId="0" xfId="0" applyNumberFormat="1" applyFont="1"/>
    <xf numFmtId="2" fontId="119" fillId="0" borderId="0" xfId="0" applyNumberFormat="1" applyFont="1"/>
    <xf numFmtId="0" fontId="124" fillId="0" borderId="0" xfId="0" applyFont="1"/>
    <xf numFmtId="0" fontId="120" fillId="0" borderId="0" xfId="14" applyFont="1" applyAlignment="1">
      <alignment horizontal="right" vertical="top"/>
    </xf>
    <xf numFmtId="172" fontId="120" fillId="0" borderId="0" xfId="0" applyNumberFormat="1" applyFont="1"/>
    <xf numFmtId="172" fontId="121" fillId="0" borderId="0" xfId="0" applyNumberFormat="1" applyFont="1"/>
    <xf numFmtId="2" fontId="121" fillId="0" borderId="0" xfId="0" applyNumberFormat="1" applyFont="1"/>
    <xf numFmtId="168" fontId="121" fillId="0" borderId="0" xfId="0" applyNumberFormat="1" applyFont="1"/>
    <xf numFmtId="169" fontId="125" fillId="0" borderId="0" xfId="0" applyNumberFormat="1" applyFont="1"/>
    <xf numFmtId="169" fontId="120" fillId="0" borderId="0" xfId="0" quotePrefix="1" applyNumberFormat="1" applyFont="1" applyAlignment="1">
      <alignment horizontal="right" vertical="top"/>
    </xf>
    <xf numFmtId="169" fontId="120" fillId="0" borderId="0" xfId="0" applyNumberFormat="1" applyFont="1" applyAlignment="1">
      <alignment horizontal="right" vertical="top"/>
    </xf>
    <xf numFmtId="0" fontId="121" fillId="0" borderId="0" xfId="0" applyFont="1" applyAlignment="1">
      <alignment horizontal="right" vertical="top"/>
    </xf>
    <xf numFmtId="4" fontId="120" fillId="0" borderId="0" xfId="0" applyNumberFormat="1" applyFont="1" applyAlignment="1">
      <alignment vertical="top"/>
    </xf>
    <xf numFmtId="0" fontId="123" fillId="0" borderId="0" xfId="0" applyFont="1"/>
    <xf numFmtId="2" fontId="120" fillId="0" borderId="0" xfId="3" applyNumberFormat="1" applyFont="1" applyFill="1" applyAlignment="1">
      <alignment horizontal="right" vertical="top"/>
    </xf>
    <xf numFmtId="4" fontId="120" fillId="0" borderId="0" xfId="0" applyNumberFormat="1" applyFont="1"/>
    <xf numFmtId="2" fontId="121" fillId="0" borderId="0" xfId="0" applyNumberFormat="1" applyFont="1" applyAlignment="1">
      <alignment vertical="top"/>
    </xf>
    <xf numFmtId="2" fontId="126" fillId="0" borderId="0" xfId="0" applyNumberFormat="1" applyFont="1" applyAlignment="1">
      <alignment vertical="top"/>
    </xf>
    <xf numFmtId="0" fontId="119" fillId="2" borderId="0" xfId="0" applyFont="1" applyFill="1"/>
    <xf numFmtId="2" fontId="119" fillId="2" borderId="0" xfId="0" applyNumberFormat="1" applyFont="1" applyFill="1"/>
    <xf numFmtId="0" fontId="122" fillId="2" borderId="0" xfId="0" applyFont="1" applyFill="1"/>
    <xf numFmtId="2" fontId="127" fillId="0" borderId="0" xfId="0" applyNumberFormat="1" applyFont="1"/>
    <xf numFmtId="2" fontId="123" fillId="0" borderId="0" xfId="0" applyNumberFormat="1" applyFont="1"/>
    <xf numFmtId="0" fontId="123" fillId="0" borderId="0" xfId="0" applyFont="1" applyAlignment="1">
      <alignment horizontal="right"/>
    </xf>
    <xf numFmtId="43" fontId="123" fillId="0" borderId="0" xfId="0" applyNumberFormat="1" applyFont="1" applyAlignment="1">
      <alignment horizontal="right"/>
    </xf>
    <xf numFmtId="43" fontId="120" fillId="0" borderId="0" xfId="0" applyNumberFormat="1" applyFont="1"/>
    <xf numFmtId="43" fontId="121" fillId="0" borderId="0" xfId="0" applyNumberFormat="1" applyFont="1"/>
    <xf numFmtId="2" fontId="121" fillId="0" borderId="0" xfId="2" applyNumberFormat="1" applyFont="1" applyAlignment="1">
      <alignment horizontal="right"/>
    </xf>
    <xf numFmtId="2" fontId="121" fillId="0" borderId="0" xfId="14" applyNumberFormat="1" applyFont="1" applyAlignment="1">
      <alignment horizontal="right"/>
    </xf>
    <xf numFmtId="2" fontId="121" fillId="0" borderId="0" xfId="14" applyNumberFormat="1" applyFont="1"/>
    <xf numFmtId="2" fontId="121" fillId="0" borderId="2" xfId="14" applyNumberFormat="1" applyFont="1" applyBorder="1" applyAlignment="1">
      <alignment horizontal="right"/>
    </xf>
    <xf numFmtId="3" fontId="123" fillId="0" borderId="0" xfId="0" applyNumberFormat="1" applyFont="1"/>
    <xf numFmtId="0" fontId="123" fillId="0" borderId="0" xfId="0" applyFont="1" applyAlignment="1">
      <alignment horizontal="left"/>
    </xf>
    <xf numFmtId="0" fontId="120" fillId="0" borderId="0" xfId="0" applyFont="1" applyAlignment="1">
      <alignment horizontal="right"/>
    </xf>
    <xf numFmtId="0" fontId="123" fillId="0" borderId="0" xfId="0" applyFont="1" applyAlignment="1">
      <alignment horizontal="left" vertical="center"/>
    </xf>
    <xf numFmtId="0" fontId="123" fillId="0" borderId="0" xfId="0" applyFont="1" applyAlignment="1">
      <alignment vertical="center"/>
    </xf>
    <xf numFmtId="0" fontId="35" fillId="0" borderId="0" xfId="0" applyFont="1"/>
    <xf numFmtId="0" fontId="123" fillId="0" borderId="0" xfId="0" applyFont="1" applyAlignment="1">
      <alignment wrapText="1"/>
    </xf>
    <xf numFmtId="0" fontId="120" fillId="2" borderId="0" xfId="0" applyFont="1" applyFill="1"/>
    <xf numFmtId="0" fontId="123" fillId="2" borderId="0" xfId="0" applyFont="1" applyFill="1"/>
    <xf numFmtId="0" fontId="121" fillId="2" borderId="0" xfId="0" applyFont="1" applyFill="1"/>
    <xf numFmtId="0" fontId="120" fillId="0" borderId="0" xfId="0" applyFont="1" applyAlignment="1">
      <alignment wrapText="1"/>
    </xf>
    <xf numFmtId="2" fontId="11" fillId="2" borderId="0" xfId="0" applyNumberFormat="1" applyFont="1" applyFill="1"/>
    <xf numFmtId="3" fontId="123" fillId="2" borderId="0" xfId="0" applyNumberFormat="1" applyFont="1" applyFill="1"/>
    <xf numFmtId="172" fontId="119" fillId="0" borderId="0" xfId="0" applyNumberFormat="1" applyFont="1"/>
    <xf numFmtId="176" fontId="120" fillId="0" borderId="0" xfId="0" applyNumberFormat="1" applyFont="1"/>
    <xf numFmtId="2" fontId="120" fillId="2" borderId="0" xfId="0" applyNumberFormat="1" applyFont="1" applyFill="1"/>
    <xf numFmtId="2" fontId="58" fillId="2" borderId="0" xfId="0" applyNumberFormat="1" applyFont="1" applyFill="1" applyAlignment="1">
      <alignment horizontal="center" vertical="center"/>
    </xf>
    <xf numFmtId="2" fontId="5" fillId="2" borderId="0" xfId="0" applyNumberFormat="1" applyFont="1" applyFill="1" applyAlignment="1">
      <alignment horizontal="center" vertical="center"/>
    </xf>
    <xf numFmtId="43" fontId="4" fillId="2" borderId="0" xfId="4" applyFont="1" applyFill="1"/>
    <xf numFmtId="179" fontId="4" fillId="0" borderId="0" xfId="4" applyNumberFormat="1" applyFont="1"/>
    <xf numFmtId="0" fontId="14" fillId="0" borderId="1" xfId="0" applyFont="1" applyBorder="1" applyAlignment="1">
      <alignment horizontal="center"/>
    </xf>
    <xf numFmtId="0" fontId="4" fillId="0" borderId="1" xfId="0" applyFont="1" applyBorder="1" applyAlignment="1">
      <alignment horizontal="center" vertical="top" wrapText="1"/>
    </xf>
    <xf numFmtId="178" fontId="4" fillId="0" borderId="0" xfId="0" applyNumberFormat="1" applyFont="1" applyAlignment="1">
      <alignment horizontal="right"/>
    </xf>
    <xf numFmtId="43" fontId="16" fillId="0" borderId="0" xfId="4" applyFont="1" applyAlignment="1">
      <alignment vertical="top"/>
    </xf>
    <xf numFmtId="0" fontId="117" fillId="0" borderId="0" xfId="0" applyFont="1"/>
    <xf numFmtId="0" fontId="116" fillId="0" borderId="0" xfId="0" applyFont="1"/>
    <xf numFmtId="2" fontId="117" fillId="0" borderId="0" xfId="0" applyNumberFormat="1" applyFont="1"/>
    <xf numFmtId="2" fontId="30" fillId="0" borderId="0" xfId="0" applyNumberFormat="1" applyFont="1"/>
    <xf numFmtId="0" fontId="30" fillId="2" borderId="0" xfId="0" applyFont="1" applyFill="1"/>
    <xf numFmtId="43" fontId="4" fillId="0" borderId="0" xfId="4" applyFont="1" applyBorder="1" applyAlignment="1">
      <alignment horizontal="center" vertical="center"/>
    </xf>
    <xf numFmtId="0" fontId="18" fillId="0" borderId="0" xfId="0" applyFont="1" applyAlignment="1">
      <alignment horizontal="left" vertical="center" wrapText="1"/>
    </xf>
    <xf numFmtId="43" fontId="4" fillId="0" borderId="0" xfId="4" applyFont="1" applyBorder="1" applyAlignment="1">
      <alignment horizontal="center"/>
    </xf>
    <xf numFmtId="3" fontId="4" fillId="0" borderId="0" xfId="0" applyNumberFormat="1" applyFont="1" applyAlignment="1">
      <alignment horizontal="center"/>
    </xf>
    <xf numFmtId="43" fontId="16" fillId="0" borderId="0" xfId="4" applyFont="1" applyBorder="1" applyAlignment="1">
      <alignment horizontal="center" vertical="center"/>
    </xf>
    <xf numFmtId="43" fontId="16" fillId="0" borderId="0" xfId="4" applyFont="1" applyBorder="1" applyAlignment="1">
      <alignment horizontal="center"/>
    </xf>
    <xf numFmtId="0" fontId="31" fillId="0" borderId="0" xfId="0" applyFont="1" applyAlignment="1">
      <alignment horizontal="center" vertical="top"/>
    </xf>
    <xf numFmtId="166" fontId="30" fillId="0" borderId="0" xfId="0" applyNumberFormat="1" applyFont="1" applyAlignment="1">
      <alignment horizontal="right" vertical="top"/>
    </xf>
    <xf numFmtId="166" fontId="30" fillId="0" borderId="0" xfId="0" applyNumberFormat="1" applyFont="1"/>
    <xf numFmtId="0" fontId="30" fillId="0" borderId="0" xfId="0" applyFont="1" applyAlignment="1">
      <alignment horizontal="right" vertical="top"/>
    </xf>
    <xf numFmtId="0" fontId="31" fillId="0" borderId="0" xfId="0" applyFont="1" applyAlignment="1">
      <alignment horizontal="left" vertical="center"/>
    </xf>
    <xf numFmtId="0" fontId="10" fillId="14" borderId="0" xfId="0" applyFont="1" applyFill="1"/>
    <xf numFmtId="43" fontId="4" fillId="4" borderId="0" xfId="4" applyFont="1" applyFill="1"/>
    <xf numFmtId="43" fontId="4" fillId="0" borderId="0" xfId="4" applyFont="1" applyAlignment="1">
      <alignment horizontal="right" vertical="top"/>
    </xf>
    <xf numFmtId="43" fontId="4" fillId="0" borderId="0" xfId="4" applyFont="1" applyAlignment="1">
      <alignment horizontal="left"/>
    </xf>
    <xf numFmtId="43" fontId="10" fillId="0" borderId="0" xfId="4" applyFont="1" applyAlignment="1">
      <alignment horizontal="right" vertical="top"/>
    </xf>
    <xf numFmtId="43" fontId="14" fillId="0" borderId="0" xfId="4" applyFont="1" applyAlignment="1">
      <alignment horizontal="right" vertical="top" wrapText="1"/>
    </xf>
    <xf numFmtId="0" fontId="4" fillId="2" borderId="0" xfId="14" applyFont="1" applyFill="1"/>
    <xf numFmtId="168" fontId="4" fillId="0" borderId="0" xfId="14" applyNumberFormat="1" applyFont="1" applyAlignment="1">
      <alignment horizontal="right"/>
    </xf>
    <xf numFmtId="0" fontId="130" fillId="0" borderId="0" xfId="0" applyFont="1" applyAlignment="1">
      <alignment vertical="center" wrapText="1"/>
    </xf>
    <xf numFmtId="0" fontId="130" fillId="0" borderId="0" xfId="0" applyFont="1" applyAlignment="1">
      <alignment horizontal="center" vertical="center" wrapText="1"/>
    </xf>
    <xf numFmtId="0" fontId="131" fillId="0" borderId="0" xfId="0" applyFont="1"/>
    <xf numFmtId="2" fontId="132" fillId="0" borderId="0" xfId="0" applyNumberFormat="1" applyFont="1"/>
    <xf numFmtId="174" fontId="132" fillId="0" borderId="0" xfId="9" applyNumberFormat="1" applyFont="1" applyFill="1" applyBorder="1"/>
    <xf numFmtId="0" fontId="131" fillId="0" borderId="0" xfId="0" applyFont="1" applyAlignment="1">
      <alignment horizontal="left"/>
    </xf>
    <xf numFmtId="0" fontId="132" fillId="0" borderId="0" xfId="0" applyFont="1"/>
    <xf numFmtId="2" fontId="133" fillId="0" borderId="0" xfId="0" applyNumberFormat="1" applyFont="1"/>
    <xf numFmtId="2" fontId="134" fillId="0" borderId="0" xfId="0" applyNumberFormat="1" applyFont="1"/>
    <xf numFmtId="2" fontId="135" fillId="0" borderId="0" xfId="0" applyNumberFormat="1" applyFont="1"/>
    <xf numFmtId="2" fontId="131" fillId="0" borderId="0" xfId="0" applyNumberFormat="1" applyFont="1"/>
    <xf numFmtId="2" fontId="1" fillId="0" borderId="0" xfId="0" applyNumberFormat="1" applyFont="1"/>
    <xf numFmtId="0" fontId="131" fillId="0" borderId="0" xfId="0" applyFont="1" applyAlignment="1">
      <alignment vertical="top" wrapText="1"/>
    </xf>
    <xf numFmtId="2" fontId="131" fillId="0" borderId="0" xfId="0" applyNumberFormat="1" applyFont="1" applyAlignment="1">
      <alignment vertical="top"/>
    </xf>
    <xf numFmtId="0" fontId="131" fillId="0" borderId="0" xfId="0" applyFont="1" applyAlignment="1">
      <alignment vertical="top"/>
    </xf>
    <xf numFmtId="179" fontId="4" fillId="0" borderId="0" xfId="4" applyNumberFormat="1" applyFont="1" applyFill="1"/>
    <xf numFmtId="43" fontId="4" fillId="2" borderId="0" xfId="0" applyNumberFormat="1" applyFont="1" applyFill="1"/>
    <xf numFmtId="0" fontId="137" fillId="0" borderId="0" xfId="0" applyFont="1"/>
    <xf numFmtId="179" fontId="4" fillId="0" borderId="0" xfId="0" applyNumberFormat="1" applyFont="1"/>
    <xf numFmtId="0" fontId="4" fillId="0" borderId="0" xfId="14" applyFont="1" applyAlignment="1">
      <alignment horizontal="left"/>
    </xf>
    <xf numFmtId="166" fontId="4" fillId="0" borderId="0" xfId="14" applyNumberFormat="1" applyFont="1" applyAlignment="1">
      <alignment horizontal="right"/>
    </xf>
    <xf numFmtId="0" fontId="60" fillId="0" borderId="0" xfId="0" applyFont="1" applyAlignment="1">
      <alignment vertical="top" wrapText="1"/>
    </xf>
    <xf numFmtId="0" fontId="21" fillId="0" borderId="0" xfId="0" applyFont="1" applyAlignment="1">
      <alignment vertical="top" wrapText="1"/>
    </xf>
    <xf numFmtId="2" fontId="60" fillId="0" borderId="0" xfId="0" applyNumberFormat="1" applyFont="1"/>
    <xf numFmtId="169" fontId="118" fillId="0" borderId="0" xfId="0" applyNumberFormat="1" applyFont="1"/>
    <xf numFmtId="166" fontId="118" fillId="0" borderId="0" xfId="0" applyNumberFormat="1" applyFont="1" applyAlignment="1">
      <alignment wrapText="1"/>
    </xf>
    <xf numFmtId="0" fontId="118" fillId="0" borderId="0" xfId="0" applyFont="1" applyAlignment="1">
      <alignment vertical="top"/>
    </xf>
    <xf numFmtId="0" fontId="118" fillId="0" borderId="0" xfId="0" applyFont="1"/>
    <xf numFmtId="2" fontId="118" fillId="7" borderId="0" xfId="0" applyNumberFormat="1" applyFont="1" applyFill="1"/>
    <xf numFmtId="0" fontId="60" fillId="7" borderId="0" xfId="0" applyFont="1" applyFill="1"/>
    <xf numFmtId="166" fontId="118" fillId="7" borderId="0" xfId="0" applyNumberFormat="1" applyFont="1" applyFill="1"/>
    <xf numFmtId="0" fontId="118" fillId="7" borderId="0" xfId="0" applyFont="1" applyFill="1" applyAlignment="1">
      <alignment vertical="top"/>
    </xf>
    <xf numFmtId="0" fontId="118" fillId="0" borderId="0" xfId="0" applyFont="1" applyAlignment="1">
      <alignment horizontal="left"/>
    </xf>
    <xf numFmtId="0" fontId="118" fillId="0" borderId="0" xfId="0" applyFont="1" applyAlignment="1">
      <alignment horizontal="left" wrapText="1"/>
    </xf>
    <xf numFmtId="180" fontId="4" fillId="0" borderId="0" xfId="0" applyNumberFormat="1" applyFont="1"/>
    <xf numFmtId="171" fontId="19" fillId="0" borderId="0" xfId="4" applyNumberFormat="1" applyFont="1" applyAlignment="1">
      <alignment vertical="top"/>
    </xf>
    <xf numFmtId="0" fontId="138" fillId="0" borderId="0" xfId="0" applyFont="1" applyAlignment="1">
      <alignment horizontal="center" vertical="center" wrapText="1"/>
    </xf>
    <xf numFmtId="0" fontId="139" fillId="0" borderId="0" xfId="0" applyFont="1">
      <extLst>
        <ext xmlns:xfpb="http://schemas.microsoft.com/office/spreadsheetml/2022/featurepropertybag" uri="{C7286773-470A-42A8-94C5-96B5CB345126}">
          <xfpb:xfComplement i="0"/>
        </ext>
      </extLst>
    </xf>
    <xf numFmtId="0" fontId="139" fillId="0" borderId="0" xfId="0" applyFont="1"/>
    <xf numFmtId="175" fontId="4" fillId="0" borderId="0" xfId="0" applyNumberFormat="1" applyFont="1" applyAlignment="1">
      <alignment horizontal="right"/>
    </xf>
    <xf numFmtId="181" fontId="4" fillId="0" borderId="0" xfId="0" applyNumberFormat="1" applyFont="1"/>
    <xf numFmtId="172" fontId="88" fillId="2" borderId="0" xfId="0" applyNumberFormat="1" applyFont="1" applyFill="1"/>
    <xf numFmtId="2" fontId="16" fillId="16" borderId="0" xfId="0" applyNumberFormat="1" applyFont="1" applyFill="1"/>
    <xf numFmtId="0" fontId="4" fillId="2" borderId="0" xfId="14" applyFont="1" applyFill="1" applyAlignment="1">
      <alignment horizontal="left"/>
    </xf>
    <xf numFmtId="166" fontId="10" fillId="2" borderId="0" xfId="0" applyNumberFormat="1" applyFont="1" applyFill="1" applyAlignment="1">
      <alignment vertical="top"/>
    </xf>
    <xf numFmtId="43" fontId="4" fillId="7" borderId="0" xfId="4" applyFont="1" applyFill="1"/>
    <xf numFmtId="166" fontId="4" fillId="2" borderId="0" xfId="0" applyNumberFormat="1" applyFont="1" applyFill="1"/>
    <xf numFmtId="2" fontId="4" fillId="2" borderId="0" xfId="0" applyNumberFormat="1" applyFont="1" applyFill="1"/>
    <xf numFmtId="165" fontId="0" fillId="0" borderId="0" xfId="17" applyFont="1"/>
    <xf numFmtId="171" fontId="4" fillId="0" borderId="0" xfId="4" applyNumberFormat="1" applyFont="1" applyFill="1"/>
    <xf numFmtId="4" fontId="4" fillId="0" borderId="0" xfId="0" applyNumberFormat="1" applyFont="1" applyAlignment="1">
      <alignment horizontal="right"/>
    </xf>
    <xf numFmtId="4" fontId="4" fillId="0" borderId="0" xfId="0" applyNumberFormat="1" applyFont="1" applyAlignment="1">
      <alignment horizontal="right" vertical="top" wrapText="1"/>
    </xf>
    <xf numFmtId="166" fontId="60" fillId="0" borderId="0" xfId="1" applyNumberFormat="1" applyFont="1" applyAlignment="1">
      <alignment horizontal="right"/>
    </xf>
    <xf numFmtId="2" fontId="118" fillId="0" borderId="0" xfId="0" applyNumberFormat="1" applyFont="1"/>
    <xf numFmtId="0" fontId="118" fillId="0" borderId="0" xfId="0" applyFont="1" applyAlignment="1">
      <alignment horizontal="right"/>
    </xf>
    <xf numFmtId="0" fontId="11" fillId="2" borderId="0" xfId="0" applyFont="1" applyFill="1"/>
    <xf numFmtId="0" fontId="142" fillId="2" borderId="0" xfId="0" applyFont="1" applyFill="1"/>
    <xf numFmtId="0" fontId="4" fillId="2" borderId="0" xfId="0" applyFont="1" applyFill="1" applyAlignment="1">
      <alignment horizontal="left"/>
    </xf>
    <xf numFmtId="169" fontId="4" fillId="2" borderId="0" xfId="0" applyNumberFormat="1" applyFont="1" applyFill="1"/>
    <xf numFmtId="168" fontId="4" fillId="2" borderId="0" xfId="1" applyNumberFormat="1" applyFont="1" applyFill="1" applyAlignment="1">
      <alignment horizontal="right"/>
    </xf>
    <xf numFmtId="4" fontId="4" fillId="2" borderId="0" xfId="1" applyNumberFormat="1" applyFont="1" applyFill="1" applyAlignment="1">
      <alignment horizontal="right"/>
    </xf>
    <xf numFmtId="179" fontId="0" fillId="0" borderId="0" xfId="4" applyNumberFormat="1" applyFont="1"/>
    <xf numFmtId="175" fontId="106" fillId="0" borderId="4" xfId="0" applyNumberFormat="1" applyFont="1" applyBorder="1"/>
    <xf numFmtId="43" fontId="10" fillId="2" borderId="0" xfId="4" applyFont="1" applyFill="1" applyAlignment="1">
      <alignment horizontal="right"/>
    </xf>
    <xf numFmtId="2" fontId="4" fillId="2" borderId="0" xfId="1" applyNumberFormat="1" applyFont="1" applyFill="1"/>
    <xf numFmtId="0" fontId="4" fillId="7" borderId="0" xfId="0" applyFont="1" applyFill="1" applyAlignment="1">
      <alignment horizontal="left"/>
    </xf>
    <xf numFmtId="2" fontId="4" fillId="7" borderId="0" xfId="0" applyNumberFormat="1" applyFont="1" applyFill="1"/>
    <xf numFmtId="4" fontId="19" fillId="7" borderId="0" xfId="0" applyNumberFormat="1" applyFont="1" applyFill="1"/>
    <xf numFmtId="170" fontId="16" fillId="7" borderId="0" xfId="0" applyNumberFormat="1" applyFont="1" applyFill="1" applyAlignment="1">
      <alignment horizontal="right" vertical="top"/>
    </xf>
    <xf numFmtId="0" fontId="115" fillId="7" borderId="0" xfId="0" applyFont="1" applyFill="1"/>
    <xf numFmtId="166" fontId="14" fillId="7" borderId="0" xfId="0" applyNumberFormat="1" applyFont="1" applyFill="1"/>
    <xf numFmtId="0" fontId="14" fillId="7" borderId="0" xfId="0" applyFont="1" applyFill="1" applyAlignment="1">
      <alignment horizontal="left"/>
    </xf>
    <xf numFmtId="0" fontId="29" fillId="0" borderId="0" xfId="0" applyFont="1"/>
    <xf numFmtId="0" fontId="0" fillId="0" borderId="0" xfId="0" applyAlignment="1">
      <alignment vertical="top" wrapText="1"/>
    </xf>
    <xf numFmtId="0" fontId="103" fillId="0" borderId="0" xfId="0" applyFont="1" applyAlignment="1">
      <alignment wrapText="1"/>
    </xf>
    <xf numFmtId="0" fontId="0" fillId="0" borderId="0" xfId="0" applyAlignment="1">
      <alignment wrapText="1"/>
    </xf>
    <xf numFmtId="0" fontId="145" fillId="0" borderId="0" xfId="0" applyFont="1" applyAlignment="1">
      <alignment wrapText="1"/>
    </xf>
    <xf numFmtId="0" fontId="144" fillId="0" borderId="0" xfId="0" applyFont="1" applyAlignment="1">
      <alignment vertical="top" wrapText="1"/>
    </xf>
    <xf numFmtId="0" fontId="0" fillId="0" borderId="0" xfId="0" quotePrefix="1"/>
    <xf numFmtId="0" fontId="144" fillId="0" borderId="0" xfId="0" applyFont="1"/>
    <xf numFmtId="0" fontId="150" fillId="0" borderId="0" xfId="0" applyFont="1"/>
    <xf numFmtId="0" fontId="151" fillId="0" borderId="0" xfId="0" applyFont="1"/>
    <xf numFmtId="0" fontId="148" fillId="0" borderId="0" xfId="0" applyFont="1" applyAlignment="1">
      <alignment horizontal="center" vertical="center" wrapText="1"/>
    </xf>
    <xf numFmtId="0" fontId="151" fillId="0" borderId="0" xfId="0" applyFont="1" applyAlignment="1">
      <alignment horizontal="center" vertical="center" wrapText="1"/>
    </xf>
    <xf numFmtId="0" fontId="150" fillId="0" borderId="0" xfId="0" applyFont="1" applyAlignment="1">
      <alignment vertical="center" wrapText="1"/>
    </xf>
    <xf numFmtId="0" fontId="152" fillId="0" borderId="0" xfId="0" applyFont="1"/>
    <xf numFmtId="43" fontId="150" fillId="15" borderId="0" xfId="4" applyFont="1" applyFill="1"/>
    <xf numFmtId="2" fontId="150" fillId="15" borderId="0" xfId="0" applyNumberFormat="1" applyFont="1" applyFill="1"/>
    <xf numFmtId="166" fontId="150" fillId="0" borderId="0" xfId="0" applyNumberFormat="1" applyFont="1"/>
    <xf numFmtId="0" fontId="150" fillId="0" borderId="0" xfId="0" applyFont="1" applyAlignment="1">
      <alignment horizontal="left" vertical="top"/>
    </xf>
    <xf numFmtId="2" fontId="150" fillId="0" borderId="0" xfId="0" applyNumberFormat="1" applyFont="1"/>
    <xf numFmtId="0" fontId="150" fillId="0" borderId="0" xfId="0" applyFont="1" applyAlignment="1">
      <alignment horizontal="right" vertical="top"/>
    </xf>
    <xf numFmtId="168" fontId="150" fillId="0" borderId="0" xfId="0" applyNumberFormat="1" applyFont="1" applyAlignment="1">
      <alignment horizontal="right"/>
    </xf>
    <xf numFmtId="43" fontId="150" fillId="0" borderId="0" xfId="4" applyFont="1" applyFill="1"/>
    <xf numFmtId="166" fontId="153" fillId="0" borderId="0" xfId="0" applyNumberFormat="1" applyFont="1" applyAlignment="1">
      <alignment horizontal="left" vertical="top" wrapText="1"/>
    </xf>
    <xf numFmtId="168" fontId="150" fillId="0" borderId="0" xfId="0" applyNumberFormat="1" applyFont="1" applyAlignment="1">
      <alignment horizontal="right" vertical="center"/>
    </xf>
    <xf numFmtId="2" fontId="150" fillId="0" borderId="0" xfId="0" applyNumberFormat="1" applyFont="1" applyAlignment="1">
      <alignment vertical="top"/>
    </xf>
    <xf numFmtId="0" fontId="150" fillId="15" borderId="0" xfId="0" applyFont="1" applyFill="1" applyAlignment="1">
      <alignment horizontal="left" vertical="top"/>
    </xf>
    <xf numFmtId="0" fontId="153" fillId="0" borderId="0" xfId="0" applyFont="1" applyAlignment="1">
      <alignment horizontal="left" vertical="top"/>
    </xf>
    <xf numFmtId="168" fontId="153" fillId="0" borderId="0" xfId="0" applyNumberFormat="1" applyFont="1" applyAlignment="1">
      <alignment horizontal="right" vertical="center"/>
    </xf>
    <xf numFmtId="168" fontId="152" fillId="0" borderId="0" xfId="0" applyNumberFormat="1" applyFont="1" applyAlignment="1">
      <alignment horizontal="right" vertical="top"/>
    </xf>
    <xf numFmtId="168" fontId="152" fillId="0" borderId="0" xfId="0" applyNumberFormat="1" applyFont="1" applyAlignment="1">
      <alignment horizontal="right"/>
    </xf>
    <xf numFmtId="0" fontId="152" fillId="0" borderId="0" xfId="0" applyFont="1" applyAlignment="1">
      <alignment horizontal="left" vertical="top"/>
    </xf>
    <xf numFmtId="0" fontId="153" fillId="0" borderId="0" xfId="0" applyFont="1" applyAlignment="1">
      <alignment horizontal="left" vertical="top" wrapText="1"/>
    </xf>
    <xf numFmtId="4" fontId="150" fillId="0" borderId="0" xfId="0" applyNumberFormat="1" applyFont="1"/>
    <xf numFmtId="3" fontId="150" fillId="0" borderId="0" xfId="0" applyNumberFormat="1" applyFont="1"/>
    <xf numFmtId="168" fontId="150" fillId="0" borderId="0" xfId="0" applyNumberFormat="1" applyFont="1"/>
    <xf numFmtId="166" fontId="151" fillId="0" borderId="0" xfId="0" applyNumberFormat="1" applyFont="1"/>
    <xf numFmtId="166" fontId="153" fillId="0" borderId="0" xfId="0" applyNumberFormat="1" applyFont="1" applyAlignment="1">
      <alignment horizontal="left" vertical="top"/>
    </xf>
    <xf numFmtId="0" fontId="150" fillId="0" borderId="0" xfId="0" applyFont="1" applyAlignment="1">
      <alignment horizontal="left"/>
    </xf>
    <xf numFmtId="166" fontId="152" fillId="0" borderId="0" xfId="0" applyNumberFormat="1" applyFont="1"/>
    <xf numFmtId="168" fontId="151" fillId="0" borderId="0" xfId="0" applyNumberFormat="1" applyFont="1" applyAlignment="1">
      <alignment horizontal="left" wrapText="1"/>
    </xf>
    <xf numFmtId="0" fontId="151" fillId="0" borderId="0" xfId="0" applyFont="1" applyAlignment="1">
      <alignment horizontal="left" wrapText="1"/>
    </xf>
    <xf numFmtId="0" fontId="151" fillId="0" borderId="0" xfId="0" applyFont="1" applyAlignment="1">
      <alignment horizontal="left"/>
    </xf>
    <xf numFmtId="2" fontId="150" fillId="0" borderId="0" xfId="0" applyNumberFormat="1" applyFont="1" applyAlignment="1">
      <alignment horizontal="left"/>
    </xf>
    <xf numFmtId="0" fontId="153" fillId="0" borderId="0" xfId="0" applyFont="1"/>
    <xf numFmtId="9" fontId="0" fillId="0" borderId="0" xfId="9" applyFont="1" applyAlignment="1">
      <alignment wrapText="1"/>
    </xf>
    <xf numFmtId="9" fontId="0" fillId="0" borderId="0" xfId="9" applyFont="1"/>
    <xf numFmtId="0" fontId="142" fillId="0" borderId="0" xfId="0" applyFont="1"/>
    <xf numFmtId="2" fontId="15" fillId="0" borderId="0" xfId="0" applyNumberFormat="1" applyFont="1"/>
    <xf numFmtId="0" fontId="141" fillId="0" borderId="0" xfId="0" applyFont="1"/>
    <xf numFmtId="172" fontId="4" fillId="0" borderId="0" xfId="0" applyNumberFormat="1" applyFont="1"/>
    <xf numFmtId="0" fontId="19" fillId="0" borderId="0" xfId="0" applyFont="1" applyAlignment="1">
      <alignment horizontal="center" vertical="center"/>
    </xf>
    <xf numFmtId="0" fontId="16" fillId="0" borderId="0" xfId="0" applyFont="1" applyAlignment="1">
      <alignment horizontal="left"/>
    </xf>
    <xf numFmtId="0" fontId="3" fillId="0" borderId="0" xfId="0" applyFont="1" applyAlignment="1">
      <alignment wrapText="1"/>
    </xf>
    <xf numFmtId="0" fontId="128" fillId="0" borderId="0" xfId="0" applyFont="1" applyAlignment="1">
      <alignment vertical="top" wrapText="1"/>
    </xf>
    <xf numFmtId="0" fontId="129" fillId="0" borderId="0" xfId="0" applyFont="1" applyAlignment="1">
      <alignment vertical="top" wrapText="1"/>
    </xf>
    <xf numFmtId="0" fontId="0" fillId="0" borderId="0" xfId="0"/>
    <xf numFmtId="0" fontId="0" fillId="0" borderId="0" xfId="0" applyAlignment="1">
      <alignment vertical="top" wrapText="1"/>
    </xf>
    <xf numFmtId="0" fontId="136" fillId="0" borderId="0" xfId="0" applyFont="1" applyAlignment="1">
      <alignment vertical="top" wrapText="1"/>
    </xf>
    <xf numFmtId="0" fontId="0" fillId="0" borderId="0" xfId="0" applyAlignment="1">
      <alignment wrapText="1"/>
    </xf>
    <xf numFmtId="0" fontId="148" fillId="0" borderId="0" xfId="0" applyFont="1" applyAlignment="1">
      <alignment vertical="top" wrapText="1"/>
    </xf>
    <xf numFmtId="0" fontId="149" fillId="0" borderId="0" xfId="0" applyFont="1" applyAlignment="1">
      <alignment vertical="top" wrapText="1"/>
    </xf>
    <xf numFmtId="0" fontId="31" fillId="0" borderId="0" xfId="0" applyFont="1" applyAlignment="1">
      <alignment vertical="top" wrapText="1"/>
    </xf>
    <xf numFmtId="0" fontId="30" fillId="0" borderId="0" xfId="0" applyFont="1" applyAlignment="1">
      <alignment vertical="top" wrapText="1"/>
    </xf>
    <xf numFmtId="0" fontId="14" fillId="0" borderId="0" xfId="0" applyFont="1" applyAlignment="1">
      <alignment horizontal="left" vertical="center" wrapText="1"/>
    </xf>
    <xf numFmtId="0" fontId="8" fillId="0" borderId="0" xfId="0" applyFont="1" applyAlignment="1">
      <alignment horizontal="left" vertical="center" wrapText="1"/>
    </xf>
    <xf numFmtId="0" fontId="83" fillId="0" borderId="0" xfId="0" applyFont="1" applyAlignment="1">
      <alignment vertical="top" wrapText="1"/>
    </xf>
    <xf numFmtId="0" fontId="87" fillId="0" borderId="0" xfId="0" applyFont="1" applyAlignment="1">
      <alignment horizontal="left" vertical="top" wrapText="1"/>
    </xf>
    <xf numFmtId="0" fontId="107" fillId="0" borderId="0" xfId="0" applyFont="1" applyAlignment="1">
      <alignment horizontal="left" vertical="top" wrapText="1"/>
    </xf>
    <xf numFmtId="0" fontId="21" fillId="0" borderId="0" xfId="0" applyFont="1" applyAlignment="1">
      <alignment vertical="top" wrapText="1"/>
    </xf>
    <xf numFmtId="0" fontId="60" fillId="0" borderId="0" xfId="0" applyFont="1" applyAlignment="1">
      <alignment vertical="top" wrapText="1"/>
    </xf>
    <xf numFmtId="0" fontId="140" fillId="0" borderId="0" xfId="0" applyFont="1" applyAlignment="1">
      <alignment vertical="top" wrapText="1"/>
    </xf>
    <xf numFmtId="0" fontId="4" fillId="0" borderId="0" xfId="0" applyFont="1" applyAlignment="1">
      <alignment vertical="top" wrapText="1"/>
    </xf>
    <xf numFmtId="0" fontId="33" fillId="0" borderId="0" xfId="0" applyFont="1" applyAlignment="1">
      <alignment vertical="top" wrapText="1"/>
    </xf>
    <xf numFmtId="0" fontId="72" fillId="0" borderId="0" xfId="0" applyFont="1" applyAlignment="1">
      <alignment horizontal="left" vertical="top" wrapText="1"/>
    </xf>
    <xf numFmtId="0" fontId="14" fillId="0" borderId="0" xfId="0" applyFont="1" applyAlignment="1">
      <alignment vertical="top" wrapText="1"/>
    </xf>
    <xf numFmtId="0" fontId="81" fillId="0" borderId="0" xfId="0" applyFont="1" applyAlignment="1">
      <alignment vertical="top" wrapText="1"/>
    </xf>
    <xf numFmtId="0" fontId="80" fillId="0" borderId="0" xfId="0" applyFont="1" applyAlignment="1">
      <alignment vertical="top" wrapText="1"/>
    </xf>
    <xf numFmtId="0" fontId="87" fillId="0" borderId="0" xfId="0" applyFont="1" applyAlignment="1">
      <alignment vertical="top" wrapText="1"/>
    </xf>
    <xf numFmtId="0" fontId="14" fillId="0" borderId="0" xfId="1" applyFont="1" applyAlignment="1">
      <alignment vertical="top" wrapText="1"/>
    </xf>
    <xf numFmtId="0" fontId="4" fillId="0" borderId="0" xfId="1" applyFont="1" applyAlignment="1">
      <alignment vertical="top" wrapText="1"/>
    </xf>
    <xf numFmtId="0" fontId="32" fillId="0" borderId="0" xfId="0" applyFont="1" applyAlignment="1">
      <alignment vertical="top" wrapText="1"/>
    </xf>
    <xf numFmtId="0" fontId="8" fillId="0" borderId="4" xfId="0" applyFont="1" applyBorder="1" applyAlignment="1">
      <alignment vertical="top" wrapText="1"/>
    </xf>
    <xf numFmtId="0" fontId="4" fillId="0" borderId="0" xfId="0" applyFont="1" applyAlignment="1">
      <alignment horizontal="left" vertical="center" wrapText="1"/>
    </xf>
    <xf numFmtId="0" fontId="72" fillId="0" borderId="0" xfId="0" applyFont="1" applyAlignment="1">
      <alignment vertical="top" wrapText="1"/>
    </xf>
    <xf numFmtId="43" fontId="21" fillId="0" borderId="0" xfId="4" applyFont="1" applyFill="1" applyAlignment="1">
      <alignment vertical="top" wrapText="1"/>
    </xf>
    <xf numFmtId="43" fontId="60" fillId="0" borderId="0" xfId="4" applyFont="1" applyFill="1" applyAlignment="1">
      <alignment vertical="top" wrapText="1"/>
    </xf>
    <xf numFmtId="0" fontId="3" fillId="0" borderId="0" xfId="0" applyFont="1" applyAlignment="1">
      <alignment horizontal="left" vertical="top" wrapText="1"/>
    </xf>
    <xf numFmtId="0" fontId="14" fillId="0" borderId="0" xfId="1" applyFont="1" applyAlignment="1">
      <alignment horizontal="left" vertical="top" wrapText="1"/>
    </xf>
    <xf numFmtId="0" fontId="14" fillId="0" borderId="0" xfId="0" applyFont="1" applyAlignment="1">
      <alignment horizontal="left" vertical="top" wrapText="1"/>
    </xf>
    <xf numFmtId="0" fontId="21" fillId="0" borderId="0" xfId="1" applyFont="1" applyAlignment="1">
      <alignment horizontal="center" vertical="top" wrapText="1"/>
    </xf>
    <xf numFmtId="0" fontId="21" fillId="0" borderId="0" xfId="1" applyFont="1" applyAlignment="1">
      <alignment horizontal="left" vertical="top" wrapText="1"/>
    </xf>
    <xf numFmtId="0" fontId="31" fillId="0" borderId="0" xfId="0" applyFont="1" applyAlignment="1">
      <alignment horizontal="left" vertical="top" wrapText="1"/>
    </xf>
    <xf numFmtId="0" fontId="119" fillId="0" borderId="0" xfId="0" applyFont="1" applyAlignment="1">
      <alignment vertical="top" wrapText="1"/>
    </xf>
    <xf numFmtId="0" fontId="120" fillId="0" borderId="0" xfId="0" applyFont="1" applyAlignment="1">
      <alignment vertical="top" wrapText="1"/>
    </xf>
    <xf numFmtId="2" fontId="120" fillId="0" borderId="0" xfId="0" applyNumberFormat="1" applyFont="1" applyAlignment="1">
      <alignment vertical="top" wrapText="1"/>
    </xf>
    <xf numFmtId="0" fontId="59" fillId="0" borderId="0" xfId="10" applyFont="1" applyAlignment="1">
      <alignment vertical="top"/>
    </xf>
    <xf numFmtId="0" fontId="9" fillId="0" borderId="0" xfId="10" applyFont="1"/>
  </cellXfs>
  <cellStyles count="19">
    <cellStyle name="Comma" xfId="4" builtinId="3"/>
    <cellStyle name="Comma 2" xfId="3" xr:uid="{8DECF628-4DA3-F748-BB04-D5DC02C10AF5}"/>
    <cellStyle name="Comma 3" xfId="12" xr:uid="{DF802F35-6AB1-4C46-BA25-C78D8FDEEBFF}"/>
    <cellStyle name="Comma 3 2" xfId="18" xr:uid="{BA0217B2-8DC8-4341-8F44-8941157A8395}"/>
    <cellStyle name="Comma 4" xfId="5" xr:uid="{BE0901E7-AB8A-0C47-A12C-840E9F4ABE44}"/>
    <cellStyle name="Comma 4 2" xfId="17" xr:uid="{4F8D8025-9AC5-48C7-B859-6FFD5D0F7B1D}"/>
    <cellStyle name="Comma 5" xfId="15" xr:uid="{060F80D8-1837-418C-8EDA-1051BFF9EAC6}"/>
    <cellStyle name="Currency 2" xfId="16" xr:uid="{2C6AC262-2416-4585-981B-C587F91D7E30}"/>
    <cellStyle name="Normal" xfId="0" builtinId="0"/>
    <cellStyle name="Normal 2" xfId="1" xr:uid="{30A64EA5-FA10-034C-947B-346727CE62C9}"/>
    <cellStyle name="Normal 2 2" xfId="2" xr:uid="{C563A7AD-8EF8-F343-994D-9126BD1B38F4}"/>
    <cellStyle name="Normal 2 3" xfId="10" xr:uid="{0BA945EF-A5B7-3B40-92AF-E2004C643D84}"/>
    <cellStyle name="Normal 2 4" xfId="14" xr:uid="{672A5CC4-082B-47C4-9B96-279BB1839337}"/>
    <cellStyle name="Normal 3" xfId="11" xr:uid="{D3EA34EA-034F-FC4B-ADB1-036E46127A31}"/>
    <cellStyle name="Normal 3 45" xfId="7" xr:uid="{0FC25FBF-E234-EB42-95B1-0B8663E1C49F}"/>
    <cellStyle name="Normal 38" xfId="8" xr:uid="{006142B2-B5CB-0140-893E-05A13176F80D}"/>
    <cellStyle name="Normal 4" xfId="13" xr:uid="{8DB47834-A151-9440-8FA0-660D2E9EA16E}"/>
    <cellStyle name="Percent" xfId="9" builtinId="5"/>
    <cellStyle name="Percent 2" xfId="6" xr:uid="{789BC0D5-C495-8C4E-ABC0-5C60DFB3DF91}"/>
  </cellStyles>
  <dxfs count="12">
    <dxf>
      <numFmt numFmtId="182" formatCode=";;;"/>
    </dxf>
    <dxf>
      <font>
        <sz val="12"/>
        <color rgb="FF000000"/>
        <name val="Calibri"/>
      </font>
      <numFmt numFmtId="183" formatCode="&quot;&quot;;&quot;&quot;;&quot;&quot;;&quot;&quot;"/>
    </dxf>
    <dxf>
      <numFmt numFmtId="182" formatCode=";;;"/>
    </dxf>
    <dxf>
      <font>
        <sz val="12"/>
        <color rgb="FF000000"/>
        <name val="Calibri"/>
      </font>
      <numFmt numFmtId="183" formatCode="&quot;&quot;;&quot;&quot;;&quot;&quot;;&quot;&quot;"/>
    </dxf>
    <dxf>
      <numFmt numFmtId="182" formatCode=";;;"/>
    </dxf>
    <dxf>
      <numFmt numFmtId="182" formatCode=";;;"/>
    </dxf>
    <dxf>
      <numFmt numFmtId="182" formatCode=";;;"/>
    </dxf>
    <dxf>
      <numFmt numFmtId="182" formatCode=";;;"/>
    </dxf>
    <dxf>
      <numFmt numFmtId="182" formatCode=";;;"/>
    </dxf>
    <dxf>
      <numFmt numFmtId="182" formatCode=";;;"/>
    </dxf>
    <dxf>
      <font>
        <sz val="12"/>
        <color rgb="FF000000"/>
        <name val="Calibri"/>
      </font>
      <numFmt numFmtId="183" formatCode="&quot;&quot;;&quot;&quot;;&quot;&quot;;&quot;&quot;"/>
    </dxf>
    <dxf>
      <numFmt numFmtId="182" formatCode=";;;"/>
    </dxf>
  </dxfs>
  <tableStyles count="0" defaultTableStyle="TableStyleMedium2" defaultPivotStyle="PivotStyleLight16"/>
  <colors>
    <mruColors>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styles" Target="style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theme" Target="theme/theme1.xml"/><Relationship Id="rId9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microsoft.com/office/2017/10/relationships/person" Target="persons/perso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microsoft.com/office/2022/11/relationships/FeaturePropertyBag" Target="featurePropertyBag/featurePropertyBag.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5944481118310521E-2"/>
          <c:y val="7.9290619991998601E-2"/>
          <c:w val="0.95274710641847526"/>
          <c:h val="0.89151247477015283"/>
        </c:manualLayout>
      </c:layout>
      <c:barChart>
        <c:barDir val="col"/>
        <c:grouping val="percentStacked"/>
        <c:varyColors val="0"/>
        <c:ser>
          <c:idx val="1"/>
          <c:order val="0"/>
          <c:tx>
            <c:v>Facebook</c:v>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Lit>
              <c:formatCode>General</c:formatCode>
              <c:ptCount val="6"/>
              <c:pt idx="0">
                <c:v>2017</c:v>
              </c:pt>
              <c:pt idx="1">
                <c:v>2019</c:v>
              </c:pt>
              <c:pt idx="2">
                <c:v>2020</c:v>
              </c:pt>
              <c:pt idx="3">
                <c:v>2021</c:v>
              </c:pt>
              <c:pt idx="4">
                <c:v>2022</c:v>
              </c:pt>
              <c:pt idx="5">
                <c:v>2023</c:v>
              </c:pt>
            </c:numLit>
          </c:cat>
          <c:val>
            <c:numLit>
              <c:formatCode>General</c:formatCode>
              <c:ptCount val="6"/>
              <c:pt idx="0">
                <c:v>12.571365359032047</c:v>
              </c:pt>
              <c:pt idx="1">
                <c:v>17.152388014521602</c:v>
              </c:pt>
              <c:pt idx="2">
                <c:v>19.899999999999999</c:v>
              </c:pt>
              <c:pt idx="3">
                <c:v>22.383516806943433</c:v>
              </c:pt>
              <c:pt idx="4">
                <c:v>18.978321591892229</c:v>
              </c:pt>
              <c:pt idx="5">
                <c:v>19.086242124829926</c:v>
              </c:pt>
            </c:numLit>
          </c:val>
          <c:extLst>
            <c:ext xmlns:c16="http://schemas.microsoft.com/office/drawing/2014/chart" uri="{C3380CC4-5D6E-409C-BE32-E72D297353CC}">
              <c16:uniqueId val="{00000001-673A-894A-AD80-22CE63928908}"/>
            </c:ext>
          </c:extLst>
        </c:ser>
        <c:ser>
          <c:idx val="3"/>
          <c:order val="1"/>
          <c:tx>
            <c:v>Amazon</c:v>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Lit>
              <c:formatCode>General</c:formatCode>
              <c:ptCount val="6"/>
              <c:pt idx="0">
                <c:v>2017</c:v>
              </c:pt>
              <c:pt idx="1">
                <c:v>2019</c:v>
              </c:pt>
              <c:pt idx="2">
                <c:v>2020</c:v>
              </c:pt>
              <c:pt idx="3">
                <c:v>2021</c:v>
              </c:pt>
              <c:pt idx="4">
                <c:v>2022</c:v>
              </c:pt>
              <c:pt idx="5">
                <c:v>2023</c:v>
              </c:pt>
            </c:numLit>
          </c:cat>
          <c:val>
            <c:numLit>
              <c:formatCode>General</c:formatCode>
              <c:ptCount val="6"/>
              <c:pt idx="1">
                <c:v>3.5538383124196251</c:v>
              </c:pt>
              <c:pt idx="2">
                <c:v>5.6</c:v>
              </c:pt>
              <c:pt idx="3">
                <c:v>6.3671095378973224</c:v>
              </c:pt>
              <c:pt idx="4">
                <c:v>7.6864170065504878</c:v>
              </c:pt>
              <c:pt idx="5">
                <c:v>10.80619625784734</c:v>
              </c:pt>
            </c:numLit>
          </c:val>
          <c:extLst>
            <c:ext xmlns:c16="http://schemas.microsoft.com/office/drawing/2014/chart" uri="{C3380CC4-5D6E-409C-BE32-E72D297353CC}">
              <c16:uniqueId val="{00000002-673A-894A-AD80-22CE63928908}"/>
            </c:ext>
          </c:extLst>
        </c:ser>
        <c:ser>
          <c:idx val="2"/>
          <c:order val="2"/>
          <c:tx>
            <c:v>Bell</c:v>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Lit>
              <c:formatCode>General</c:formatCode>
              <c:ptCount val="6"/>
              <c:pt idx="0">
                <c:v>2017</c:v>
              </c:pt>
              <c:pt idx="1">
                <c:v>2019</c:v>
              </c:pt>
              <c:pt idx="2">
                <c:v>2020</c:v>
              </c:pt>
              <c:pt idx="3">
                <c:v>2021</c:v>
              </c:pt>
              <c:pt idx="4">
                <c:v>2022</c:v>
              </c:pt>
              <c:pt idx="5">
                <c:v>2023</c:v>
              </c:pt>
            </c:numLit>
          </c:cat>
          <c:val>
            <c:numLit>
              <c:formatCode>General</c:formatCode>
              <c:ptCount val="6"/>
              <c:pt idx="0">
                <c:v>14.269911186582881</c:v>
              </c:pt>
              <c:pt idx="1">
                <c:v>13.087652635992317</c:v>
              </c:pt>
              <c:pt idx="2">
                <c:v>10.7</c:v>
              </c:pt>
              <c:pt idx="3">
                <c:v>10.11890807263171</c:v>
              </c:pt>
              <c:pt idx="4">
                <c:v>9.0144605116796441</c:v>
              </c:pt>
              <c:pt idx="5">
                <c:v>7.5164815244906968</c:v>
              </c:pt>
            </c:numLit>
          </c:val>
          <c:extLst>
            <c:ext xmlns:c16="http://schemas.microsoft.com/office/drawing/2014/chart" uri="{C3380CC4-5D6E-409C-BE32-E72D297353CC}">
              <c16:uniqueId val="{00000003-673A-894A-AD80-22CE63928908}"/>
            </c:ext>
          </c:extLst>
        </c:ser>
        <c:ser>
          <c:idx val="4"/>
          <c:order val="3"/>
          <c:tx>
            <c:v>Shaw (Corus)</c:v>
          </c:tx>
          <c:spPr>
            <a:solidFill>
              <a:schemeClr val="accent5"/>
            </a:solidFill>
            <a:ln>
              <a:noFill/>
            </a:ln>
            <a:effectLst/>
          </c:spPr>
          <c:invertIfNegative val="0"/>
          <c:dLbls>
            <c:dLbl>
              <c:idx val="4"/>
              <c:tx>
                <c:rich>
                  <a:bodyPr/>
                  <a:lstStyle/>
                  <a:p>
                    <a:r>
                      <a:rPr lang="en-US"/>
                      <a:t> Shaw</a:t>
                    </a:r>
                  </a:p>
                </c:rich>
              </c:tx>
              <c:showLegendKey val="0"/>
              <c:showVal val="1"/>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73A-894A-AD80-22CE6392890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Lit>
              <c:formatCode>General</c:formatCode>
              <c:ptCount val="6"/>
              <c:pt idx="0">
                <c:v>2017</c:v>
              </c:pt>
              <c:pt idx="1">
                <c:v>2019</c:v>
              </c:pt>
              <c:pt idx="2">
                <c:v>2020</c:v>
              </c:pt>
              <c:pt idx="3">
                <c:v>2021</c:v>
              </c:pt>
              <c:pt idx="4">
                <c:v>2022</c:v>
              </c:pt>
              <c:pt idx="5">
                <c:v>2023</c:v>
              </c:pt>
            </c:numLit>
          </c:cat>
          <c:val>
            <c:numLit>
              <c:formatCode>General</c:formatCode>
              <c:ptCount val="6"/>
              <c:pt idx="0">
                <c:v>7.8229578804308781</c:v>
              </c:pt>
              <c:pt idx="1">
                <c:v>7.2807293903736703</c:v>
              </c:pt>
              <c:pt idx="2">
                <c:v>4.9000000000000004</c:v>
              </c:pt>
              <c:pt idx="3">
                <c:v>5.2770576734374988</c:v>
              </c:pt>
              <c:pt idx="4">
                <c:v>4.7469534050179218</c:v>
              </c:pt>
              <c:pt idx="5">
                <c:v>3.9371656089173395</c:v>
              </c:pt>
            </c:numLit>
          </c:val>
          <c:extLst>
            <c:ext xmlns:c16="http://schemas.microsoft.com/office/drawing/2014/chart" uri="{C3380CC4-5D6E-409C-BE32-E72D297353CC}">
              <c16:uniqueId val="{00000005-673A-894A-AD80-22CE63928908}"/>
            </c:ext>
          </c:extLst>
        </c:ser>
        <c:ser>
          <c:idx val="5"/>
          <c:order val="4"/>
          <c:tx>
            <c:v>Rogers</c:v>
          </c:tx>
          <c:spPr>
            <a:solidFill>
              <a:schemeClr val="accent6"/>
            </a:solidFill>
            <a:ln>
              <a:noFill/>
            </a:ln>
            <a:effectLst/>
          </c:spPr>
          <c:invertIfNegative val="0"/>
          <c:dLbls>
            <c:dLbl>
              <c:idx val="4"/>
              <c:tx>
                <c:rich>
                  <a:bodyPr/>
                  <a:lstStyle/>
                  <a:p>
                    <a:r>
                      <a:rPr lang="en-US"/>
                      <a:t> Rogers</a:t>
                    </a:r>
                  </a:p>
                </c:rich>
              </c:tx>
              <c:showLegendKey val="0"/>
              <c:showVal val="1"/>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73A-894A-AD80-22CE63928908}"/>
                </c:ext>
              </c:extLst>
            </c:dLbl>
            <c:numFmt formatCode="_(* #,##0.0_);_(* \(#,##0.0\);_(* &quot;-&quot;??_);_(@_)"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6"/>
              <c:pt idx="0">
                <c:v>2017</c:v>
              </c:pt>
              <c:pt idx="1">
                <c:v>2019</c:v>
              </c:pt>
              <c:pt idx="2">
                <c:v>2020</c:v>
              </c:pt>
              <c:pt idx="3">
                <c:v>2021</c:v>
              </c:pt>
              <c:pt idx="4">
                <c:v>2022</c:v>
              </c:pt>
              <c:pt idx="5">
                <c:v>2023</c:v>
              </c:pt>
            </c:numLit>
          </c:cat>
          <c:val>
            <c:numLit>
              <c:formatCode>General</c:formatCode>
              <c:ptCount val="6"/>
              <c:pt idx="0">
                <c:v>5.2470680321877774</c:v>
              </c:pt>
              <c:pt idx="1">
                <c:v>4.0318335974298369</c:v>
              </c:pt>
              <c:pt idx="2">
                <c:v>3.7</c:v>
              </c:pt>
              <c:pt idx="3">
                <c:v>2.833272834282913</c:v>
              </c:pt>
              <c:pt idx="4">
                <c:v>2.9726602977011494</c:v>
              </c:pt>
              <c:pt idx="5">
                <c:v>2.9123584576813539</c:v>
              </c:pt>
            </c:numLit>
          </c:val>
          <c:extLst>
            <c:ext xmlns:c16="http://schemas.microsoft.com/office/drawing/2014/chart" uri="{C3380CC4-5D6E-409C-BE32-E72D297353CC}">
              <c16:uniqueId val="{00000007-673A-894A-AD80-22CE63928908}"/>
            </c:ext>
          </c:extLst>
        </c:ser>
        <c:ser>
          <c:idx val="9"/>
          <c:order val="5"/>
          <c:tx>
            <c:v>TikTok</c:v>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Lit>
              <c:formatCode>General</c:formatCode>
              <c:ptCount val="6"/>
              <c:pt idx="0">
                <c:v>2017</c:v>
              </c:pt>
              <c:pt idx="1">
                <c:v>2019</c:v>
              </c:pt>
              <c:pt idx="2">
                <c:v>2020</c:v>
              </c:pt>
              <c:pt idx="3">
                <c:v>2021</c:v>
              </c:pt>
              <c:pt idx="4">
                <c:v>2022</c:v>
              </c:pt>
              <c:pt idx="5">
                <c:v>2023</c:v>
              </c:pt>
            </c:numLit>
          </c:cat>
          <c:val>
            <c:numLit>
              <c:formatCode>General</c:formatCode>
              <c:ptCount val="6"/>
              <c:pt idx="2">
                <c:v>0.7</c:v>
              </c:pt>
              <c:pt idx="3">
                <c:v>0.71455566094280221</c:v>
              </c:pt>
              <c:pt idx="4">
                <c:v>1.6783092324805342</c:v>
              </c:pt>
              <c:pt idx="5">
                <c:v>2.0701593385197556</c:v>
              </c:pt>
            </c:numLit>
          </c:val>
          <c:extLst>
            <c:ext xmlns:c16="http://schemas.microsoft.com/office/drawing/2014/chart" uri="{C3380CC4-5D6E-409C-BE32-E72D297353CC}">
              <c16:uniqueId val="{00000008-673A-894A-AD80-22CE63928908}"/>
            </c:ext>
          </c:extLst>
        </c:ser>
        <c:ser>
          <c:idx val="8"/>
          <c:order val="6"/>
          <c:tx>
            <c:v>Microsoft (Bing)</c:v>
          </c:tx>
          <c:spPr>
            <a:solidFill>
              <a:schemeClr val="accent3">
                <a:lumMod val="60000"/>
              </a:schemeClr>
            </a:solidFill>
            <a:ln>
              <a:noFill/>
            </a:ln>
            <a:effectLst/>
          </c:spPr>
          <c:invertIfNegative val="0"/>
          <c:dLbls>
            <c:dLbl>
              <c:idx val="4"/>
              <c:layout>
                <c:manualLayout>
                  <c:x val="7.0818385205593231E-3"/>
                  <c:y val="-1.249017505127856E-3"/>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9-673A-894A-AD80-22CE63928908}"/>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Lit>
              <c:formatCode>General</c:formatCode>
              <c:ptCount val="6"/>
              <c:pt idx="0">
                <c:v>2017</c:v>
              </c:pt>
              <c:pt idx="1">
                <c:v>2019</c:v>
              </c:pt>
              <c:pt idx="2">
                <c:v>2020</c:v>
              </c:pt>
              <c:pt idx="3">
                <c:v>2021</c:v>
              </c:pt>
              <c:pt idx="4">
                <c:v>2022</c:v>
              </c:pt>
              <c:pt idx="5">
                <c:v>2023</c:v>
              </c:pt>
            </c:numLit>
          </c:cat>
          <c:val>
            <c:numLit>
              <c:formatCode>General</c:formatCode>
              <c:ptCount val="6"/>
              <c:pt idx="0">
                <c:v>1.102009292222289</c:v>
              </c:pt>
              <c:pt idx="1">
                <c:v>1.3811322206477346</c:v>
              </c:pt>
              <c:pt idx="2">
                <c:v>1.9</c:v>
              </c:pt>
              <c:pt idx="3">
                <c:v>1.4505779319858703</c:v>
              </c:pt>
              <c:pt idx="4">
                <c:v>1.8114448152267952</c:v>
              </c:pt>
              <c:pt idx="5">
                <c:v>1.905771424717873</c:v>
              </c:pt>
            </c:numLit>
          </c:val>
          <c:extLst>
            <c:ext xmlns:c16="http://schemas.microsoft.com/office/drawing/2014/chart" uri="{C3380CC4-5D6E-409C-BE32-E72D297353CC}">
              <c16:uniqueId val="{0000000A-673A-894A-AD80-22CE63928908}"/>
            </c:ext>
          </c:extLst>
        </c:ser>
        <c:ser>
          <c:idx val="7"/>
          <c:order val="7"/>
          <c:tx>
            <c:v>CBC</c:v>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Lit>
              <c:formatCode>General</c:formatCode>
              <c:ptCount val="6"/>
              <c:pt idx="0">
                <c:v>2017</c:v>
              </c:pt>
              <c:pt idx="1">
                <c:v>2019</c:v>
              </c:pt>
              <c:pt idx="2">
                <c:v>2020</c:v>
              </c:pt>
              <c:pt idx="3">
                <c:v>2021</c:v>
              </c:pt>
              <c:pt idx="4">
                <c:v>2022</c:v>
              </c:pt>
              <c:pt idx="5">
                <c:v>2023</c:v>
              </c:pt>
            </c:numLit>
          </c:cat>
          <c:val>
            <c:numLit>
              <c:formatCode>General</c:formatCode>
              <c:ptCount val="6"/>
              <c:pt idx="0">
                <c:v>2.0608677912726665</c:v>
              </c:pt>
              <c:pt idx="1">
                <c:v>1.6206185125579742</c:v>
              </c:pt>
              <c:pt idx="2">
                <c:v>1.8</c:v>
              </c:pt>
              <c:pt idx="3">
                <c:v>1.8030257751847116</c:v>
              </c:pt>
              <c:pt idx="4">
                <c:v>1.8085774317142502</c:v>
              </c:pt>
              <c:pt idx="5">
                <c:v>1.6974314697500283</c:v>
              </c:pt>
            </c:numLit>
          </c:val>
          <c:extLst>
            <c:ext xmlns:c16="http://schemas.microsoft.com/office/drawing/2014/chart" uri="{C3380CC4-5D6E-409C-BE32-E72D297353CC}">
              <c16:uniqueId val="{0000000B-673A-894A-AD80-22CE63928908}"/>
            </c:ext>
          </c:extLst>
        </c:ser>
        <c:ser>
          <c:idx val="6"/>
          <c:order val="8"/>
          <c:tx>
            <c:v>Quebecor</c:v>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Lit>
              <c:formatCode>General</c:formatCode>
              <c:ptCount val="6"/>
              <c:pt idx="0">
                <c:v>2017</c:v>
              </c:pt>
              <c:pt idx="1">
                <c:v>2019</c:v>
              </c:pt>
              <c:pt idx="2">
                <c:v>2020</c:v>
              </c:pt>
              <c:pt idx="3">
                <c:v>2021</c:v>
              </c:pt>
              <c:pt idx="4">
                <c:v>2022</c:v>
              </c:pt>
              <c:pt idx="5">
                <c:v>2023</c:v>
              </c:pt>
            </c:numLit>
          </c:cat>
          <c:val>
            <c:numLit>
              <c:formatCode>General</c:formatCode>
              <c:ptCount val="6"/>
              <c:pt idx="0">
                <c:v>2.3247229127042353</c:v>
              </c:pt>
              <c:pt idx="1">
                <c:v>1.813024837360814</c:v>
              </c:pt>
              <c:pt idx="2">
                <c:v>2.2000000000000002</c:v>
              </c:pt>
              <c:pt idx="3">
                <c:v>1.6235079007247855</c:v>
              </c:pt>
              <c:pt idx="4">
                <c:v>1.7248259005710049</c:v>
              </c:pt>
              <c:pt idx="5">
                <c:v>1.5721966458510934</c:v>
              </c:pt>
            </c:numLit>
          </c:val>
          <c:extLst>
            <c:ext xmlns:c16="http://schemas.microsoft.com/office/drawing/2014/chart" uri="{C3380CC4-5D6E-409C-BE32-E72D297353CC}">
              <c16:uniqueId val="{0000000C-673A-894A-AD80-22CE63928908}"/>
            </c:ext>
          </c:extLst>
        </c:ser>
        <c:ser>
          <c:idx val="10"/>
          <c:order val="9"/>
          <c:tx>
            <c:v>Postmedia</c:v>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6"/>
              <c:pt idx="0">
                <c:v>2017</c:v>
              </c:pt>
              <c:pt idx="1">
                <c:v>2019</c:v>
              </c:pt>
              <c:pt idx="2">
                <c:v>2020</c:v>
              </c:pt>
              <c:pt idx="3">
                <c:v>2021</c:v>
              </c:pt>
              <c:pt idx="4">
                <c:v>2022</c:v>
              </c:pt>
              <c:pt idx="5">
                <c:v>2023</c:v>
              </c:pt>
            </c:numLit>
          </c:cat>
          <c:val>
            <c:numLit>
              <c:formatCode>General</c:formatCode>
              <c:ptCount val="6"/>
              <c:pt idx="0">
                <c:v>3.0622096180534606</c:v>
              </c:pt>
              <c:pt idx="1">
                <c:v>2.1125521504495905</c:v>
              </c:pt>
              <c:pt idx="2">
                <c:v>1.6</c:v>
              </c:pt>
              <c:pt idx="3">
                <c:v>1.6262595392248633</c:v>
              </c:pt>
              <c:pt idx="4">
                <c:v>1.2322728958101594</c:v>
              </c:pt>
              <c:pt idx="5">
                <c:v>1.0056145120558648</c:v>
              </c:pt>
            </c:numLit>
          </c:val>
          <c:extLst>
            <c:ext xmlns:c16="http://schemas.microsoft.com/office/drawing/2014/chart" uri="{C3380CC4-5D6E-409C-BE32-E72D297353CC}">
              <c16:uniqueId val="{0000000D-673A-894A-AD80-22CE63928908}"/>
            </c:ext>
          </c:extLst>
        </c:ser>
        <c:ser>
          <c:idx val="11"/>
          <c:order val="10"/>
          <c:tx>
            <c:v>Snapchat</c:v>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6"/>
              <c:pt idx="0">
                <c:v>2017</c:v>
              </c:pt>
              <c:pt idx="1">
                <c:v>2019</c:v>
              </c:pt>
              <c:pt idx="2">
                <c:v>2020</c:v>
              </c:pt>
              <c:pt idx="3">
                <c:v>2021</c:v>
              </c:pt>
              <c:pt idx="4">
                <c:v>2022</c:v>
              </c:pt>
              <c:pt idx="5">
                <c:v>2023</c:v>
              </c:pt>
            </c:numLit>
          </c:cat>
          <c:val>
            <c:numLit>
              <c:formatCode>General</c:formatCode>
              <c:ptCount val="6"/>
              <c:pt idx="1">
                <c:v>0.40919009815821239</c:v>
              </c:pt>
              <c:pt idx="2">
                <c:v>1.5</c:v>
              </c:pt>
              <c:pt idx="3">
                <c:v>0.95356941708550103</c:v>
              </c:pt>
              <c:pt idx="4">
                <c:v>0.97738227660363364</c:v>
              </c:pt>
              <c:pt idx="5">
                <c:v>0.90233631511733881</c:v>
              </c:pt>
            </c:numLit>
          </c:val>
          <c:extLst>
            <c:ext xmlns:c16="http://schemas.microsoft.com/office/drawing/2014/chart" uri="{C3380CC4-5D6E-409C-BE32-E72D297353CC}">
              <c16:uniqueId val="{0000000E-673A-894A-AD80-22CE63928908}"/>
            </c:ext>
          </c:extLst>
        </c:ser>
        <c:ser>
          <c:idx val="12"/>
          <c:order val="11"/>
          <c:tx>
            <c:v>Torstar</c:v>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6"/>
              <c:pt idx="0">
                <c:v>2017</c:v>
              </c:pt>
              <c:pt idx="1">
                <c:v>2019</c:v>
              </c:pt>
              <c:pt idx="2">
                <c:v>2020</c:v>
              </c:pt>
              <c:pt idx="3">
                <c:v>2021</c:v>
              </c:pt>
              <c:pt idx="4">
                <c:v>2022</c:v>
              </c:pt>
              <c:pt idx="5">
                <c:v>2023</c:v>
              </c:pt>
            </c:numLit>
          </c:cat>
          <c:val>
            <c:numLit>
              <c:formatCode>General</c:formatCode>
              <c:ptCount val="6"/>
              <c:pt idx="0">
                <c:v>3.2271472758905038</c:v>
              </c:pt>
              <c:pt idx="1">
                <c:v>2.0735479010520228</c:v>
              </c:pt>
              <c:pt idx="2">
                <c:v>0.8</c:v>
              </c:pt>
              <c:pt idx="3">
                <c:v>0.849608755107782</c:v>
              </c:pt>
              <c:pt idx="4">
                <c:v>0.70599907074527257</c:v>
              </c:pt>
              <c:pt idx="5">
                <c:v>0.63928631445081063</c:v>
              </c:pt>
            </c:numLit>
          </c:val>
          <c:extLst>
            <c:ext xmlns:c16="http://schemas.microsoft.com/office/drawing/2014/chart" uri="{C3380CC4-5D6E-409C-BE32-E72D297353CC}">
              <c16:uniqueId val="{0000000F-673A-894A-AD80-22CE63928908}"/>
            </c:ext>
          </c:extLst>
        </c:ser>
        <c:ser>
          <c:idx val="14"/>
          <c:order val="12"/>
          <c:tx>
            <c:v>Stingray</c:v>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Lit>
              <c:formatCode>General</c:formatCode>
              <c:ptCount val="6"/>
              <c:pt idx="0">
                <c:v>2017</c:v>
              </c:pt>
              <c:pt idx="1">
                <c:v>2019</c:v>
              </c:pt>
              <c:pt idx="2">
                <c:v>2020</c:v>
              </c:pt>
              <c:pt idx="3">
                <c:v>2021</c:v>
              </c:pt>
              <c:pt idx="4">
                <c:v>2022</c:v>
              </c:pt>
              <c:pt idx="5">
                <c:v>2023</c:v>
              </c:pt>
            </c:numLit>
          </c:cat>
          <c:val>
            <c:numLit>
              <c:formatCode>General</c:formatCode>
              <c:ptCount val="5"/>
              <c:pt idx="1">
                <c:v>0.99738445991097291</c:v>
              </c:pt>
              <c:pt idx="2">
                <c:v>0.83820356158208709</c:v>
              </c:pt>
              <c:pt idx="3">
                <c:v>0.64252953494848852</c:v>
              </c:pt>
              <c:pt idx="4">
                <c:v>0.61984921517735758</c:v>
              </c:pt>
            </c:numLit>
          </c:val>
          <c:extLst>
            <c:ext xmlns:c16="http://schemas.microsoft.com/office/drawing/2014/chart" uri="{C3380CC4-5D6E-409C-BE32-E72D297353CC}">
              <c16:uniqueId val="{00000010-673A-894A-AD80-22CE63928908}"/>
            </c:ext>
          </c:extLst>
        </c:ser>
        <c:ser>
          <c:idx val="15"/>
          <c:order val="13"/>
          <c:tx>
            <c:v>Pelmorex</c:v>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6"/>
              <c:pt idx="0">
                <c:v>2017</c:v>
              </c:pt>
              <c:pt idx="1">
                <c:v>2019</c:v>
              </c:pt>
              <c:pt idx="2">
                <c:v>2020</c:v>
              </c:pt>
              <c:pt idx="3">
                <c:v>2021</c:v>
              </c:pt>
              <c:pt idx="4">
                <c:v>2022</c:v>
              </c:pt>
              <c:pt idx="5">
                <c:v>2023</c:v>
              </c:pt>
            </c:numLit>
          </c:cat>
          <c:val>
            <c:numLit>
              <c:formatCode>General</c:formatCode>
              <c:ptCount val="6"/>
              <c:pt idx="0">
                <c:v>0.73930996120155446</c:v>
              </c:pt>
              <c:pt idx="1">
                <c:v>0.69770980014693262</c:v>
              </c:pt>
              <c:pt idx="2">
                <c:v>0.7</c:v>
              </c:pt>
              <c:pt idx="3">
                <c:v>0.60903032497623144</c:v>
              </c:pt>
              <c:pt idx="4">
                <c:v>0.53649734272648619</c:v>
              </c:pt>
              <c:pt idx="5">
                <c:v>0.47910454811343173</c:v>
              </c:pt>
            </c:numLit>
          </c:val>
          <c:extLst>
            <c:ext xmlns:c16="http://schemas.microsoft.com/office/drawing/2014/chart" uri="{C3380CC4-5D6E-409C-BE32-E72D297353CC}">
              <c16:uniqueId val="{00000011-673A-894A-AD80-22CE63928908}"/>
            </c:ext>
          </c:extLst>
        </c:ser>
        <c:ser>
          <c:idx val="13"/>
          <c:order val="14"/>
          <c:tx>
            <c:v>Twitter</c:v>
          </c:tx>
          <c:spPr>
            <a:solidFill>
              <a:schemeClr val="accent2">
                <a:lumMod val="80000"/>
                <a:lumOff val="20000"/>
              </a:schemeClr>
            </a:solidFill>
            <a:ln>
              <a:noFill/>
            </a:ln>
            <a:effectLst/>
          </c:spPr>
          <c:invertIfNegative val="0"/>
          <c:cat>
            <c:numLit>
              <c:formatCode>General</c:formatCode>
              <c:ptCount val="6"/>
              <c:pt idx="0">
                <c:v>2017</c:v>
              </c:pt>
              <c:pt idx="1">
                <c:v>2019</c:v>
              </c:pt>
              <c:pt idx="2">
                <c:v>2020</c:v>
              </c:pt>
              <c:pt idx="3">
                <c:v>2021</c:v>
              </c:pt>
              <c:pt idx="4">
                <c:v>2022</c:v>
              </c:pt>
              <c:pt idx="5">
                <c:v>2023</c:v>
              </c:pt>
            </c:numLit>
          </c:cat>
          <c:val>
            <c:numLit>
              <c:formatCode>General</c:formatCode>
              <c:ptCount val="6"/>
              <c:pt idx="0">
                <c:v>0.66229351814339454</c:v>
              </c:pt>
              <c:pt idx="1">
                <c:v>0.68635799017557753</c:v>
              </c:pt>
              <c:pt idx="2">
                <c:v>0.8</c:v>
              </c:pt>
              <c:pt idx="3">
                <c:v>0.85951177019880898</c:v>
              </c:pt>
              <c:pt idx="4">
                <c:v>0.81695711284142869</c:v>
              </c:pt>
              <c:pt idx="5">
                <c:v>0.43069360422048852</c:v>
              </c:pt>
            </c:numLit>
          </c:val>
          <c:extLst>
            <c:ext xmlns:c16="http://schemas.microsoft.com/office/drawing/2014/chart" uri="{C3380CC4-5D6E-409C-BE32-E72D297353CC}">
              <c16:uniqueId val="{00000012-673A-894A-AD80-22CE63928908}"/>
            </c:ext>
          </c:extLst>
        </c:ser>
        <c:ser>
          <c:idx val="16"/>
          <c:order val="15"/>
          <c:tx>
            <c:v>Globe &amp; Mail</c:v>
          </c:tx>
          <c:spPr>
            <a:solidFill>
              <a:schemeClr val="accent5">
                <a:lumMod val="80000"/>
                <a:lumOff val="20000"/>
              </a:schemeClr>
            </a:solidFill>
            <a:ln>
              <a:noFill/>
            </a:ln>
            <a:effectLst/>
          </c:spPr>
          <c:invertIfNegative val="0"/>
          <c:dLbls>
            <c:dLbl>
              <c:idx val="0"/>
              <c:layout>
                <c:manualLayout>
                  <c:x val="7.7102812249188163E-2"/>
                  <c:y val="-1.0068650157714108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3-673A-894A-AD80-22CE63928908}"/>
                </c:ext>
              </c:extLst>
            </c:dLbl>
            <c:dLbl>
              <c:idx val="1"/>
              <c:layout>
                <c:manualLayout>
                  <c:x val="9.7663562182304972E-2"/>
                  <c:y val="3.7757438091427903E-3"/>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4-673A-894A-AD80-22CE6392890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6"/>
              <c:pt idx="0">
                <c:v>2017</c:v>
              </c:pt>
              <c:pt idx="1">
                <c:v>2019</c:v>
              </c:pt>
              <c:pt idx="2">
                <c:v>2020</c:v>
              </c:pt>
              <c:pt idx="3">
                <c:v>2021</c:v>
              </c:pt>
              <c:pt idx="4">
                <c:v>2022</c:v>
              </c:pt>
              <c:pt idx="5">
                <c:v>2023</c:v>
              </c:pt>
            </c:numLit>
          </c:cat>
          <c:val>
            <c:numLit>
              <c:formatCode>General</c:formatCode>
              <c:ptCount val="5"/>
              <c:pt idx="0">
                <c:v>0.46252759433140567</c:v>
              </c:pt>
              <c:pt idx="1">
                <c:v>0.35812552617576637</c:v>
              </c:pt>
              <c:pt idx="2">
                <c:v>0.4</c:v>
              </c:pt>
              <c:pt idx="3">
                <c:v>0.30505182774062234</c:v>
              </c:pt>
              <c:pt idx="4">
                <c:v>0.26696329254727474</c:v>
              </c:pt>
            </c:numLit>
          </c:val>
          <c:extLst>
            <c:ext xmlns:c16="http://schemas.microsoft.com/office/drawing/2014/chart" uri="{C3380CC4-5D6E-409C-BE32-E72D297353CC}">
              <c16:uniqueId val="{00000015-673A-894A-AD80-22CE63928908}"/>
            </c:ext>
          </c:extLst>
        </c:ser>
        <c:ser>
          <c:idx val="17"/>
          <c:order val="16"/>
          <c:tx>
            <c:v>Cogeco</c:v>
          </c:tx>
          <c:spPr>
            <a:solidFill>
              <a:schemeClr val="accent6">
                <a:lumMod val="80000"/>
                <a:lumOff val="20000"/>
              </a:schemeClr>
            </a:solidFill>
            <a:ln>
              <a:noFill/>
            </a:ln>
            <a:effectLst/>
          </c:spPr>
          <c:invertIfNegative val="0"/>
          <c:dLbls>
            <c:dLbl>
              <c:idx val="0"/>
              <c:layout>
                <c:manualLayout>
                  <c:x val="8.2242999732467403E-2"/>
                  <c:y val="-1.8878719045713973E-2"/>
                </c:manualLayout>
              </c:layout>
              <c:tx>
                <c:rich>
                  <a:bodyPr/>
                  <a:lstStyle/>
                  <a:p>
                    <a:fld id="{6310875C-F054-4740-9E26-0101D141A1F9}" type="SERIESNAME">
                      <a:rPr lang="en-US">
                        <a:solidFill>
                          <a:schemeClr val="tx1"/>
                        </a:solidFill>
                      </a:rPr>
                      <a:pPr/>
                      <a:t>[SERIES NAME]</a:t>
                    </a:fld>
                    <a:endParaRPr lang="en-US"/>
                  </a:p>
                </c:rich>
              </c:tx>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6-673A-894A-AD80-22CE6392890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6"/>
              <c:pt idx="0">
                <c:v>2017</c:v>
              </c:pt>
              <c:pt idx="1">
                <c:v>2019</c:v>
              </c:pt>
              <c:pt idx="2">
                <c:v>2020</c:v>
              </c:pt>
              <c:pt idx="3">
                <c:v>2021</c:v>
              </c:pt>
              <c:pt idx="4">
                <c:v>2022</c:v>
              </c:pt>
              <c:pt idx="5">
                <c:v>2023</c:v>
              </c:pt>
            </c:numLit>
          </c:cat>
          <c:val>
            <c:numLit>
              <c:formatCode>General</c:formatCode>
              <c:ptCount val="5"/>
              <c:pt idx="0">
                <c:v>0.75208385411728207</c:v>
              </c:pt>
              <c:pt idx="1">
                <c:v>0.62795850535184294</c:v>
              </c:pt>
              <c:pt idx="2">
                <c:v>0.6</c:v>
              </c:pt>
              <c:pt idx="3">
                <c:v>0.45509213412563959</c:v>
              </c:pt>
              <c:pt idx="4">
                <c:v>0.4053887034977135</c:v>
              </c:pt>
            </c:numLit>
          </c:val>
          <c:extLst>
            <c:ext xmlns:c16="http://schemas.microsoft.com/office/drawing/2014/chart" uri="{C3380CC4-5D6E-409C-BE32-E72D297353CC}">
              <c16:uniqueId val="{00000017-673A-894A-AD80-22CE63928908}"/>
            </c:ext>
          </c:extLst>
        </c:ser>
        <c:ser>
          <c:idx val="18"/>
          <c:order val="17"/>
          <c:tx>
            <c:v>La Presse</c:v>
          </c:tx>
          <c:spPr>
            <a:solidFill>
              <a:schemeClr val="accent1">
                <a:lumMod val="80000"/>
              </a:schemeClr>
            </a:solidFill>
            <a:ln>
              <a:noFill/>
            </a:ln>
            <a:effectLst/>
          </c:spPr>
          <c:invertIfNegative val="0"/>
          <c:dLbls>
            <c:dLbl>
              <c:idx val="0"/>
              <c:layout>
                <c:manualLayout>
                  <c:x val="7.4018699759220624E-2"/>
                  <c:y val="-2.5171625394285291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8-673A-894A-AD80-22CE63928908}"/>
                </c:ext>
              </c:extLst>
            </c:dLbl>
            <c:dLbl>
              <c:idx val="1"/>
              <c:layout>
                <c:manualLayout>
                  <c:x val="8.0186924739155646E-2"/>
                  <c:y val="-2.2654462854856752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9-673A-894A-AD80-22CE6392890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6"/>
              <c:pt idx="0">
                <c:v>2017</c:v>
              </c:pt>
              <c:pt idx="1">
                <c:v>2019</c:v>
              </c:pt>
              <c:pt idx="2">
                <c:v>2020</c:v>
              </c:pt>
              <c:pt idx="3">
                <c:v>2021</c:v>
              </c:pt>
              <c:pt idx="4">
                <c:v>2022</c:v>
              </c:pt>
              <c:pt idx="5">
                <c:v>2023</c:v>
              </c:pt>
            </c:numLit>
          </c:cat>
          <c:val>
            <c:numLit>
              <c:formatCode>General</c:formatCode>
              <c:ptCount val="6"/>
              <c:pt idx="0">
                <c:v>0.6555671444949186</c:v>
              </c:pt>
              <c:pt idx="1">
                <c:v>0.49558052167536165</c:v>
              </c:pt>
              <c:pt idx="2">
                <c:v>0.5</c:v>
              </c:pt>
              <c:pt idx="3">
                <c:v>0.39710969042323679</c:v>
              </c:pt>
              <c:pt idx="4">
                <c:v>0.33488073167717219</c:v>
              </c:pt>
              <c:pt idx="5">
                <c:v>0.296562530351695</c:v>
              </c:pt>
            </c:numLit>
          </c:val>
          <c:extLst>
            <c:ext xmlns:c16="http://schemas.microsoft.com/office/drawing/2014/chart" uri="{C3380CC4-5D6E-409C-BE32-E72D297353CC}">
              <c16:uniqueId val="{0000001A-673A-894A-AD80-22CE63928908}"/>
            </c:ext>
          </c:extLst>
        </c:ser>
        <c:ser>
          <c:idx val="19"/>
          <c:order val="18"/>
          <c:tx>
            <c:v>CN2i</c:v>
          </c:tx>
          <c:spPr>
            <a:solidFill>
              <a:schemeClr val="accent2">
                <a:lumMod val="80000"/>
              </a:schemeClr>
            </a:solidFill>
            <a:ln>
              <a:noFill/>
            </a:ln>
            <a:effectLst/>
          </c:spPr>
          <c:invertIfNegative val="0"/>
          <c:cat>
            <c:numLit>
              <c:formatCode>General</c:formatCode>
              <c:ptCount val="6"/>
              <c:pt idx="0">
                <c:v>2017</c:v>
              </c:pt>
              <c:pt idx="1">
                <c:v>2019</c:v>
              </c:pt>
              <c:pt idx="2">
                <c:v>2020</c:v>
              </c:pt>
              <c:pt idx="3">
                <c:v>2021</c:v>
              </c:pt>
              <c:pt idx="4">
                <c:v>2022</c:v>
              </c:pt>
              <c:pt idx="5">
                <c:v>2023</c:v>
              </c:pt>
            </c:numLit>
          </c:cat>
          <c:val>
            <c:numLit>
              <c:formatCode>General</c:formatCode>
              <c:ptCount val="5"/>
              <c:pt idx="1">
                <c:v>0.36811360658556308</c:v>
              </c:pt>
              <c:pt idx="2">
                <c:v>0.3</c:v>
              </c:pt>
              <c:pt idx="3">
                <c:v>0.15817105804200846</c:v>
              </c:pt>
              <c:pt idx="4">
                <c:v>0.11465884958618039</c:v>
              </c:pt>
            </c:numLit>
          </c:val>
          <c:extLst>
            <c:ext xmlns:c16="http://schemas.microsoft.com/office/drawing/2014/chart" uri="{C3380CC4-5D6E-409C-BE32-E72D297353CC}">
              <c16:uniqueId val="{0000001B-673A-894A-AD80-22CE63928908}"/>
            </c:ext>
          </c:extLst>
        </c:ser>
        <c:ser>
          <c:idx val="20"/>
          <c:order val="19"/>
          <c:tx>
            <c:v>Pattison</c:v>
          </c:tx>
          <c:spPr>
            <a:solidFill>
              <a:schemeClr val="accent3">
                <a:lumMod val="80000"/>
              </a:schemeClr>
            </a:solidFill>
            <a:ln>
              <a:noFill/>
            </a:ln>
            <a:effectLst/>
          </c:spPr>
          <c:invertIfNegative val="0"/>
          <c:dLbls>
            <c:dLbl>
              <c:idx val="0"/>
              <c:layout>
                <c:manualLayout>
                  <c:x val="8.2243040206384566E-2"/>
                  <c:y val="-4.3421053805142086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fld id="{3A0B28FC-A459-8B44-87EB-CFF93231C9F5}" type="SERIESNAME">
                      <a:rPr lang="en-US"/>
                      <a:pPr>
                        <a:defRPr/>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1"/>
              <c:showPercent val="0"/>
              <c:showBubbleSize val="0"/>
              <c:extLst>
                <c:ext xmlns:c15="http://schemas.microsoft.com/office/drawing/2012/chart" uri="{CE6537A1-D6FC-4f65-9D91-7224C49458BB}">
                  <c15:layout>
                    <c:manualLayout>
                      <c:w val="6.6041128785171321E-2"/>
                      <c:h val="2.6405035038605248E-2"/>
                    </c:manualLayout>
                  </c15:layout>
                  <c15:dlblFieldTable/>
                  <c15:showDataLabelsRange val="0"/>
                </c:ext>
                <c:ext xmlns:c16="http://schemas.microsoft.com/office/drawing/2014/chart" uri="{C3380CC4-5D6E-409C-BE32-E72D297353CC}">
                  <c16:uniqueId val="{0000001C-673A-894A-AD80-22CE6392890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6"/>
              <c:pt idx="0">
                <c:v>2017</c:v>
              </c:pt>
              <c:pt idx="1">
                <c:v>2019</c:v>
              </c:pt>
              <c:pt idx="2">
                <c:v>2020</c:v>
              </c:pt>
              <c:pt idx="3">
                <c:v>2021</c:v>
              </c:pt>
              <c:pt idx="4">
                <c:v>2022</c:v>
              </c:pt>
              <c:pt idx="5">
                <c:v>2023</c:v>
              </c:pt>
            </c:numLit>
          </c:cat>
          <c:val>
            <c:numLit>
              <c:formatCode>General</c:formatCode>
              <c:ptCount val="6"/>
              <c:pt idx="0">
                <c:v>0.44450283633008342</c:v>
              </c:pt>
              <c:pt idx="1">
                <c:v>0.40340742365705168</c:v>
              </c:pt>
              <c:pt idx="2">
                <c:v>0.3</c:v>
              </c:pt>
              <c:pt idx="3">
                <c:v>0.30112855632017327</c:v>
              </c:pt>
              <c:pt idx="4">
                <c:v>0.26317852437996464</c:v>
              </c:pt>
              <c:pt idx="5">
                <c:v>0.25176146834685531</c:v>
              </c:pt>
            </c:numLit>
          </c:val>
          <c:extLst>
            <c:ext xmlns:c16="http://schemas.microsoft.com/office/drawing/2014/chart" uri="{C3380CC4-5D6E-409C-BE32-E72D297353CC}">
              <c16:uniqueId val="{0000001D-673A-894A-AD80-22CE63928908}"/>
            </c:ext>
          </c:extLst>
        </c:ser>
        <c:ser>
          <c:idx val="21"/>
          <c:order val="20"/>
          <c:tx>
            <c:v>Spotify</c:v>
          </c:tx>
          <c:spPr>
            <a:solidFill>
              <a:schemeClr val="accent4">
                <a:lumMod val="80000"/>
              </a:schemeClr>
            </a:solidFill>
            <a:ln>
              <a:noFill/>
            </a:ln>
            <a:effectLst/>
          </c:spPr>
          <c:invertIfNegative val="0"/>
          <c:cat>
            <c:numLit>
              <c:formatCode>General</c:formatCode>
              <c:ptCount val="6"/>
              <c:pt idx="0">
                <c:v>2017</c:v>
              </c:pt>
              <c:pt idx="1">
                <c:v>2019</c:v>
              </c:pt>
              <c:pt idx="2">
                <c:v>2020</c:v>
              </c:pt>
              <c:pt idx="3">
                <c:v>2021</c:v>
              </c:pt>
              <c:pt idx="4">
                <c:v>2022</c:v>
              </c:pt>
              <c:pt idx="5">
                <c:v>2023</c:v>
              </c:pt>
            </c:numLit>
          </c:cat>
          <c:val>
            <c:numLit>
              <c:formatCode>General</c:formatCode>
              <c:ptCount val="6"/>
              <c:pt idx="0">
                <c:v>9.7404556464473199E-2</c:v>
              </c:pt>
              <c:pt idx="1">
                <c:v>0.14081493756374661</c:v>
              </c:pt>
              <c:pt idx="2">
                <c:v>0.16416805743090268</c:v>
              </c:pt>
              <c:pt idx="3">
                <c:v>0.21472259208187139</c:v>
              </c:pt>
              <c:pt idx="4">
                <c:v>0.24451860091459646</c:v>
              </c:pt>
              <c:pt idx="5">
                <c:v>0.26798915369307813</c:v>
              </c:pt>
            </c:numLit>
          </c:val>
          <c:extLst>
            <c:ext xmlns:c16="http://schemas.microsoft.com/office/drawing/2014/chart" uri="{C3380CC4-5D6E-409C-BE32-E72D297353CC}">
              <c16:uniqueId val="{0000001E-673A-894A-AD80-22CE63928908}"/>
            </c:ext>
          </c:extLst>
        </c:ser>
        <c:ser>
          <c:idx val="22"/>
          <c:order val="21"/>
          <c:tx>
            <c:v>Vista Radio</c:v>
          </c:tx>
          <c:spPr>
            <a:solidFill>
              <a:schemeClr val="accent5">
                <a:lumMod val="80000"/>
              </a:schemeClr>
            </a:solidFill>
            <a:ln>
              <a:noFill/>
            </a:ln>
            <a:effectLst/>
          </c:spPr>
          <c:invertIfNegative val="0"/>
          <c:cat>
            <c:numLit>
              <c:formatCode>General</c:formatCode>
              <c:ptCount val="6"/>
              <c:pt idx="0">
                <c:v>2017</c:v>
              </c:pt>
              <c:pt idx="1">
                <c:v>2019</c:v>
              </c:pt>
              <c:pt idx="2">
                <c:v>2020</c:v>
              </c:pt>
              <c:pt idx="3">
                <c:v>2021</c:v>
              </c:pt>
              <c:pt idx="4">
                <c:v>2022</c:v>
              </c:pt>
              <c:pt idx="5">
                <c:v>2023</c:v>
              </c:pt>
            </c:numLit>
          </c:cat>
          <c:val>
            <c:numLit>
              <c:formatCode>General</c:formatCode>
              <c:ptCount val="6"/>
              <c:pt idx="0">
                <c:v>0.48078878215294729</c:v>
              </c:pt>
              <c:pt idx="1">
                <c:v>0.41987303278591093</c:v>
              </c:pt>
              <c:pt idx="2">
                <c:v>0.36769742676765194</c:v>
              </c:pt>
              <c:pt idx="3">
                <c:v>0.31341951780262933</c:v>
              </c:pt>
              <c:pt idx="4">
                <c:v>0.27929149526037061</c:v>
              </c:pt>
              <c:pt idx="5">
                <c:v>0.2566979677262054</c:v>
              </c:pt>
            </c:numLit>
          </c:val>
          <c:extLst>
            <c:ext xmlns:c16="http://schemas.microsoft.com/office/drawing/2014/chart" uri="{C3380CC4-5D6E-409C-BE32-E72D297353CC}">
              <c16:uniqueId val="{0000001F-673A-894A-AD80-22CE63928908}"/>
            </c:ext>
          </c:extLst>
        </c:ser>
        <c:ser>
          <c:idx val="23"/>
          <c:order val="22"/>
          <c:tx>
            <c:v>Golden West Broadcasting</c:v>
          </c:tx>
          <c:spPr>
            <a:solidFill>
              <a:schemeClr val="accent6">
                <a:lumMod val="80000"/>
              </a:schemeClr>
            </a:solidFill>
            <a:ln>
              <a:noFill/>
            </a:ln>
            <a:effectLst/>
          </c:spPr>
          <c:invertIfNegative val="0"/>
          <c:cat>
            <c:numLit>
              <c:formatCode>General</c:formatCode>
              <c:ptCount val="6"/>
              <c:pt idx="0">
                <c:v>2017</c:v>
              </c:pt>
              <c:pt idx="1">
                <c:v>2019</c:v>
              </c:pt>
              <c:pt idx="2">
                <c:v>2020</c:v>
              </c:pt>
              <c:pt idx="3">
                <c:v>2021</c:v>
              </c:pt>
              <c:pt idx="4">
                <c:v>2022</c:v>
              </c:pt>
              <c:pt idx="5">
                <c:v>2023</c:v>
              </c:pt>
            </c:numLit>
          </c:cat>
          <c:val>
            <c:numLit>
              <c:formatCode>General</c:formatCode>
              <c:ptCount val="6"/>
              <c:pt idx="0">
                <c:v>0.32657351240577559</c:v>
              </c:pt>
              <c:pt idx="1">
                <c:v>0.29638096431946653</c:v>
              </c:pt>
              <c:pt idx="2">
                <c:v>0.25955112477716602</c:v>
              </c:pt>
              <c:pt idx="3">
                <c:v>0.22123730668420893</c:v>
              </c:pt>
              <c:pt idx="4">
                <c:v>0.19335565056487197</c:v>
              </c:pt>
              <c:pt idx="5">
                <c:v>0.1678409788979035</c:v>
              </c:pt>
            </c:numLit>
          </c:val>
          <c:extLst>
            <c:ext xmlns:c16="http://schemas.microsoft.com/office/drawing/2014/chart" uri="{C3380CC4-5D6E-409C-BE32-E72D297353CC}">
              <c16:uniqueId val="{00000020-673A-894A-AD80-22CE63928908}"/>
            </c:ext>
          </c:extLst>
        </c:ser>
        <c:ser>
          <c:idx val="24"/>
          <c:order val="23"/>
          <c:tx>
            <c:v>FP CDN Newspapers</c:v>
          </c:tx>
          <c:spPr>
            <a:solidFill>
              <a:schemeClr val="accent1">
                <a:lumMod val="60000"/>
                <a:lumOff val="40000"/>
              </a:schemeClr>
            </a:solidFill>
            <a:ln>
              <a:noFill/>
            </a:ln>
            <a:effectLst/>
          </c:spPr>
          <c:invertIfNegative val="0"/>
          <c:cat>
            <c:numLit>
              <c:formatCode>General</c:formatCode>
              <c:ptCount val="6"/>
              <c:pt idx="0">
                <c:v>2017</c:v>
              </c:pt>
              <c:pt idx="1">
                <c:v>2019</c:v>
              </c:pt>
              <c:pt idx="2">
                <c:v>2020</c:v>
              </c:pt>
              <c:pt idx="3">
                <c:v>2021</c:v>
              </c:pt>
              <c:pt idx="4">
                <c:v>2022</c:v>
              </c:pt>
              <c:pt idx="5">
                <c:v>2023</c:v>
              </c:pt>
            </c:numLit>
          </c:cat>
          <c:val>
            <c:numLit>
              <c:formatCode>General</c:formatCode>
              <c:ptCount val="6"/>
              <c:pt idx="0">
                <c:v>0.30672378768679981</c:v>
              </c:pt>
              <c:pt idx="1">
                <c:v>0.23228559132137133</c:v>
              </c:pt>
              <c:pt idx="2">
                <c:v>0.2</c:v>
              </c:pt>
              <c:pt idx="3">
                <c:v>0.14663389430858026</c:v>
              </c:pt>
              <c:pt idx="4">
                <c:v>0.1371400321344704</c:v>
              </c:pt>
              <c:pt idx="5">
                <c:v>0.11096297929145651</c:v>
              </c:pt>
            </c:numLit>
          </c:val>
          <c:extLst>
            <c:ext xmlns:c16="http://schemas.microsoft.com/office/drawing/2014/chart" uri="{C3380CC4-5D6E-409C-BE32-E72D297353CC}">
              <c16:uniqueId val="{00000021-673A-894A-AD80-22CE63928908}"/>
            </c:ext>
          </c:extLst>
        </c:ser>
        <c:ser>
          <c:idx val="25"/>
          <c:order val="24"/>
          <c:tx>
            <c:v>Saltwire</c:v>
          </c:tx>
          <c:spPr>
            <a:solidFill>
              <a:schemeClr val="accent2">
                <a:lumMod val="60000"/>
                <a:lumOff val="40000"/>
              </a:schemeClr>
            </a:solidFill>
            <a:ln>
              <a:noFill/>
            </a:ln>
            <a:effectLst/>
          </c:spPr>
          <c:invertIfNegative val="0"/>
          <c:cat>
            <c:numLit>
              <c:formatCode>General</c:formatCode>
              <c:ptCount val="6"/>
              <c:pt idx="0">
                <c:v>2017</c:v>
              </c:pt>
              <c:pt idx="1">
                <c:v>2019</c:v>
              </c:pt>
              <c:pt idx="2">
                <c:v>2020</c:v>
              </c:pt>
              <c:pt idx="3">
                <c:v>2021</c:v>
              </c:pt>
              <c:pt idx="4">
                <c:v>2022</c:v>
              </c:pt>
              <c:pt idx="5">
                <c:v>2023</c:v>
              </c:pt>
            </c:numLit>
          </c:cat>
          <c:val>
            <c:numLit>
              <c:formatCode>General</c:formatCode>
              <c:ptCount val="6"/>
              <c:pt idx="4">
                <c:v>0.15340055456226864</c:v>
              </c:pt>
              <c:pt idx="5">
                <c:v>0.13407924187393483</c:v>
              </c:pt>
            </c:numLit>
          </c:val>
          <c:extLst>
            <c:ext xmlns:c16="http://schemas.microsoft.com/office/drawing/2014/chart" uri="{C3380CC4-5D6E-409C-BE32-E72D297353CC}">
              <c16:uniqueId val="{00000022-673A-894A-AD80-22CE63928908}"/>
            </c:ext>
          </c:extLst>
        </c:ser>
        <c:ser>
          <c:idx val="26"/>
          <c:order val="25"/>
          <c:tx>
            <c:v>Other</c:v>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Lit>
              <c:formatCode>General</c:formatCode>
              <c:ptCount val="6"/>
              <c:pt idx="0">
                <c:v>2017</c:v>
              </c:pt>
              <c:pt idx="1">
                <c:v>2019</c:v>
              </c:pt>
              <c:pt idx="2">
                <c:v>2020</c:v>
              </c:pt>
              <c:pt idx="3">
                <c:v>2021</c:v>
              </c:pt>
              <c:pt idx="4">
                <c:v>2022</c:v>
              </c:pt>
              <c:pt idx="5">
                <c:v>2023</c:v>
              </c:pt>
            </c:numLit>
          </c:cat>
          <c:val>
            <c:numLit>
              <c:formatCode>General</c:formatCode>
              <c:ptCount val="6"/>
              <c:pt idx="0">
                <c:v>13.586921117086526</c:v>
              </c:pt>
              <c:pt idx="1">
                <c:v>10.160271745279569</c:v>
              </c:pt>
              <c:pt idx="2">
                <c:v>8.1550331676488241</c:v>
              </c:pt>
              <c:pt idx="3">
                <c:v>6.2311248067112945</c:v>
              </c:pt>
              <c:pt idx="4">
                <c:v>6.1507058326269144</c:v>
              </c:pt>
              <c:pt idx="5">
                <c:v>0.18953011931308011</c:v>
              </c:pt>
            </c:numLit>
          </c:val>
          <c:extLst>
            <c:ext xmlns:c16="http://schemas.microsoft.com/office/drawing/2014/chart" uri="{C3380CC4-5D6E-409C-BE32-E72D297353CC}">
              <c16:uniqueId val="{00000023-673A-894A-AD80-22CE63928908}"/>
            </c:ext>
          </c:extLst>
        </c:ser>
        <c:dLbls>
          <c:showLegendKey val="0"/>
          <c:showVal val="0"/>
          <c:showCatName val="0"/>
          <c:showSerName val="0"/>
          <c:showPercent val="0"/>
          <c:showBubbleSize val="0"/>
        </c:dLbls>
        <c:gapWidth val="150"/>
        <c:overlap val="100"/>
        <c:axId val="1524341823"/>
        <c:axId val="797773055"/>
      </c:barChart>
      <c:catAx>
        <c:axId val="15243418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7773055"/>
        <c:crosses val="autoZero"/>
        <c:auto val="1"/>
        <c:lblAlgn val="ctr"/>
        <c:lblOffset val="100"/>
        <c:noMultiLvlLbl val="0"/>
      </c:catAx>
      <c:valAx>
        <c:axId val="79777305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4341823"/>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kumimoji="0" lang="en-US" sz="1800" b="1" i="0" u="none" strike="noStrike" kern="1200" cap="none" spc="0" normalizeH="0" baseline="0" noProof="0">
                <a:ln>
                  <a:noFill/>
                </a:ln>
                <a:solidFill>
                  <a:sysClr val="windowText" lastClr="000000">
                    <a:lumMod val="65000"/>
                    <a:lumOff val="35000"/>
                  </a:sysClr>
                </a:solidFill>
                <a:effectLst/>
                <a:uLnTx/>
                <a:uFillTx/>
                <a:latin typeface="Calibri"/>
              </a:rPr>
              <a:t> Online Video Distributors, 2016 vs 2022 (Market Share based on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percentStacked"/>
        <c:varyColors val="0"/>
        <c:ser>
          <c:idx val="0"/>
          <c:order val="0"/>
          <c:tx>
            <c:strRef>
              <c:f>'Figure 62 OVD MrktShare $ w YT'!$A$35</c:f>
              <c:strCache>
                <c:ptCount val="1"/>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'[5]Fig 25 OVD MrktShare w YT'!#REF!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'[5]Fig 25 OVD MrktShare w YT'!#REF!</c15:sqref>
                        </c15:formulaRef>
                      </c:ext>
                    </c:extLst>
                    <c:strCache>
                      <c:ptCount val="1"/>
                      <c:pt idx="0">
                        <c:v>#REF!</c:v>
                      </c:pt>
                    </c:strCache>
                  </c:strRef>
                </c15:cat>
              </c15:filteredCategoryTitle>
            </c:ext>
            <c:ext xmlns:c16="http://schemas.microsoft.com/office/drawing/2014/chart" uri="{C3380CC4-5D6E-409C-BE32-E72D297353CC}">
              <c16:uniqueId val="{00000000-5E18-5143-8D7E-39F8605F22F6}"/>
            </c:ext>
          </c:extLst>
        </c:ser>
        <c:ser>
          <c:idx val="1"/>
          <c:order val="1"/>
          <c:tx>
            <c:strRef>
              <c:f>'Figure 62 OVD MrktShare $ w YT'!$A$36</c:f>
              <c:strCache>
                <c:ptCount val="1"/>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'[5]Fig 25 OVD MrktShare w YT'!#REF!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'[5]Fig 25 OVD MrktShare w YT'!#REF!</c15:sqref>
                        </c15:formulaRef>
                      </c:ext>
                    </c:extLst>
                    <c:strCache>
                      <c:ptCount val="1"/>
                      <c:pt idx="0">
                        <c:v>#REF!</c:v>
                      </c:pt>
                    </c:strCache>
                  </c:strRef>
                </c15:cat>
              </c15:filteredCategoryTitle>
            </c:ext>
            <c:ext xmlns:c16="http://schemas.microsoft.com/office/drawing/2014/chart" uri="{C3380CC4-5D6E-409C-BE32-E72D297353CC}">
              <c16:uniqueId val="{00000001-5E18-5143-8D7E-39F8605F22F6}"/>
            </c:ext>
          </c:extLst>
        </c:ser>
        <c:ser>
          <c:idx val="2"/>
          <c:order val="2"/>
          <c:tx>
            <c:strRef>
              <c:f>'Figure 62 OVD MrktShare $ w YT'!$A$37</c:f>
              <c:strCache>
                <c:ptCount val="1"/>
              </c:strCache>
            </c:strRef>
          </c:tx>
          <c:spPr>
            <a:solidFill>
              <a:schemeClr val="accent3"/>
            </a:solidFill>
            <a:ln>
              <a:noFill/>
            </a:ln>
            <a:effectLst/>
          </c:spPr>
          <c:invertIfNegative val="0"/>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5E18-5143-8D7E-39F8605F22F6}"/>
                </c:ext>
              </c:extLst>
            </c:dLbl>
            <c:dLbl>
              <c:idx val="1"/>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5E18-5143-8D7E-39F8605F22F6}"/>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'Figure 62 OVD MrktShare $ w YT'!$B$37:$C$37</c:f>
              <c:numCache>
                <c:formatCode>0.0000</c:formatCode>
                <c:ptCount val="2"/>
              </c:numCache>
            </c:numRef>
          </c:val>
          <c:extLst>
            <c:ext xmlns:c15="http://schemas.microsoft.com/office/drawing/2012/chart" uri="{02D57815-91ED-43cb-92C2-25804820EDAC}">
              <c15:filteredCategoryTitle>
                <c15:cat>
                  <c:strRef>
                    <c:extLst>
                      <c:ext uri="{02D57815-91ED-43cb-92C2-25804820EDAC}">
                        <c15:formulaRef>
                          <c15:sqref>'[5]Fig 25 OVD MrktShare w YT'!#REF!</c15:sqref>
                        </c15:formulaRef>
                      </c:ext>
                    </c:extLst>
                    <c:strCache>
                      <c:ptCount val="1"/>
                      <c:pt idx="0">
                        <c:v>#REF!</c:v>
                      </c:pt>
                    </c:strCache>
                  </c:strRef>
                </c15:cat>
              </c15:filteredCategoryTitle>
            </c:ext>
            <c:ext xmlns:c16="http://schemas.microsoft.com/office/drawing/2014/chart" uri="{C3380CC4-5D6E-409C-BE32-E72D297353CC}">
              <c16:uniqueId val="{00000004-5E18-5143-8D7E-39F8605F22F6}"/>
            </c:ext>
          </c:extLst>
        </c:ser>
        <c:ser>
          <c:idx val="3"/>
          <c:order val="3"/>
          <c:tx>
            <c:strRef>
              <c:f>'Figure 62 OVD MrktShare $ w YT'!$A$38</c:f>
              <c:strCache>
                <c:ptCount val="1"/>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'Figure 62 OVD MrktShare $ w YT'!$B$38:$C$38</c:f>
              <c:numCache>
                <c:formatCode>0.000</c:formatCode>
                <c:ptCount val="2"/>
              </c:numCache>
            </c:numRef>
          </c:val>
          <c:extLst>
            <c:ext xmlns:c15="http://schemas.microsoft.com/office/drawing/2012/chart" uri="{02D57815-91ED-43cb-92C2-25804820EDAC}">
              <c15:filteredCategoryTitle>
                <c15:cat>
                  <c:strRef>
                    <c:extLst>
                      <c:ext uri="{02D57815-91ED-43cb-92C2-25804820EDAC}">
                        <c15:formulaRef>
                          <c15:sqref>'[5]Fig 25 OVD MrktShare w YT'!#REF!</c15:sqref>
                        </c15:formulaRef>
                      </c:ext>
                    </c:extLst>
                    <c:strCache>
                      <c:ptCount val="1"/>
                      <c:pt idx="0">
                        <c:v>#REF!</c:v>
                      </c:pt>
                    </c:strCache>
                  </c:strRef>
                </c15:cat>
              </c15:filteredCategoryTitle>
            </c:ext>
            <c:ext xmlns:c16="http://schemas.microsoft.com/office/drawing/2014/chart" uri="{C3380CC4-5D6E-409C-BE32-E72D297353CC}">
              <c16:uniqueId val="{00000005-5E18-5143-8D7E-39F8605F22F6}"/>
            </c:ext>
          </c:extLst>
        </c:ser>
        <c:ser>
          <c:idx val="4"/>
          <c:order val="4"/>
          <c:tx>
            <c:strRef>
              <c:f>'Figure 62 OVD MrktShare $ w YT'!$A$39</c:f>
              <c:strCache>
                <c:ptCount val="1"/>
              </c:strCache>
            </c:strRef>
          </c:tx>
          <c:spPr>
            <a:solidFill>
              <a:schemeClr val="accent5"/>
            </a:solidFill>
            <a:ln>
              <a:noFill/>
            </a:ln>
            <a:effectLst/>
          </c:spPr>
          <c:invertIfNegative val="0"/>
          <c:dLbls>
            <c:dLbl>
              <c:idx val="1"/>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06-5E18-5143-8D7E-39F8605F22F6}"/>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'Figure 62 OVD MrktShare $ w YT'!$B$39:$C$39</c:f>
              <c:numCache>
                <c:formatCode>General</c:formatCode>
                <c:ptCount val="2"/>
              </c:numCache>
            </c:numRef>
          </c:val>
          <c:extLst>
            <c:ext xmlns:c15="http://schemas.microsoft.com/office/drawing/2012/chart" uri="{02D57815-91ED-43cb-92C2-25804820EDAC}">
              <c15:filteredCategoryTitle>
                <c15:cat>
                  <c:strRef>
                    <c:extLst>
                      <c:ext uri="{02D57815-91ED-43cb-92C2-25804820EDAC}">
                        <c15:formulaRef>
                          <c15:sqref>'[5]Fig 25 OVD MrktShare w YT'!#REF!</c15:sqref>
                        </c15:formulaRef>
                      </c:ext>
                    </c:extLst>
                    <c:strCache>
                      <c:ptCount val="1"/>
                      <c:pt idx="0">
                        <c:v>#REF!</c:v>
                      </c:pt>
                    </c:strCache>
                  </c:strRef>
                </c15:cat>
              </c15:filteredCategoryTitle>
            </c:ext>
            <c:ext xmlns:c16="http://schemas.microsoft.com/office/drawing/2014/chart" uri="{C3380CC4-5D6E-409C-BE32-E72D297353CC}">
              <c16:uniqueId val="{00000007-5E18-5143-8D7E-39F8605F22F6}"/>
            </c:ext>
          </c:extLst>
        </c:ser>
        <c:ser>
          <c:idx val="5"/>
          <c:order val="5"/>
          <c:tx>
            <c:strRef>
              <c:f>'Figure 62 OVD MrktShare $ w YT'!$A$40</c:f>
              <c:strCache>
                <c:ptCount val="1"/>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'Figure 62 OVD MrktShare $ w YT'!$B$40:$C$40</c:f>
              <c:numCache>
                <c:formatCode>0.0</c:formatCode>
                <c:ptCount val="2"/>
              </c:numCache>
            </c:numRef>
          </c:val>
          <c:extLst>
            <c:ext xmlns:c15="http://schemas.microsoft.com/office/drawing/2012/chart" uri="{02D57815-91ED-43cb-92C2-25804820EDAC}">
              <c15:filteredCategoryTitle>
                <c15:cat>
                  <c:strRef>
                    <c:extLst>
                      <c:ext uri="{02D57815-91ED-43cb-92C2-25804820EDAC}">
                        <c15:formulaRef>
                          <c15:sqref>'[5]Fig 25 OVD MrktShare w YT'!#REF!</c15:sqref>
                        </c15:formulaRef>
                      </c:ext>
                    </c:extLst>
                    <c:strCache>
                      <c:ptCount val="1"/>
                      <c:pt idx="0">
                        <c:v>#REF!</c:v>
                      </c:pt>
                    </c:strCache>
                  </c:strRef>
                </c15:cat>
              </c15:filteredCategoryTitle>
            </c:ext>
            <c:ext xmlns:c16="http://schemas.microsoft.com/office/drawing/2014/chart" uri="{C3380CC4-5D6E-409C-BE32-E72D297353CC}">
              <c16:uniqueId val="{00000008-5E18-5143-8D7E-39F8605F22F6}"/>
            </c:ext>
          </c:extLst>
        </c:ser>
        <c:ser>
          <c:idx val="6"/>
          <c:order val="6"/>
          <c:tx>
            <c:strRef>
              <c:f>'Figure 62 OVD MrktShare $ w YT'!$A$41</c:f>
              <c:strCache>
                <c:ptCount val="1"/>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'Figure 62 OVD MrktShare $ w YT'!$B$41:$C$41</c:f>
              <c:numCache>
                <c:formatCode>General</c:formatCode>
                <c:ptCount val="2"/>
              </c:numCache>
            </c:numRef>
          </c:val>
          <c:extLst>
            <c:ext xmlns:c15="http://schemas.microsoft.com/office/drawing/2012/chart" uri="{02D57815-91ED-43cb-92C2-25804820EDAC}">
              <c15:filteredCategoryTitle>
                <c15:cat>
                  <c:strRef>
                    <c:extLst>
                      <c:ext uri="{02D57815-91ED-43cb-92C2-25804820EDAC}">
                        <c15:formulaRef>
                          <c15:sqref>'[5]Fig 25 OVD MrktShare w YT'!#REF!</c15:sqref>
                        </c15:formulaRef>
                      </c:ext>
                    </c:extLst>
                    <c:strCache>
                      <c:ptCount val="1"/>
                      <c:pt idx="0">
                        <c:v>#REF!</c:v>
                      </c:pt>
                    </c:strCache>
                  </c:strRef>
                </c15:cat>
              </c15:filteredCategoryTitle>
            </c:ext>
            <c:ext xmlns:c16="http://schemas.microsoft.com/office/drawing/2014/chart" uri="{C3380CC4-5D6E-409C-BE32-E72D297353CC}">
              <c16:uniqueId val="{00000009-5E18-5143-8D7E-39F8605F22F6}"/>
            </c:ext>
          </c:extLst>
        </c:ser>
        <c:ser>
          <c:idx val="7"/>
          <c:order val="7"/>
          <c:tx>
            <c:strRef>
              <c:f>'Figure 62 OVD MrktShare $ w YT'!$A$42</c:f>
              <c:strCache>
                <c:ptCount val="1"/>
              </c:strCache>
            </c:strRef>
          </c:tx>
          <c:spPr>
            <a:solidFill>
              <a:schemeClr val="accent2">
                <a:lumMod val="60000"/>
              </a:schemeClr>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5E18-5143-8D7E-39F8605F22F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'Figure 62 OVD MrktShare $ w YT'!$B$42:$C$42</c:f>
              <c:numCache>
                <c:formatCode>0.0</c:formatCode>
                <c:ptCount val="2"/>
              </c:numCache>
            </c:numRef>
          </c:val>
          <c:extLst>
            <c:ext xmlns:c15="http://schemas.microsoft.com/office/drawing/2012/chart" uri="{02D57815-91ED-43cb-92C2-25804820EDAC}">
              <c15:filteredCategoryTitle>
                <c15:cat>
                  <c:strRef>
                    <c:extLst>
                      <c:ext uri="{02D57815-91ED-43cb-92C2-25804820EDAC}">
                        <c15:formulaRef>
                          <c15:sqref>'[5]Fig 25 OVD MrktShare w YT'!#REF!</c15:sqref>
                        </c15:formulaRef>
                      </c:ext>
                    </c:extLst>
                    <c:strCache>
                      <c:ptCount val="1"/>
                      <c:pt idx="0">
                        <c:v>#REF!</c:v>
                      </c:pt>
                    </c:strCache>
                  </c:strRef>
                </c15:cat>
              </c15:filteredCategoryTitle>
            </c:ext>
            <c:ext xmlns:c16="http://schemas.microsoft.com/office/drawing/2014/chart" uri="{C3380CC4-5D6E-409C-BE32-E72D297353CC}">
              <c16:uniqueId val="{0000000B-5E18-5143-8D7E-39F8605F22F6}"/>
            </c:ext>
          </c:extLst>
        </c:ser>
        <c:ser>
          <c:idx val="8"/>
          <c:order val="8"/>
          <c:tx>
            <c:strRef>
              <c:f>'Figure 62 OVD MrktShare $ w YT'!$A$43</c:f>
              <c:strCache>
                <c:ptCount val="1"/>
              </c:strCache>
            </c:strRef>
          </c:tx>
          <c:spPr>
            <a:solidFill>
              <a:schemeClr val="accent3">
                <a:lumMod val="60000"/>
              </a:schemeClr>
            </a:solidFill>
            <a:ln>
              <a:noFill/>
            </a:ln>
            <a:effectLst/>
          </c:spPr>
          <c:invertIfNegative val="0"/>
          <c:val>
            <c:numRef>
              <c:f>'Figure 62 OVD MrktShare $ w YT'!$B$43:$C$43</c:f>
              <c:numCache>
                <c:formatCode>0.0</c:formatCode>
                <c:ptCount val="2"/>
              </c:numCache>
            </c:numRef>
          </c:val>
          <c:extLst>
            <c:ext xmlns:c15="http://schemas.microsoft.com/office/drawing/2012/chart" uri="{02D57815-91ED-43cb-92C2-25804820EDAC}">
              <c15:filteredCategoryTitle>
                <c15:cat>
                  <c:strRef>
                    <c:extLst>
                      <c:ext uri="{02D57815-91ED-43cb-92C2-25804820EDAC}">
                        <c15:formulaRef>
                          <c15:sqref>'[5]Fig 25 OVD MrktShare w YT'!#REF!</c15:sqref>
                        </c15:formulaRef>
                      </c:ext>
                    </c:extLst>
                    <c:strCache>
                      <c:ptCount val="1"/>
                      <c:pt idx="0">
                        <c:v>#REF!</c:v>
                      </c:pt>
                    </c:strCache>
                  </c:strRef>
                </c15:cat>
              </c15:filteredCategoryTitle>
            </c:ext>
            <c:ext xmlns:c16="http://schemas.microsoft.com/office/drawing/2014/chart" uri="{C3380CC4-5D6E-409C-BE32-E72D297353CC}">
              <c16:uniqueId val="{0000000C-5E18-5143-8D7E-39F8605F22F6}"/>
            </c:ext>
          </c:extLst>
        </c:ser>
        <c:ser>
          <c:idx val="9"/>
          <c:order val="9"/>
          <c:tx>
            <c:strRef>
              <c:f>'Figure 62 OVD MrktShare $ w YT'!$A$44</c:f>
              <c:strCache>
                <c:ptCount val="1"/>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'Figure 62 OVD MrktShare $ w YT'!$B$44:$C$44</c:f>
              <c:numCache>
                <c:formatCode>0.0</c:formatCode>
                <c:ptCount val="2"/>
              </c:numCache>
            </c:numRef>
          </c:val>
          <c:extLst>
            <c:ext xmlns:c15="http://schemas.microsoft.com/office/drawing/2012/chart" uri="{02D57815-91ED-43cb-92C2-25804820EDAC}">
              <c15:filteredCategoryTitle>
                <c15:cat>
                  <c:strRef>
                    <c:extLst>
                      <c:ext uri="{02D57815-91ED-43cb-92C2-25804820EDAC}">
                        <c15:formulaRef>
                          <c15:sqref>'[5]Fig 25 OVD MrktShare w YT'!#REF!</c15:sqref>
                        </c15:formulaRef>
                      </c:ext>
                    </c:extLst>
                    <c:strCache>
                      <c:ptCount val="1"/>
                      <c:pt idx="0">
                        <c:v>#REF!</c:v>
                      </c:pt>
                    </c:strCache>
                  </c:strRef>
                </c15:cat>
              </c15:filteredCategoryTitle>
            </c:ext>
            <c:ext xmlns:c16="http://schemas.microsoft.com/office/drawing/2014/chart" uri="{C3380CC4-5D6E-409C-BE32-E72D297353CC}">
              <c16:uniqueId val="{0000000D-5E18-5143-8D7E-39F8605F22F6}"/>
            </c:ext>
          </c:extLst>
        </c:ser>
        <c:ser>
          <c:idx val="10"/>
          <c:order val="10"/>
          <c:tx>
            <c:strRef>
              <c:f>'Figure 62 OVD MrktShare $ w YT'!$A$45</c:f>
              <c:strCache>
                <c:ptCount val="1"/>
              </c:strCache>
            </c:strRef>
          </c:tx>
          <c:spPr>
            <a:solidFill>
              <a:schemeClr val="accent5">
                <a:lumMod val="60000"/>
              </a:schemeClr>
            </a:solidFill>
            <a:ln>
              <a:noFill/>
            </a:ln>
            <a:effectLst/>
          </c:spPr>
          <c:invertIfNegative val="0"/>
          <c:val>
            <c:numRef>
              <c:f>'Figure 62 OVD MrktShare $ w YT'!$B$45:$C$45</c:f>
              <c:numCache>
                <c:formatCode>0.0</c:formatCode>
                <c:ptCount val="2"/>
              </c:numCache>
            </c:numRef>
          </c:val>
          <c:extLst>
            <c:ext xmlns:c15="http://schemas.microsoft.com/office/drawing/2012/chart" uri="{02D57815-91ED-43cb-92C2-25804820EDAC}">
              <c15:filteredCategoryTitle>
                <c15:cat>
                  <c:strRef>
                    <c:extLst>
                      <c:ext uri="{02D57815-91ED-43cb-92C2-25804820EDAC}">
                        <c15:formulaRef>
                          <c15:sqref>'[5]Fig 25 OVD MrktShare w YT'!#REF!</c15:sqref>
                        </c15:formulaRef>
                      </c:ext>
                    </c:extLst>
                    <c:strCache>
                      <c:ptCount val="1"/>
                      <c:pt idx="0">
                        <c:v>#REF!</c:v>
                      </c:pt>
                    </c:strCache>
                  </c:strRef>
                </c15:cat>
              </c15:filteredCategoryTitle>
            </c:ext>
            <c:ext xmlns:c16="http://schemas.microsoft.com/office/drawing/2014/chart" uri="{C3380CC4-5D6E-409C-BE32-E72D297353CC}">
              <c16:uniqueId val="{0000000E-5E18-5143-8D7E-39F8605F22F6}"/>
            </c:ext>
          </c:extLst>
        </c:ser>
        <c:ser>
          <c:idx val="11"/>
          <c:order val="11"/>
          <c:tx>
            <c:strRef>
              <c:f>'Figure 62 OVD MrktShare $ w YT'!$A$46</c:f>
              <c:strCache>
                <c:ptCount val="1"/>
              </c:strCache>
            </c:strRef>
          </c:tx>
          <c:spPr>
            <a:solidFill>
              <a:schemeClr val="accent6">
                <a:lumMod val="60000"/>
              </a:schemeClr>
            </a:solidFill>
            <a:ln>
              <a:noFill/>
            </a:ln>
            <a:effectLst/>
          </c:spPr>
          <c:invertIfNegative val="0"/>
          <c:dLbls>
            <c:dLbl>
              <c:idx val="1"/>
              <c:layout>
                <c:manualLayout>
                  <c:x val="1.3431833445265279E-3"/>
                  <c:y val="2.463054187192107E-3"/>
                </c:manualLayout>
              </c:layout>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F-5E18-5143-8D7E-39F8605F22F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'Figure 62 OVD MrktShare $ w YT'!$B$46:$C$46</c:f>
              <c:numCache>
                <c:formatCode>0.0</c:formatCode>
                <c:ptCount val="2"/>
              </c:numCache>
            </c:numRef>
          </c:val>
          <c:extLst>
            <c:ext xmlns:c15="http://schemas.microsoft.com/office/drawing/2012/chart" uri="{02D57815-91ED-43cb-92C2-25804820EDAC}">
              <c15:filteredCategoryTitle>
                <c15:cat>
                  <c:strRef>
                    <c:extLst>
                      <c:ext uri="{02D57815-91ED-43cb-92C2-25804820EDAC}">
                        <c15:formulaRef>
                          <c15:sqref>'[5]Fig 25 OVD MrktShare w YT'!#REF!</c15:sqref>
                        </c15:formulaRef>
                      </c:ext>
                    </c:extLst>
                    <c:strCache>
                      <c:ptCount val="1"/>
                      <c:pt idx="0">
                        <c:v>#REF!</c:v>
                      </c:pt>
                    </c:strCache>
                  </c:strRef>
                </c15:cat>
              </c15:filteredCategoryTitle>
            </c:ext>
            <c:ext xmlns:c16="http://schemas.microsoft.com/office/drawing/2014/chart" uri="{C3380CC4-5D6E-409C-BE32-E72D297353CC}">
              <c16:uniqueId val="{00000010-5E18-5143-8D7E-39F8605F22F6}"/>
            </c:ext>
          </c:extLst>
        </c:ser>
        <c:ser>
          <c:idx val="12"/>
          <c:order val="12"/>
          <c:tx>
            <c:strRef>
              <c:f>'Figure 62 OVD MrktShare $ w YT'!$A$47</c:f>
              <c:strCache>
                <c:ptCount val="1"/>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'Figure 62 OVD MrktShare $ w YT'!$B$47:$C$47</c:f>
              <c:numCache>
                <c:formatCode>0.0</c:formatCode>
                <c:ptCount val="2"/>
              </c:numCache>
            </c:numRef>
          </c:val>
          <c:extLst>
            <c:ext xmlns:c15="http://schemas.microsoft.com/office/drawing/2012/chart" uri="{02D57815-91ED-43cb-92C2-25804820EDAC}">
              <c15:filteredCategoryTitle>
                <c15:cat>
                  <c:strRef>
                    <c:extLst>
                      <c:ext uri="{02D57815-91ED-43cb-92C2-25804820EDAC}">
                        <c15:formulaRef>
                          <c15:sqref>'[5]Fig 25 OVD MrktShare w YT'!#REF!</c15:sqref>
                        </c15:formulaRef>
                      </c:ext>
                    </c:extLst>
                    <c:strCache>
                      <c:ptCount val="1"/>
                      <c:pt idx="0">
                        <c:v>#REF!</c:v>
                      </c:pt>
                    </c:strCache>
                  </c:strRef>
                </c15:cat>
              </c15:filteredCategoryTitle>
            </c:ext>
            <c:ext xmlns:c16="http://schemas.microsoft.com/office/drawing/2014/chart" uri="{C3380CC4-5D6E-409C-BE32-E72D297353CC}">
              <c16:uniqueId val="{00000011-5E18-5143-8D7E-39F8605F22F6}"/>
            </c:ext>
          </c:extLst>
        </c:ser>
        <c:dLbls>
          <c:showLegendKey val="0"/>
          <c:showVal val="0"/>
          <c:showCatName val="0"/>
          <c:showSerName val="0"/>
          <c:showPercent val="0"/>
          <c:showBubbleSize val="0"/>
        </c:dLbls>
        <c:gapWidth val="149"/>
        <c:overlap val="100"/>
        <c:axId val="64533263"/>
        <c:axId val="64498031"/>
      </c:barChart>
      <c:catAx>
        <c:axId val="64533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64498031"/>
        <c:crosses val="autoZero"/>
        <c:auto val="1"/>
        <c:lblAlgn val="ctr"/>
        <c:lblOffset val="100"/>
        <c:noMultiLvlLbl val="0"/>
      </c:catAx>
      <c:valAx>
        <c:axId val="6449803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533263"/>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115225404900135E-2"/>
          <c:y val="7.9074595196423209E-2"/>
          <c:w val="0.91863933674573905"/>
          <c:h val="0.64305299311526876"/>
        </c:manualLayout>
      </c:layout>
      <c:barChart>
        <c:barDir val="col"/>
        <c:grouping val="stacked"/>
        <c:varyColors val="0"/>
        <c:ser>
          <c:idx val="0"/>
          <c:order val="0"/>
          <c:tx>
            <c:strRef>
              <c:f>'Figure 81 Leading Content Cos'!$B$113</c:f>
              <c:strCache>
                <c:ptCount val="1"/>
                <c:pt idx="0">
                  <c:v>Multichannel Video Distribution (Cable/DBS/IPTV)</c:v>
                </c:pt>
              </c:strCache>
            </c:strRef>
          </c:tx>
          <c:spPr>
            <a:solidFill>
              <a:schemeClr val="accent1"/>
            </a:solidFill>
            <a:ln>
              <a:noFill/>
            </a:ln>
            <a:effectLst/>
          </c:spPr>
          <c:invertIfNegative val="0"/>
          <c:cat>
            <c:strRef>
              <c:f>'Figure 81 Leading Content Cos'!$A$114:$A$132</c:f>
              <c:strCache>
                <c:ptCount val="19"/>
                <c:pt idx="0">
                  <c:v>BCE</c:v>
                </c:pt>
                <c:pt idx="1">
                  <c:v>Shaw</c:v>
                </c:pt>
                <c:pt idx="2">
                  <c:v>Rogers</c:v>
                </c:pt>
                <c:pt idx="3">
                  <c:v>Quebecor</c:v>
                </c:pt>
                <c:pt idx="4">
                  <c:v>CBC</c:v>
                </c:pt>
                <c:pt idx="5">
                  <c:v>Alphabet</c:v>
                </c:pt>
                <c:pt idx="6">
                  <c:v>Torstar</c:v>
                </c:pt>
                <c:pt idx="7">
                  <c:v>Postmedia</c:v>
                </c:pt>
                <c:pt idx="8">
                  <c:v>Cogeco</c:v>
                </c:pt>
                <c:pt idx="9">
                  <c:v>Telus</c:v>
                </c:pt>
                <c:pt idx="10">
                  <c:v>Transcontinental</c:v>
                </c:pt>
                <c:pt idx="11">
                  <c:v>Power Corp</c:v>
                </c:pt>
                <c:pt idx="12">
                  <c:v>Bragg Communications</c:v>
                </c:pt>
                <c:pt idx="13">
                  <c:v>Woodbridge Company</c:v>
                </c:pt>
                <c:pt idx="14">
                  <c:v>Facebook</c:v>
                </c:pt>
                <c:pt idx="15">
                  <c:v>Sirius XM</c:v>
                </c:pt>
                <c:pt idx="16">
                  <c:v>Netflix</c:v>
                </c:pt>
                <c:pt idx="17">
                  <c:v>Continental/Glacier</c:v>
                </c:pt>
                <c:pt idx="18">
                  <c:v>Microsoft</c:v>
                </c:pt>
              </c:strCache>
            </c:strRef>
          </c:cat>
          <c:val>
            <c:numRef>
              <c:f>'Figure 81 Leading Content Cos'!$B$114:$B$132</c:f>
              <c:numCache>
                <c:formatCode>_(* #,##0.00_);_(* \(#,##0.00\);_(* "-"??_);_(@_)</c:formatCode>
                <c:ptCount val="19"/>
                <c:pt idx="0">
                  <c:v>2244.1</c:v>
                </c:pt>
                <c:pt idx="1">
                  <c:v>2124.1</c:v>
                </c:pt>
                <c:pt idx="2">
                  <c:v>1771.6</c:v>
                </c:pt>
                <c:pt idx="3">
                  <c:v>1090</c:v>
                </c:pt>
                <c:pt idx="8">
                  <c:v>631.5</c:v>
                </c:pt>
                <c:pt idx="9">
                  <c:v>431.584</c:v>
                </c:pt>
                <c:pt idx="12">
                  <c:v>332.7</c:v>
                </c:pt>
              </c:numCache>
            </c:numRef>
          </c:val>
          <c:extLst>
            <c:ext xmlns:c16="http://schemas.microsoft.com/office/drawing/2014/chart" uri="{C3380CC4-5D6E-409C-BE32-E72D297353CC}">
              <c16:uniqueId val="{00000000-DFEE-384F-AD27-21779711948D}"/>
            </c:ext>
          </c:extLst>
        </c:ser>
        <c:ser>
          <c:idx val="1"/>
          <c:order val="1"/>
          <c:tx>
            <c:strRef>
              <c:f>'Figure 81 Leading Content Cos'!$C$113</c:f>
              <c:strCache>
                <c:ptCount val="1"/>
                <c:pt idx="0">
                  <c:v>Broadcast TV</c:v>
                </c:pt>
              </c:strCache>
            </c:strRef>
          </c:tx>
          <c:spPr>
            <a:solidFill>
              <a:schemeClr val="accent2"/>
            </a:solidFill>
            <a:ln>
              <a:noFill/>
            </a:ln>
            <a:effectLst/>
          </c:spPr>
          <c:invertIfNegative val="0"/>
          <c:cat>
            <c:strRef>
              <c:f>'Figure 81 Leading Content Cos'!$A$114:$A$132</c:f>
              <c:strCache>
                <c:ptCount val="19"/>
                <c:pt idx="0">
                  <c:v>BCE</c:v>
                </c:pt>
                <c:pt idx="1">
                  <c:v>Shaw</c:v>
                </c:pt>
                <c:pt idx="2">
                  <c:v>Rogers</c:v>
                </c:pt>
                <c:pt idx="3">
                  <c:v>Quebecor</c:v>
                </c:pt>
                <c:pt idx="4">
                  <c:v>CBC</c:v>
                </c:pt>
                <c:pt idx="5">
                  <c:v>Alphabet</c:v>
                </c:pt>
                <c:pt idx="6">
                  <c:v>Torstar</c:v>
                </c:pt>
                <c:pt idx="7">
                  <c:v>Postmedia</c:v>
                </c:pt>
                <c:pt idx="8">
                  <c:v>Cogeco</c:v>
                </c:pt>
                <c:pt idx="9">
                  <c:v>Telus</c:v>
                </c:pt>
                <c:pt idx="10">
                  <c:v>Transcontinental</c:v>
                </c:pt>
                <c:pt idx="11">
                  <c:v>Power Corp</c:v>
                </c:pt>
                <c:pt idx="12">
                  <c:v>Bragg Communications</c:v>
                </c:pt>
                <c:pt idx="13">
                  <c:v>Woodbridge Company</c:v>
                </c:pt>
                <c:pt idx="14">
                  <c:v>Facebook</c:v>
                </c:pt>
                <c:pt idx="15">
                  <c:v>Sirius XM</c:v>
                </c:pt>
                <c:pt idx="16">
                  <c:v>Netflix</c:v>
                </c:pt>
                <c:pt idx="17">
                  <c:v>Continental/Glacier</c:v>
                </c:pt>
                <c:pt idx="18">
                  <c:v>Microsoft</c:v>
                </c:pt>
              </c:strCache>
            </c:strRef>
          </c:cat>
          <c:val>
            <c:numRef>
              <c:f>'Figure 81 Leading Content Cos'!$C$114:$C$132</c:f>
              <c:numCache>
                <c:formatCode>_(* #,##0.00_);_(* \(#,##0.00\);_(* "-"??_);_(@_)</c:formatCode>
                <c:ptCount val="19"/>
                <c:pt idx="0">
                  <c:v>776.1</c:v>
                </c:pt>
                <c:pt idx="1">
                  <c:v>445.57254799999998</c:v>
                </c:pt>
                <c:pt idx="2">
                  <c:v>273.3</c:v>
                </c:pt>
                <c:pt idx="3">
                  <c:v>236.50000000000003</c:v>
                </c:pt>
                <c:pt idx="4">
                  <c:v>1203.8</c:v>
                </c:pt>
              </c:numCache>
            </c:numRef>
          </c:val>
          <c:extLst>
            <c:ext xmlns:c16="http://schemas.microsoft.com/office/drawing/2014/chart" uri="{C3380CC4-5D6E-409C-BE32-E72D297353CC}">
              <c16:uniqueId val="{00000001-DFEE-384F-AD27-21779711948D}"/>
            </c:ext>
          </c:extLst>
        </c:ser>
        <c:ser>
          <c:idx val="2"/>
          <c:order val="2"/>
          <c:tx>
            <c:strRef>
              <c:f>'Figure 81 Leading Content Cos'!$D$113</c:f>
              <c:strCache>
                <c:ptCount val="1"/>
                <c:pt idx="0">
                  <c:v>Pay TV Programming Services</c:v>
                </c:pt>
              </c:strCache>
            </c:strRef>
          </c:tx>
          <c:spPr>
            <a:solidFill>
              <a:schemeClr val="accent3"/>
            </a:solidFill>
            <a:ln>
              <a:noFill/>
            </a:ln>
            <a:effectLst/>
          </c:spPr>
          <c:invertIfNegative val="0"/>
          <c:cat>
            <c:strRef>
              <c:f>'Figure 81 Leading Content Cos'!$A$114:$A$132</c:f>
              <c:strCache>
                <c:ptCount val="19"/>
                <c:pt idx="0">
                  <c:v>BCE</c:v>
                </c:pt>
                <c:pt idx="1">
                  <c:v>Shaw</c:v>
                </c:pt>
                <c:pt idx="2">
                  <c:v>Rogers</c:v>
                </c:pt>
                <c:pt idx="3">
                  <c:v>Quebecor</c:v>
                </c:pt>
                <c:pt idx="4">
                  <c:v>CBC</c:v>
                </c:pt>
                <c:pt idx="5">
                  <c:v>Alphabet</c:v>
                </c:pt>
                <c:pt idx="6">
                  <c:v>Torstar</c:v>
                </c:pt>
                <c:pt idx="7">
                  <c:v>Postmedia</c:v>
                </c:pt>
                <c:pt idx="8">
                  <c:v>Cogeco</c:v>
                </c:pt>
                <c:pt idx="9">
                  <c:v>Telus</c:v>
                </c:pt>
                <c:pt idx="10">
                  <c:v>Transcontinental</c:v>
                </c:pt>
                <c:pt idx="11">
                  <c:v>Power Corp</c:v>
                </c:pt>
                <c:pt idx="12">
                  <c:v>Bragg Communications</c:v>
                </c:pt>
                <c:pt idx="13">
                  <c:v>Woodbridge Company</c:v>
                </c:pt>
                <c:pt idx="14">
                  <c:v>Facebook</c:v>
                </c:pt>
                <c:pt idx="15">
                  <c:v>Sirius XM</c:v>
                </c:pt>
                <c:pt idx="16">
                  <c:v>Netflix</c:v>
                </c:pt>
                <c:pt idx="17">
                  <c:v>Continental/Glacier</c:v>
                </c:pt>
                <c:pt idx="18">
                  <c:v>Microsoft</c:v>
                </c:pt>
              </c:strCache>
            </c:strRef>
          </c:cat>
          <c:val>
            <c:numRef>
              <c:f>'Figure 81 Leading Content Cos'!$D$114:$D$132</c:f>
              <c:numCache>
                <c:formatCode>_(* #,##0.00_);_(* \(#,##0.00\);_(* "-"??_);_(@_)</c:formatCode>
                <c:ptCount val="19"/>
                <c:pt idx="0">
                  <c:v>1480.1000000000001</c:v>
                </c:pt>
                <c:pt idx="1">
                  <c:v>1105.8000000000002</c:v>
                </c:pt>
                <c:pt idx="2">
                  <c:v>512.70000000000005</c:v>
                </c:pt>
                <c:pt idx="3">
                  <c:v>158.69999999999999</c:v>
                </c:pt>
                <c:pt idx="4">
                  <c:v>178.2</c:v>
                </c:pt>
                <c:pt idx="8">
                  <c:v>19.7</c:v>
                </c:pt>
              </c:numCache>
            </c:numRef>
          </c:val>
          <c:extLst>
            <c:ext xmlns:c16="http://schemas.microsoft.com/office/drawing/2014/chart" uri="{C3380CC4-5D6E-409C-BE32-E72D297353CC}">
              <c16:uniqueId val="{00000002-DFEE-384F-AD27-21779711948D}"/>
            </c:ext>
          </c:extLst>
        </c:ser>
        <c:ser>
          <c:idx val="3"/>
          <c:order val="3"/>
          <c:tx>
            <c:strRef>
              <c:f>'Figure 81 Leading Content Cos'!$E$113</c:f>
              <c:strCache>
                <c:ptCount val="1"/>
                <c:pt idx="0">
                  <c:v>Online Video Services</c:v>
                </c:pt>
              </c:strCache>
            </c:strRef>
          </c:tx>
          <c:spPr>
            <a:solidFill>
              <a:schemeClr val="accent4"/>
            </a:solidFill>
            <a:ln>
              <a:noFill/>
            </a:ln>
            <a:effectLst/>
          </c:spPr>
          <c:invertIfNegative val="0"/>
          <c:cat>
            <c:strRef>
              <c:f>'Figure 81 Leading Content Cos'!$A$114:$A$132</c:f>
              <c:strCache>
                <c:ptCount val="19"/>
                <c:pt idx="0">
                  <c:v>BCE</c:v>
                </c:pt>
                <c:pt idx="1">
                  <c:v>Shaw</c:v>
                </c:pt>
                <c:pt idx="2">
                  <c:v>Rogers</c:v>
                </c:pt>
                <c:pt idx="3">
                  <c:v>Quebecor</c:v>
                </c:pt>
                <c:pt idx="4">
                  <c:v>CBC</c:v>
                </c:pt>
                <c:pt idx="5">
                  <c:v>Alphabet</c:v>
                </c:pt>
                <c:pt idx="6">
                  <c:v>Torstar</c:v>
                </c:pt>
                <c:pt idx="7">
                  <c:v>Postmedia</c:v>
                </c:pt>
                <c:pt idx="8">
                  <c:v>Cogeco</c:v>
                </c:pt>
                <c:pt idx="9">
                  <c:v>Telus</c:v>
                </c:pt>
                <c:pt idx="10">
                  <c:v>Transcontinental</c:v>
                </c:pt>
                <c:pt idx="11">
                  <c:v>Power Corp</c:v>
                </c:pt>
                <c:pt idx="12">
                  <c:v>Bragg Communications</c:v>
                </c:pt>
                <c:pt idx="13">
                  <c:v>Woodbridge Company</c:v>
                </c:pt>
                <c:pt idx="14">
                  <c:v>Facebook</c:v>
                </c:pt>
                <c:pt idx="15">
                  <c:v>Sirius XM</c:v>
                </c:pt>
                <c:pt idx="16">
                  <c:v>Netflix</c:v>
                </c:pt>
                <c:pt idx="17">
                  <c:v>Continental/Glacier</c:v>
                </c:pt>
                <c:pt idx="18">
                  <c:v>Microsoft</c:v>
                </c:pt>
              </c:strCache>
            </c:strRef>
          </c:cat>
          <c:val>
            <c:numRef>
              <c:f>'Figure 81 Leading Content Cos'!$E$114:$E$132</c:f>
              <c:numCache>
                <c:formatCode>_(* #,##0.00_);_(* \(#,##0.00\);_(* "-"??_);_(@_)</c:formatCode>
                <c:ptCount val="19"/>
                <c:pt idx="16">
                  <c:v>229.02</c:v>
                </c:pt>
              </c:numCache>
            </c:numRef>
          </c:val>
          <c:extLst>
            <c:ext xmlns:c16="http://schemas.microsoft.com/office/drawing/2014/chart" uri="{C3380CC4-5D6E-409C-BE32-E72D297353CC}">
              <c16:uniqueId val="{00000003-DFEE-384F-AD27-21779711948D}"/>
            </c:ext>
          </c:extLst>
        </c:ser>
        <c:ser>
          <c:idx val="4"/>
          <c:order val="4"/>
          <c:tx>
            <c:strRef>
              <c:f>'Figure 81 Leading Content Cos'!$F$113</c:f>
              <c:strCache>
                <c:ptCount val="1"/>
                <c:pt idx="0">
                  <c:v>Digital Games</c:v>
                </c:pt>
              </c:strCache>
            </c:strRef>
          </c:tx>
          <c:spPr>
            <a:solidFill>
              <a:schemeClr val="accent5"/>
            </a:solidFill>
            <a:ln>
              <a:noFill/>
            </a:ln>
            <a:effectLst/>
          </c:spPr>
          <c:invertIfNegative val="0"/>
          <c:cat>
            <c:strRef>
              <c:f>'Figure 81 Leading Content Cos'!$A$114:$A$132</c:f>
              <c:strCache>
                <c:ptCount val="19"/>
                <c:pt idx="0">
                  <c:v>BCE</c:v>
                </c:pt>
                <c:pt idx="1">
                  <c:v>Shaw</c:v>
                </c:pt>
                <c:pt idx="2">
                  <c:v>Rogers</c:v>
                </c:pt>
                <c:pt idx="3">
                  <c:v>Quebecor</c:v>
                </c:pt>
                <c:pt idx="4">
                  <c:v>CBC</c:v>
                </c:pt>
                <c:pt idx="5">
                  <c:v>Alphabet</c:v>
                </c:pt>
                <c:pt idx="6">
                  <c:v>Torstar</c:v>
                </c:pt>
                <c:pt idx="7">
                  <c:v>Postmedia</c:v>
                </c:pt>
                <c:pt idx="8">
                  <c:v>Cogeco</c:v>
                </c:pt>
                <c:pt idx="9">
                  <c:v>Telus</c:v>
                </c:pt>
                <c:pt idx="10">
                  <c:v>Transcontinental</c:v>
                </c:pt>
                <c:pt idx="11">
                  <c:v>Power Corp</c:v>
                </c:pt>
                <c:pt idx="12">
                  <c:v>Bragg Communications</c:v>
                </c:pt>
                <c:pt idx="13">
                  <c:v>Woodbridge Company</c:v>
                </c:pt>
                <c:pt idx="14">
                  <c:v>Facebook</c:v>
                </c:pt>
                <c:pt idx="15">
                  <c:v>Sirius XM</c:v>
                </c:pt>
                <c:pt idx="16">
                  <c:v>Netflix</c:v>
                </c:pt>
                <c:pt idx="17">
                  <c:v>Continental/Glacier</c:v>
                </c:pt>
                <c:pt idx="18">
                  <c:v>Microsoft</c:v>
                </c:pt>
              </c:strCache>
            </c:strRef>
          </c:cat>
          <c:val>
            <c:numRef>
              <c:f>'Figure 81 Leading Content Cos'!$F$114:$F$132</c:f>
              <c:numCache>
                <c:formatCode>_(* #,##0.00_);_(* \(#,##0.00\);_(* "-"??_);_(@_)</c:formatCode>
                <c:ptCount val="19"/>
                <c:pt idx="5">
                  <c:v>19.32</c:v>
                </c:pt>
                <c:pt idx="18">
                  <c:v>210.05</c:v>
                </c:pt>
              </c:numCache>
            </c:numRef>
          </c:val>
          <c:extLst>
            <c:ext xmlns:c16="http://schemas.microsoft.com/office/drawing/2014/chart" uri="{C3380CC4-5D6E-409C-BE32-E72D297353CC}">
              <c16:uniqueId val="{00000004-DFEE-384F-AD27-21779711948D}"/>
            </c:ext>
          </c:extLst>
        </c:ser>
        <c:ser>
          <c:idx val="5"/>
          <c:order val="5"/>
          <c:tx>
            <c:strRef>
              <c:f>'Figure 81 Leading Content Cos'!$G$113</c:f>
              <c:strCache>
                <c:ptCount val="1"/>
                <c:pt idx="0">
                  <c:v>Broadcast Radio</c:v>
                </c:pt>
              </c:strCache>
            </c:strRef>
          </c:tx>
          <c:spPr>
            <a:solidFill>
              <a:schemeClr val="accent6"/>
            </a:solidFill>
            <a:ln>
              <a:noFill/>
            </a:ln>
            <a:effectLst/>
          </c:spPr>
          <c:invertIfNegative val="0"/>
          <c:cat>
            <c:strRef>
              <c:f>'Figure 81 Leading Content Cos'!$A$114:$A$132</c:f>
              <c:strCache>
                <c:ptCount val="19"/>
                <c:pt idx="0">
                  <c:v>BCE</c:v>
                </c:pt>
                <c:pt idx="1">
                  <c:v>Shaw</c:v>
                </c:pt>
                <c:pt idx="2">
                  <c:v>Rogers</c:v>
                </c:pt>
                <c:pt idx="3">
                  <c:v>Quebecor</c:v>
                </c:pt>
                <c:pt idx="4">
                  <c:v>CBC</c:v>
                </c:pt>
                <c:pt idx="5">
                  <c:v>Alphabet</c:v>
                </c:pt>
                <c:pt idx="6">
                  <c:v>Torstar</c:v>
                </c:pt>
                <c:pt idx="7">
                  <c:v>Postmedia</c:v>
                </c:pt>
                <c:pt idx="8">
                  <c:v>Cogeco</c:v>
                </c:pt>
                <c:pt idx="9">
                  <c:v>Telus</c:v>
                </c:pt>
                <c:pt idx="10">
                  <c:v>Transcontinental</c:v>
                </c:pt>
                <c:pt idx="11">
                  <c:v>Power Corp</c:v>
                </c:pt>
                <c:pt idx="12">
                  <c:v>Bragg Communications</c:v>
                </c:pt>
                <c:pt idx="13">
                  <c:v>Woodbridge Company</c:v>
                </c:pt>
                <c:pt idx="14">
                  <c:v>Facebook</c:v>
                </c:pt>
                <c:pt idx="15">
                  <c:v>Sirius XM</c:v>
                </c:pt>
                <c:pt idx="16">
                  <c:v>Netflix</c:v>
                </c:pt>
                <c:pt idx="17">
                  <c:v>Continental/Glacier</c:v>
                </c:pt>
                <c:pt idx="18">
                  <c:v>Microsoft</c:v>
                </c:pt>
              </c:strCache>
            </c:strRef>
          </c:cat>
          <c:val>
            <c:numRef>
              <c:f>'Figure 81 Leading Content Cos'!$G$114:$G$132</c:f>
              <c:numCache>
                <c:formatCode>_(* #,##0.00_);_(* \(#,##0.00\);_(* "-"??_);_(@_)</c:formatCode>
                <c:ptCount val="19"/>
                <c:pt idx="0">
                  <c:v>422.7</c:v>
                </c:pt>
                <c:pt idx="1">
                  <c:v>183.7</c:v>
                </c:pt>
                <c:pt idx="2">
                  <c:v>224.5</c:v>
                </c:pt>
                <c:pt idx="4">
                  <c:v>309.5</c:v>
                </c:pt>
                <c:pt idx="8">
                  <c:v>94.7</c:v>
                </c:pt>
                <c:pt idx="15">
                  <c:v>232.35</c:v>
                </c:pt>
              </c:numCache>
            </c:numRef>
          </c:val>
          <c:extLst>
            <c:ext xmlns:c16="http://schemas.microsoft.com/office/drawing/2014/chart" uri="{C3380CC4-5D6E-409C-BE32-E72D297353CC}">
              <c16:uniqueId val="{00000005-DFEE-384F-AD27-21779711948D}"/>
            </c:ext>
          </c:extLst>
        </c:ser>
        <c:ser>
          <c:idx val="6"/>
          <c:order val="6"/>
          <c:tx>
            <c:strRef>
              <c:f>'Figure 81 Leading Content Cos'!$H$113</c:f>
              <c:strCache>
                <c:ptCount val="1"/>
                <c:pt idx="0">
                  <c:v>Music Services</c:v>
                </c:pt>
              </c:strCache>
            </c:strRef>
          </c:tx>
          <c:spPr>
            <a:solidFill>
              <a:schemeClr val="accent1">
                <a:lumMod val="60000"/>
              </a:schemeClr>
            </a:solidFill>
            <a:ln>
              <a:noFill/>
            </a:ln>
            <a:effectLst/>
          </c:spPr>
          <c:invertIfNegative val="0"/>
          <c:cat>
            <c:strRef>
              <c:f>'Figure 81 Leading Content Cos'!$A$114:$A$132</c:f>
              <c:strCache>
                <c:ptCount val="19"/>
                <c:pt idx="0">
                  <c:v>BCE</c:v>
                </c:pt>
                <c:pt idx="1">
                  <c:v>Shaw</c:v>
                </c:pt>
                <c:pt idx="2">
                  <c:v>Rogers</c:v>
                </c:pt>
                <c:pt idx="3">
                  <c:v>Quebecor</c:v>
                </c:pt>
                <c:pt idx="4">
                  <c:v>CBC</c:v>
                </c:pt>
                <c:pt idx="5">
                  <c:v>Alphabet</c:v>
                </c:pt>
                <c:pt idx="6">
                  <c:v>Torstar</c:v>
                </c:pt>
                <c:pt idx="7">
                  <c:v>Postmedia</c:v>
                </c:pt>
                <c:pt idx="8">
                  <c:v>Cogeco</c:v>
                </c:pt>
                <c:pt idx="9">
                  <c:v>Telus</c:v>
                </c:pt>
                <c:pt idx="10">
                  <c:v>Transcontinental</c:v>
                </c:pt>
                <c:pt idx="11">
                  <c:v>Power Corp</c:v>
                </c:pt>
                <c:pt idx="12">
                  <c:v>Bragg Communications</c:v>
                </c:pt>
                <c:pt idx="13">
                  <c:v>Woodbridge Company</c:v>
                </c:pt>
                <c:pt idx="14">
                  <c:v>Facebook</c:v>
                </c:pt>
                <c:pt idx="15">
                  <c:v>Sirius XM</c:v>
                </c:pt>
                <c:pt idx="16">
                  <c:v>Netflix</c:v>
                </c:pt>
                <c:pt idx="17">
                  <c:v>Continental/Glacier</c:v>
                </c:pt>
                <c:pt idx="18">
                  <c:v>Microsoft</c:v>
                </c:pt>
              </c:strCache>
            </c:strRef>
          </c:cat>
          <c:val>
            <c:numRef>
              <c:f>'Figure 81 Leading Content Cos'!$H$114:$H$132</c:f>
              <c:numCache>
                <c:formatCode>_(* #,##0.00_);_(* \(#,##0.00\);_(* "-"??_);_(@_)</c:formatCode>
                <c:ptCount val="19"/>
              </c:numCache>
            </c:numRef>
          </c:val>
          <c:extLst>
            <c:ext xmlns:c16="http://schemas.microsoft.com/office/drawing/2014/chart" uri="{C3380CC4-5D6E-409C-BE32-E72D297353CC}">
              <c16:uniqueId val="{00000006-DFEE-384F-AD27-21779711948D}"/>
            </c:ext>
          </c:extLst>
        </c:ser>
        <c:ser>
          <c:idx val="7"/>
          <c:order val="7"/>
          <c:tx>
            <c:strRef>
              <c:f>'Figure 81 Leading Content Cos'!$I$113</c:f>
              <c:strCache>
                <c:ptCount val="1"/>
                <c:pt idx="0">
                  <c:v>Newspapers</c:v>
                </c:pt>
              </c:strCache>
            </c:strRef>
          </c:tx>
          <c:spPr>
            <a:solidFill>
              <a:schemeClr val="accent2">
                <a:lumMod val="60000"/>
              </a:schemeClr>
            </a:solidFill>
            <a:ln>
              <a:noFill/>
            </a:ln>
            <a:effectLst/>
          </c:spPr>
          <c:invertIfNegative val="0"/>
          <c:cat>
            <c:strRef>
              <c:f>'Figure 81 Leading Content Cos'!$A$114:$A$132</c:f>
              <c:strCache>
                <c:ptCount val="19"/>
                <c:pt idx="0">
                  <c:v>BCE</c:v>
                </c:pt>
                <c:pt idx="1">
                  <c:v>Shaw</c:v>
                </c:pt>
                <c:pt idx="2">
                  <c:v>Rogers</c:v>
                </c:pt>
                <c:pt idx="3">
                  <c:v>Quebecor</c:v>
                </c:pt>
                <c:pt idx="4">
                  <c:v>CBC</c:v>
                </c:pt>
                <c:pt idx="5">
                  <c:v>Alphabet</c:v>
                </c:pt>
                <c:pt idx="6">
                  <c:v>Torstar</c:v>
                </c:pt>
                <c:pt idx="7">
                  <c:v>Postmedia</c:v>
                </c:pt>
                <c:pt idx="8">
                  <c:v>Cogeco</c:v>
                </c:pt>
                <c:pt idx="9">
                  <c:v>Telus</c:v>
                </c:pt>
                <c:pt idx="10">
                  <c:v>Transcontinental</c:v>
                </c:pt>
                <c:pt idx="11">
                  <c:v>Power Corp</c:v>
                </c:pt>
                <c:pt idx="12">
                  <c:v>Bragg Communications</c:v>
                </c:pt>
                <c:pt idx="13">
                  <c:v>Woodbridge Company</c:v>
                </c:pt>
                <c:pt idx="14">
                  <c:v>Facebook</c:v>
                </c:pt>
                <c:pt idx="15">
                  <c:v>Sirius XM</c:v>
                </c:pt>
                <c:pt idx="16">
                  <c:v>Netflix</c:v>
                </c:pt>
                <c:pt idx="17">
                  <c:v>Continental/Glacier</c:v>
                </c:pt>
                <c:pt idx="18">
                  <c:v>Microsoft</c:v>
                </c:pt>
              </c:strCache>
            </c:strRef>
          </c:cat>
          <c:val>
            <c:numRef>
              <c:f>'Figure 81 Leading Content Cos'!$I$114:$I$132</c:f>
              <c:numCache>
                <c:formatCode>_(* #,##0.00_);_(* \(#,##0.00\);_(* "-"??_);_(@_)</c:formatCode>
                <c:ptCount val="19"/>
                <c:pt idx="3">
                  <c:v>859.88806396344955</c:v>
                </c:pt>
                <c:pt idx="6">
                  <c:v>930.47047206032653</c:v>
                </c:pt>
                <c:pt idx="7">
                  <c:v>751.6</c:v>
                </c:pt>
                <c:pt idx="10">
                  <c:v>256.17599999999999</c:v>
                </c:pt>
                <c:pt idx="11">
                  <c:v>337.93735558999998</c:v>
                </c:pt>
                <c:pt idx="13">
                  <c:v>272.10000000000002</c:v>
                </c:pt>
                <c:pt idx="17">
                  <c:v>218.73713861469901</c:v>
                </c:pt>
              </c:numCache>
            </c:numRef>
          </c:val>
          <c:extLst>
            <c:ext xmlns:c16="http://schemas.microsoft.com/office/drawing/2014/chart" uri="{C3380CC4-5D6E-409C-BE32-E72D297353CC}">
              <c16:uniqueId val="{00000007-DFEE-384F-AD27-21779711948D}"/>
            </c:ext>
          </c:extLst>
        </c:ser>
        <c:ser>
          <c:idx val="8"/>
          <c:order val="8"/>
          <c:tx>
            <c:strRef>
              <c:f>'Figure 81 Leading Content Cos'!$J$113</c:f>
              <c:strCache>
                <c:ptCount val="1"/>
                <c:pt idx="0">
                  <c:v>Magazines</c:v>
                </c:pt>
              </c:strCache>
            </c:strRef>
          </c:tx>
          <c:spPr>
            <a:solidFill>
              <a:schemeClr val="accent3">
                <a:lumMod val="60000"/>
              </a:schemeClr>
            </a:solidFill>
            <a:ln>
              <a:noFill/>
            </a:ln>
            <a:effectLst/>
          </c:spPr>
          <c:invertIfNegative val="0"/>
          <c:cat>
            <c:strRef>
              <c:f>'Figure 81 Leading Content Cos'!$A$114:$A$132</c:f>
              <c:strCache>
                <c:ptCount val="19"/>
                <c:pt idx="0">
                  <c:v>BCE</c:v>
                </c:pt>
                <c:pt idx="1">
                  <c:v>Shaw</c:v>
                </c:pt>
                <c:pt idx="2">
                  <c:v>Rogers</c:v>
                </c:pt>
                <c:pt idx="3">
                  <c:v>Quebecor</c:v>
                </c:pt>
                <c:pt idx="4">
                  <c:v>CBC</c:v>
                </c:pt>
                <c:pt idx="5">
                  <c:v>Alphabet</c:v>
                </c:pt>
                <c:pt idx="6">
                  <c:v>Torstar</c:v>
                </c:pt>
                <c:pt idx="7">
                  <c:v>Postmedia</c:v>
                </c:pt>
                <c:pt idx="8">
                  <c:v>Cogeco</c:v>
                </c:pt>
                <c:pt idx="9">
                  <c:v>Telus</c:v>
                </c:pt>
                <c:pt idx="10">
                  <c:v>Transcontinental</c:v>
                </c:pt>
                <c:pt idx="11">
                  <c:v>Power Corp</c:v>
                </c:pt>
                <c:pt idx="12">
                  <c:v>Bragg Communications</c:v>
                </c:pt>
                <c:pt idx="13">
                  <c:v>Woodbridge Company</c:v>
                </c:pt>
                <c:pt idx="14">
                  <c:v>Facebook</c:v>
                </c:pt>
                <c:pt idx="15">
                  <c:v>Sirius XM</c:v>
                </c:pt>
                <c:pt idx="16">
                  <c:v>Netflix</c:v>
                </c:pt>
                <c:pt idx="17">
                  <c:v>Continental/Glacier</c:v>
                </c:pt>
                <c:pt idx="18">
                  <c:v>Microsoft</c:v>
                </c:pt>
              </c:strCache>
            </c:strRef>
          </c:cat>
          <c:val>
            <c:numRef>
              <c:f>'Figure 81 Leading Content Cos'!$J$114:$J$132</c:f>
              <c:numCache>
                <c:formatCode>_(* #,##0.00_);_(* \(#,##0.00\);_(* "-"??_);_(@_)</c:formatCode>
                <c:ptCount val="19"/>
                <c:pt idx="2">
                  <c:v>238.6</c:v>
                </c:pt>
                <c:pt idx="3">
                  <c:v>61.963999999999999</c:v>
                </c:pt>
                <c:pt idx="7">
                  <c:v>3.4</c:v>
                </c:pt>
                <c:pt idx="10">
                  <c:v>146.4</c:v>
                </c:pt>
                <c:pt idx="13">
                  <c:v>6.7</c:v>
                </c:pt>
              </c:numCache>
            </c:numRef>
          </c:val>
          <c:extLst>
            <c:ext xmlns:c16="http://schemas.microsoft.com/office/drawing/2014/chart" uri="{C3380CC4-5D6E-409C-BE32-E72D297353CC}">
              <c16:uniqueId val="{00000008-DFEE-384F-AD27-21779711948D}"/>
            </c:ext>
          </c:extLst>
        </c:ser>
        <c:ser>
          <c:idx val="9"/>
          <c:order val="9"/>
          <c:tx>
            <c:strRef>
              <c:f>'Figure 81 Leading Content Cos'!$K$113</c:f>
              <c:strCache>
                <c:ptCount val="1"/>
                <c:pt idx="0">
                  <c:v>Internet Advertising</c:v>
                </c:pt>
              </c:strCache>
            </c:strRef>
          </c:tx>
          <c:spPr>
            <a:solidFill>
              <a:schemeClr val="accent4">
                <a:lumMod val="60000"/>
              </a:schemeClr>
            </a:solidFill>
            <a:ln>
              <a:noFill/>
            </a:ln>
            <a:effectLst/>
          </c:spPr>
          <c:invertIfNegative val="0"/>
          <c:cat>
            <c:strRef>
              <c:f>'Figure 81 Leading Content Cos'!$A$114:$A$132</c:f>
              <c:strCache>
                <c:ptCount val="19"/>
                <c:pt idx="0">
                  <c:v>BCE</c:v>
                </c:pt>
                <c:pt idx="1">
                  <c:v>Shaw</c:v>
                </c:pt>
                <c:pt idx="2">
                  <c:v>Rogers</c:v>
                </c:pt>
                <c:pt idx="3">
                  <c:v>Quebecor</c:v>
                </c:pt>
                <c:pt idx="4">
                  <c:v>CBC</c:v>
                </c:pt>
                <c:pt idx="5">
                  <c:v>Alphabet</c:v>
                </c:pt>
                <c:pt idx="6">
                  <c:v>Torstar</c:v>
                </c:pt>
                <c:pt idx="7">
                  <c:v>Postmedia</c:v>
                </c:pt>
                <c:pt idx="8">
                  <c:v>Cogeco</c:v>
                </c:pt>
                <c:pt idx="9">
                  <c:v>Telus</c:v>
                </c:pt>
                <c:pt idx="10">
                  <c:v>Transcontinental</c:v>
                </c:pt>
                <c:pt idx="11">
                  <c:v>Power Corp</c:v>
                </c:pt>
                <c:pt idx="12">
                  <c:v>Bragg Communications</c:v>
                </c:pt>
                <c:pt idx="13">
                  <c:v>Woodbridge Company</c:v>
                </c:pt>
                <c:pt idx="14">
                  <c:v>Facebook</c:v>
                </c:pt>
                <c:pt idx="15">
                  <c:v>Sirius XM</c:v>
                </c:pt>
                <c:pt idx="16">
                  <c:v>Netflix</c:v>
                </c:pt>
                <c:pt idx="17">
                  <c:v>Continental/Glacier</c:v>
                </c:pt>
                <c:pt idx="18">
                  <c:v>Microsoft</c:v>
                </c:pt>
              </c:strCache>
            </c:strRef>
          </c:cat>
          <c:val>
            <c:numRef>
              <c:f>'Figure 81 Leading Content Cos'!$K$114:$K$132</c:f>
              <c:numCache>
                <c:formatCode>_(* #,##0.00_);_(* \(#,##0.00\);_(* "-"??_);_(@_)</c:formatCode>
                <c:ptCount val="19"/>
                <c:pt idx="0">
                  <c:v>48.75333556990492</c:v>
                </c:pt>
                <c:pt idx="1">
                  <c:v>30.460955466352711</c:v>
                </c:pt>
                <c:pt idx="2">
                  <c:v>35.19</c:v>
                </c:pt>
                <c:pt idx="3">
                  <c:v>74.580731689155783</c:v>
                </c:pt>
                <c:pt idx="5">
                  <c:v>1416.06</c:v>
                </c:pt>
                <c:pt idx="6">
                  <c:v>60.21</c:v>
                </c:pt>
                <c:pt idx="7">
                  <c:v>45.88</c:v>
                </c:pt>
                <c:pt idx="11">
                  <c:v>29.162415743873293</c:v>
                </c:pt>
                <c:pt idx="13">
                  <c:v>19.72</c:v>
                </c:pt>
                <c:pt idx="14">
                  <c:v>269.39999999999998</c:v>
                </c:pt>
              </c:numCache>
            </c:numRef>
          </c:val>
          <c:extLst>
            <c:ext xmlns:c16="http://schemas.microsoft.com/office/drawing/2014/chart" uri="{C3380CC4-5D6E-409C-BE32-E72D297353CC}">
              <c16:uniqueId val="{00000009-DFEE-384F-AD27-21779711948D}"/>
            </c:ext>
          </c:extLst>
        </c:ser>
        <c:dLbls>
          <c:showLegendKey val="0"/>
          <c:showVal val="0"/>
          <c:showCatName val="0"/>
          <c:showSerName val="0"/>
          <c:showPercent val="0"/>
          <c:showBubbleSize val="0"/>
        </c:dLbls>
        <c:gapWidth val="150"/>
        <c:overlap val="100"/>
        <c:axId val="899572383"/>
        <c:axId val="899554911"/>
      </c:barChart>
      <c:catAx>
        <c:axId val="8995723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899554911"/>
        <c:crosses val="autoZero"/>
        <c:auto val="1"/>
        <c:lblAlgn val="ctr"/>
        <c:lblOffset val="100"/>
        <c:noMultiLvlLbl val="0"/>
      </c:catAx>
      <c:valAx>
        <c:axId val="899554911"/>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899572383"/>
        <c:crosses val="autoZero"/>
        <c:crossBetween val="between"/>
      </c:valAx>
      <c:spPr>
        <a:noFill/>
        <a:ln>
          <a:noFill/>
        </a:ln>
        <a:effectLst/>
      </c:spPr>
    </c:plotArea>
    <c:legend>
      <c:legendPos val="b"/>
      <c:layout>
        <c:manualLayout>
          <c:xMode val="edge"/>
          <c:yMode val="edge"/>
          <c:x val="1.1887434287681985E-2"/>
          <c:y val="0.90799476421840841"/>
          <c:w val="0.98219313479122328"/>
          <c:h val="7.79711258424852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627644655584804E-2"/>
          <c:y val="3.173961378161793E-2"/>
          <c:w val="0.92526262625504307"/>
          <c:h val="0.7567472325594371"/>
        </c:manualLayout>
      </c:layout>
      <c:barChart>
        <c:barDir val="col"/>
        <c:grouping val="stacked"/>
        <c:varyColors val="0"/>
        <c:ser>
          <c:idx val="0"/>
          <c:order val="0"/>
          <c:tx>
            <c:strRef>
              <c:f>'Figure 81 Leading Content Cos'!$B$113</c:f>
              <c:strCache>
                <c:ptCount val="1"/>
                <c:pt idx="0">
                  <c:v>Multichannel Video Distribution (Cable/DBS/IPTV)</c:v>
                </c:pt>
              </c:strCache>
            </c:strRef>
          </c:tx>
          <c:spPr>
            <a:solidFill>
              <a:schemeClr val="accent1"/>
            </a:solidFill>
            <a:ln>
              <a:noFill/>
            </a:ln>
            <a:effectLst/>
          </c:spPr>
          <c:invertIfNegative val="0"/>
          <c:cat>
            <c:strRef>
              <c:f>'Figure 81 Leading Content Cos'!$A$114:$A$123</c:f>
              <c:strCache>
                <c:ptCount val="10"/>
                <c:pt idx="0">
                  <c:v>BCE</c:v>
                </c:pt>
                <c:pt idx="1">
                  <c:v>Shaw</c:v>
                </c:pt>
                <c:pt idx="2">
                  <c:v>Rogers</c:v>
                </c:pt>
                <c:pt idx="3">
                  <c:v>Quebecor</c:v>
                </c:pt>
                <c:pt idx="4">
                  <c:v>CBC</c:v>
                </c:pt>
                <c:pt idx="5">
                  <c:v>Alphabet</c:v>
                </c:pt>
                <c:pt idx="6">
                  <c:v>Torstar</c:v>
                </c:pt>
                <c:pt idx="7">
                  <c:v>Postmedia</c:v>
                </c:pt>
                <c:pt idx="8">
                  <c:v>Cogeco</c:v>
                </c:pt>
                <c:pt idx="9">
                  <c:v>Telus</c:v>
                </c:pt>
              </c:strCache>
            </c:strRef>
          </c:cat>
          <c:val>
            <c:numRef>
              <c:f>'Figure 81 Leading Content Cos'!$B$114:$B$123</c:f>
              <c:numCache>
                <c:formatCode>_(* #,##0.00_);_(* \(#,##0.00\);_(* "-"??_);_(@_)</c:formatCode>
                <c:ptCount val="10"/>
                <c:pt idx="0">
                  <c:v>2244.1</c:v>
                </c:pt>
                <c:pt idx="1">
                  <c:v>2124.1</c:v>
                </c:pt>
                <c:pt idx="2">
                  <c:v>1771.6</c:v>
                </c:pt>
                <c:pt idx="3">
                  <c:v>1090</c:v>
                </c:pt>
                <c:pt idx="8">
                  <c:v>631.5</c:v>
                </c:pt>
                <c:pt idx="9">
                  <c:v>431.584</c:v>
                </c:pt>
              </c:numCache>
            </c:numRef>
          </c:val>
          <c:extLst>
            <c:ext xmlns:c16="http://schemas.microsoft.com/office/drawing/2014/chart" uri="{C3380CC4-5D6E-409C-BE32-E72D297353CC}">
              <c16:uniqueId val="{00000000-D5EC-7341-98D4-F747FF637E91}"/>
            </c:ext>
          </c:extLst>
        </c:ser>
        <c:ser>
          <c:idx val="1"/>
          <c:order val="1"/>
          <c:tx>
            <c:strRef>
              <c:f>'Figure 81 Leading Content Cos'!$C$113</c:f>
              <c:strCache>
                <c:ptCount val="1"/>
                <c:pt idx="0">
                  <c:v>Broadcast TV</c:v>
                </c:pt>
              </c:strCache>
            </c:strRef>
          </c:tx>
          <c:spPr>
            <a:solidFill>
              <a:schemeClr val="accent2"/>
            </a:solidFill>
            <a:ln>
              <a:noFill/>
            </a:ln>
            <a:effectLst/>
          </c:spPr>
          <c:invertIfNegative val="0"/>
          <c:cat>
            <c:strRef>
              <c:f>'Figure 81 Leading Content Cos'!$A$114:$A$123</c:f>
              <c:strCache>
                <c:ptCount val="10"/>
                <c:pt idx="0">
                  <c:v>BCE</c:v>
                </c:pt>
                <c:pt idx="1">
                  <c:v>Shaw</c:v>
                </c:pt>
                <c:pt idx="2">
                  <c:v>Rogers</c:v>
                </c:pt>
                <c:pt idx="3">
                  <c:v>Quebecor</c:v>
                </c:pt>
                <c:pt idx="4">
                  <c:v>CBC</c:v>
                </c:pt>
                <c:pt idx="5">
                  <c:v>Alphabet</c:v>
                </c:pt>
                <c:pt idx="6">
                  <c:v>Torstar</c:v>
                </c:pt>
                <c:pt idx="7">
                  <c:v>Postmedia</c:v>
                </c:pt>
                <c:pt idx="8">
                  <c:v>Cogeco</c:v>
                </c:pt>
                <c:pt idx="9">
                  <c:v>Telus</c:v>
                </c:pt>
              </c:strCache>
            </c:strRef>
          </c:cat>
          <c:val>
            <c:numRef>
              <c:f>'Figure 81 Leading Content Cos'!$C$114:$C$123</c:f>
              <c:numCache>
                <c:formatCode>_(* #,##0.00_);_(* \(#,##0.00\);_(* "-"??_);_(@_)</c:formatCode>
                <c:ptCount val="10"/>
                <c:pt idx="0">
                  <c:v>776.1</c:v>
                </c:pt>
                <c:pt idx="1">
                  <c:v>445.57254799999998</c:v>
                </c:pt>
                <c:pt idx="2">
                  <c:v>273.3</c:v>
                </c:pt>
                <c:pt idx="3">
                  <c:v>236.50000000000003</c:v>
                </c:pt>
                <c:pt idx="4">
                  <c:v>1203.8</c:v>
                </c:pt>
              </c:numCache>
            </c:numRef>
          </c:val>
          <c:extLst>
            <c:ext xmlns:c16="http://schemas.microsoft.com/office/drawing/2014/chart" uri="{C3380CC4-5D6E-409C-BE32-E72D297353CC}">
              <c16:uniqueId val="{00000001-D5EC-7341-98D4-F747FF637E91}"/>
            </c:ext>
          </c:extLst>
        </c:ser>
        <c:ser>
          <c:idx val="2"/>
          <c:order val="2"/>
          <c:tx>
            <c:strRef>
              <c:f>'Figure 81 Leading Content Cos'!$D$113</c:f>
              <c:strCache>
                <c:ptCount val="1"/>
                <c:pt idx="0">
                  <c:v>Pay TV Programming Services</c:v>
                </c:pt>
              </c:strCache>
            </c:strRef>
          </c:tx>
          <c:spPr>
            <a:solidFill>
              <a:schemeClr val="accent3"/>
            </a:solidFill>
            <a:ln>
              <a:noFill/>
            </a:ln>
            <a:effectLst/>
          </c:spPr>
          <c:invertIfNegative val="0"/>
          <c:cat>
            <c:strRef>
              <c:f>'Figure 81 Leading Content Cos'!$A$114:$A$123</c:f>
              <c:strCache>
                <c:ptCount val="10"/>
                <c:pt idx="0">
                  <c:v>BCE</c:v>
                </c:pt>
                <c:pt idx="1">
                  <c:v>Shaw</c:v>
                </c:pt>
                <c:pt idx="2">
                  <c:v>Rogers</c:v>
                </c:pt>
                <c:pt idx="3">
                  <c:v>Quebecor</c:v>
                </c:pt>
                <c:pt idx="4">
                  <c:v>CBC</c:v>
                </c:pt>
                <c:pt idx="5">
                  <c:v>Alphabet</c:v>
                </c:pt>
                <c:pt idx="6">
                  <c:v>Torstar</c:v>
                </c:pt>
                <c:pt idx="7">
                  <c:v>Postmedia</c:v>
                </c:pt>
                <c:pt idx="8">
                  <c:v>Cogeco</c:v>
                </c:pt>
                <c:pt idx="9">
                  <c:v>Telus</c:v>
                </c:pt>
              </c:strCache>
            </c:strRef>
          </c:cat>
          <c:val>
            <c:numRef>
              <c:f>'Figure 81 Leading Content Cos'!$D$114:$D$123</c:f>
              <c:numCache>
                <c:formatCode>_(* #,##0.00_);_(* \(#,##0.00\);_(* "-"??_);_(@_)</c:formatCode>
                <c:ptCount val="10"/>
                <c:pt idx="0">
                  <c:v>1480.1000000000001</c:v>
                </c:pt>
                <c:pt idx="1">
                  <c:v>1105.8000000000002</c:v>
                </c:pt>
                <c:pt idx="2">
                  <c:v>512.70000000000005</c:v>
                </c:pt>
                <c:pt idx="3">
                  <c:v>158.69999999999999</c:v>
                </c:pt>
                <c:pt idx="4">
                  <c:v>178.2</c:v>
                </c:pt>
                <c:pt idx="8">
                  <c:v>19.7</c:v>
                </c:pt>
              </c:numCache>
            </c:numRef>
          </c:val>
          <c:extLst>
            <c:ext xmlns:c16="http://schemas.microsoft.com/office/drawing/2014/chart" uri="{C3380CC4-5D6E-409C-BE32-E72D297353CC}">
              <c16:uniqueId val="{00000002-D5EC-7341-98D4-F747FF637E91}"/>
            </c:ext>
          </c:extLst>
        </c:ser>
        <c:ser>
          <c:idx val="3"/>
          <c:order val="3"/>
          <c:tx>
            <c:strRef>
              <c:f>'Figure 81 Leading Content Cos'!$E$113</c:f>
              <c:strCache>
                <c:ptCount val="1"/>
                <c:pt idx="0">
                  <c:v>Online Video Services</c:v>
                </c:pt>
              </c:strCache>
            </c:strRef>
          </c:tx>
          <c:spPr>
            <a:solidFill>
              <a:schemeClr val="accent4"/>
            </a:solidFill>
            <a:ln>
              <a:noFill/>
            </a:ln>
            <a:effectLst/>
          </c:spPr>
          <c:invertIfNegative val="0"/>
          <c:cat>
            <c:strRef>
              <c:f>'Figure 81 Leading Content Cos'!$A$114:$A$123</c:f>
              <c:strCache>
                <c:ptCount val="10"/>
                <c:pt idx="0">
                  <c:v>BCE</c:v>
                </c:pt>
                <c:pt idx="1">
                  <c:v>Shaw</c:v>
                </c:pt>
                <c:pt idx="2">
                  <c:v>Rogers</c:v>
                </c:pt>
                <c:pt idx="3">
                  <c:v>Quebecor</c:v>
                </c:pt>
                <c:pt idx="4">
                  <c:v>CBC</c:v>
                </c:pt>
                <c:pt idx="5">
                  <c:v>Alphabet</c:v>
                </c:pt>
                <c:pt idx="6">
                  <c:v>Torstar</c:v>
                </c:pt>
                <c:pt idx="7">
                  <c:v>Postmedia</c:v>
                </c:pt>
                <c:pt idx="8">
                  <c:v>Cogeco</c:v>
                </c:pt>
                <c:pt idx="9">
                  <c:v>Telus</c:v>
                </c:pt>
              </c:strCache>
            </c:strRef>
          </c:cat>
          <c:val>
            <c:numRef>
              <c:f>'Figure 81 Leading Content Cos'!$E$114:$E$123</c:f>
              <c:numCache>
                <c:formatCode>_(* #,##0.00_);_(* \(#,##0.00\);_(* "-"??_);_(@_)</c:formatCode>
                <c:ptCount val="10"/>
              </c:numCache>
            </c:numRef>
          </c:val>
          <c:extLst>
            <c:ext xmlns:c16="http://schemas.microsoft.com/office/drawing/2014/chart" uri="{C3380CC4-5D6E-409C-BE32-E72D297353CC}">
              <c16:uniqueId val="{00000003-D5EC-7341-98D4-F747FF637E91}"/>
            </c:ext>
          </c:extLst>
        </c:ser>
        <c:ser>
          <c:idx val="4"/>
          <c:order val="4"/>
          <c:tx>
            <c:strRef>
              <c:f>'Figure 81 Leading Content Cos'!$F$113</c:f>
              <c:strCache>
                <c:ptCount val="1"/>
                <c:pt idx="0">
                  <c:v>Digital Games</c:v>
                </c:pt>
              </c:strCache>
            </c:strRef>
          </c:tx>
          <c:spPr>
            <a:solidFill>
              <a:schemeClr val="accent5"/>
            </a:solidFill>
            <a:ln>
              <a:noFill/>
            </a:ln>
            <a:effectLst/>
          </c:spPr>
          <c:invertIfNegative val="0"/>
          <c:cat>
            <c:strRef>
              <c:f>'Figure 81 Leading Content Cos'!$A$114:$A$123</c:f>
              <c:strCache>
                <c:ptCount val="10"/>
                <c:pt idx="0">
                  <c:v>BCE</c:v>
                </c:pt>
                <c:pt idx="1">
                  <c:v>Shaw</c:v>
                </c:pt>
                <c:pt idx="2">
                  <c:v>Rogers</c:v>
                </c:pt>
                <c:pt idx="3">
                  <c:v>Quebecor</c:v>
                </c:pt>
                <c:pt idx="4">
                  <c:v>CBC</c:v>
                </c:pt>
                <c:pt idx="5">
                  <c:v>Alphabet</c:v>
                </c:pt>
                <c:pt idx="6">
                  <c:v>Torstar</c:v>
                </c:pt>
                <c:pt idx="7">
                  <c:v>Postmedia</c:v>
                </c:pt>
                <c:pt idx="8">
                  <c:v>Cogeco</c:v>
                </c:pt>
                <c:pt idx="9">
                  <c:v>Telus</c:v>
                </c:pt>
              </c:strCache>
            </c:strRef>
          </c:cat>
          <c:val>
            <c:numRef>
              <c:f>'Figure 81 Leading Content Cos'!$F$114:$F$123</c:f>
              <c:numCache>
                <c:formatCode>_(* #,##0.00_);_(* \(#,##0.00\);_(* "-"??_);_(@_)</c:formatCode>
                <c:ptCount val="10"/>
                <c:pt idx="5">
                  <c:v>19.32</c:v>
                </c:pt>
              </c:numCache>
            </c:numRef>
          </c:val>
          <c:extLst>
            <c:ext xmlns:c16="http://schemas.microsoft.com/office/drawing/2014/chart" uri="{C3380CC4-5D6E-409C-BE32-E72D297353CC}">
              <c16:uniqueId val="{00000004-D5EC-7341-98D4-F747FF637E91}"/>
            </c:ext>
          </c:extLst>
        </c:ser>
        <c:ser>
          <c:idx val="5"/>
          <c:order val="5"/>
          <c:tx>
            <c:strRef>
              <c:f>'Figure 81 Leading Content Cos'!$G$113</c:f>
              <c:strCache>
                <c:ptCount val="1"/>
                <c:pt idx="0">
                  <c:v>Broadcast Radio</c:v>
                </c:pt>
              </c:strCache>
            </c:strRef>
          </c:tx>
          <c:spPr>
            <a:solidFill>
              <a:schemeClr val="accent6"/>
            </a:solidFill>
            <a:ln>
              <a:noFill/>
            </a:ln>
            <a:effectLst/>
          </c:spPr>
          <c:invertIfNegative val="0"/>
          <c:cat>
            <c:strRef>
              <c:f>'Figure 81 Leading Content Cos'!$A$114:$A$123</c:f>
              <c:strCache>
                <c:ptCount val="10"/>
                <c:pt idx="0">
                  <c:v>BCE</c:v>
                </c:pt>
                <c:pt idx="1">
                  <c:v>Shaw</c:v>
                </c:pt>
                <c:pt idx="2">
                  <c:v>Rogers</c:v>
                </c:pt>
                <c:pt idx="3">
                  <c:v>Quebecor</c:v>
                </c:pt>
                <c:pt idx="4">
                  <c:v>CBC</c:v>
                </c:pt>
                <c:pt idx="5">
                  <c:v>Alphabet</c:v>
                </c:pt>
                <c:pt idx="6">
                  <c:v>Torstar</c:v>
                </c:pt>
                <c:pt idx="7">
                  <c:v>Postmedia</c:v>
                </c:pt>
                <c:pt idx="8">
                  <c:v>Cogeco</c:v>
                </c:pt>
                <c:pt idx="9">
                  <c:v>Telus</c:v>
                </c:pt>
              </c:strCache>
            </c:strRef>
          </c:cat>
          <c:val>
            <c:numRef>
              <c:f>'Figure 81 Leading Content Cos'!$G$114:$G$123</c:f>
              <c:numCache>
                <c:formatCode>_(* #,##0.00_);_(* \(#,##0.00\);_(* "-"??_);_(@_)</c:formatCode>
                <c:ptCount val="10"/>
                <c:pt idx="0">
                  <c:v>422.7</c:v>
                </c:pt>
                <c:pt idx="1">
                  <c:v>183.7</c:v>
                </c:pt>
                <c:pt idx="2">
                  <c:v>224.5</c:v>
                </c:pt>
                <c:pt idx="4">
                  <c:v>309.5</c:v>
                </c:pt>
                <c:pt idx="8">
                  <c:v>94.7</c:v>
                </c:pt>
              </c:numCache>
            </c:numRef>
          </c:val>
          <c:extLst>
            <c:ext xmlns:c16="http://schemas.microsoft.com/office/drawing/2014/chart" uri="{C3380CC4-5D6E-409C-BE32-E72D297353CC}">
              <c16:uniqueId val="{00000005-D5EC-7341-98D4-F747FF637E91}"/>
            </c:ext>
          </c:extLst>
        </c:ser>
        <c:ser>
          <c:idx val="6"/>
          <c:order val="6"/>
          <c:tx>
            <c:strRef>
              <c:f>'Figure 81 Leading Content Cos'!$H$113</c:f>
              <c:strCache>
                <c:ptCount val="1"/>
                <c:pt idx="0">
                  <c:v>Music Services</c:v>
                </c:pt>
              </c:strCache>
            </c:strRef>
          </c:tx>
          <c:spPr>
            <a:solidFill>
              <a:schemeClr val="accent1">
                <a:lumMod val="60000"/>
              </a:schemeClr>
            </a:solidFill>
            <a:ln>
              <a:noFill/>
            </a:ln>
            <a:effectLst/>
          </c:spPr>
          <c:invertIfNegative val="0"/>
          <c:cat>
            <c:strRef>
              <c:f>'Figure 81 Leading Content Cos'!$A$114:$A$123</c:f>
              <c:strCache>
                <c:ptCount val="10"/>
                <c:pt idx="0">
                  <c:v>BCE</c:v>
                </c:pt>
                <c:pt idx="1">
                  <c:v>Shaw</c:v>
                </c:pt>
                <c:pt idx="2">
                  <c:v>Rogers</c:v>
                </c:pt>
                <c:pt idx="3">
                  <c:v>Quebecor</c:v>
                </c:pt>
                <c:pt idx="4">
                  <c:v>CBC</c:v>
                </c:pt>
                <c:pt idx="5">
                  <c:v>Alphabet</c:v>
                </c:pt>
                <c:pt idx="6">
                  <c:v>Torstar</c:v>
                </c:pt>
                <c:pt idx="7">
                  <c:v>Postmedia</c:v>
                </c:pt>
                <c:pt idx="8">
                  <c:v>Cogeco</c:v>
                </c:pt>
                <c:pt idx="9">
                  <c:v>Telus</c:v>
                </c:pt>
              </c:strCache>
            </c:strRef>
          </c:cat>
          <c:val>
            <c:numRef>
              <c:f>'Figure 81 Leading Content Cos'!$H$114:$H$123</c:f>
              <c:numCache>
                <c:formatCode>_(* #,##0.00_);_(* \(#,##0.00\);_(* "-"??_);_(@_)</c:formatCode>
                <c:ptCount val="10"/>
              </c:numCache>
            </c:numRef>
          </c:val>
          <c:extLst>
            <c:ext xmlns:c16="http://schemas.microsoft.com/office/drawing/2014/chart" uri="{C3380CC4-5D6E-409C-BE32-E72D297353CC}">
              <c16:uniqueId val="{00000006-D5EC-7341-98D4-F747FF637E91}"/>
            </c:ext>
          </c:extLst>
        </c:ser>
        <c:ser>
          <c:idx val="7"/>
          <c:order val="7"/>
          <c:tx>
            <c:strRef>
              <c:f>'Figure 81 Leading Content Cos'!$I$113</c:f>
              <c:strCache>
                <c:ptCount val="1"/>
                <c:pt idx="0">
                  <c:v>Newspapers</c:v>
                </c:pt>
              </c:strCache>
            </c:strRef>
          </c:tx>
          <c:spPr>
            <a:solidFill>
              <a:schemeClr val="accent2">
                <a:lumMod val="60000"/>
              </a:schemeClr>
            </a:solidFill>
            <a:ln>
              <a:noFill/>
            </a:ln>
            <a:effectLst/>
          </c:spPr>
          <c:invertIfNegative val="0"/>
          <c:cat>
            <c:strRef>
              <c:f>'Figure 81 Leading Content Cos'!$A$114:$A$123</c:f>
              <c:strCache>
                <c:ptCount val="10"/>
                <c:pt idx="0">
                  <c:v>BCE</c:v>
                </c:pt>
                <c:pt idx="1">
                  <c:v>Shaw</c:v>
                </c:pt>
                <c:pt idx="2">
                  <c:v>Rogers</c:v>
                </c:pt>
                <c:pt idx="3">
                  <c:v>Quebecor</c:v>
                </c:pt>
                <c:pt idx="4">
                  <c:v>CBC</c:v>
                </c:pt>
                <c:pt idx="5">
                  <c:v>Alphabet</c:v>
                </c:pt>
                <c:pt idx="6">
                  <c:v>Torstar</c:v>
                </c:pt>
                <c:pt idx="7">
                  <c:v>Postmedia</c:v>
                </c:pt>
                <c:pt idx="8">
                  <c:v>Cogeco</c:v>
                </c:pt>
                <c:pt idx="9">
                  <c:v>Telus</c:v>
                </c:pt>
              </c:strCache>
            </c:strRef>
          </c:cat>
          <c:val>
            <c:numRef>
              <c:f>'Figure 81 Leading Content Cos'!$I$114:$I$123</c:f>
              <c:numCache>
                <c:formatCode>_(* #,##0.00_);_(* \(#,##0.00\);_(* "-"??_);_(@_)</c:formatCode>
                <c:ptCount val="10"/>
                <c:pt idx="3">
                  <c:v>859.88806396344955</c:v>
                </c:pt>
                <c:pt idx="6">
                  <c:v>930.47047206032653</c:v>
                </c:pt>
                <c:pt idx="7">
                  <c:v>751.6</c:v>
                </c:pt>
              </c:numCache>
            </c:numRef>
          </c:val>
          <c:extLst>
            <c:ext xmlns:c16="http://schemas.microsoft.com/office/drawing/2014/chart" uri="{C3380CC4-5D6E-409C-BE32-E72D297353CC}">
              <c16:uniqueId val="{00000007-D5EC-7341-98D4-F747FF637E91}"/>
            </c:ext>
          </c:extLst>
        </c:ser>
        <c:ser>
          <c:idx val="8"/>
          <c:order val="8"/>
          <c:tx>
            <c:strRef>
              <c:f>'Figure 81 Leading Content Cos'!$J$113</c:f>
              <c:strCache>
                <c:ptCount val="1"/>
                <c:pt idx="0">
                  <c:v>Magazines</c:v>
                </c:pt>
              </c:strCache>
            </c:strRef>
          </c:tx>
          <c:spPr>
            <a:solidFill>
              <a:schemeClr val="accent3">
                <a:lumMod val="60000"/>
              </a:schemeClr>
            </a:solidFill>
            <a:ln>
              <a:noFill/>
            </a:ln>
            <a:effectLst/>
          </c:spPr>
          <c:invertIfNegative val="0"/>
          <c:cat>
            <c:strRef>
              <c:f>'Figure 81 Leading Content Cos'!$A$114:$A$123</c:f>
              <c:strCache>
                <c:ptCount val="10"/>
                <c:pt idx="0">
                  <c:v>BCE</c:v>
                </c:pt>
                <c:pt idx="1">
                  <c:v>Shaw</c:v>
                </c:pt>
                <c:pt idx="2">
                  <c:v>Rogers</c:v>
                </c:pt>
                <c:pt idx="3">
                  <c:v>Quebecor</c:v>
                </c:pt>
                <c:pt idx="4">
                  <c:v>CBC</c:v>
                </c:pt>
                <c:pt idx="5">
                  <c:v>Alphabet</c:v>
                </c:pt>
                <c:pt idx="6">
                  <c:v>Torstar</c:v>
                </c:pt>
                <c:pt idx="7">
                  <c:v>Postmedia</c:v>
                </c:pt>
                <c:pt idx="8">
                  <c:v>Cogeco</c:v>
                </c:pt>
                <c:pt idx="9">
                  <c:v>Telus</c:v>
                </c:pt>
              </c:strCache>
            </c:strRef>
          </c:cat>
          <c:val>
            <c:numRef>
              <c:f>'Figure 81 Leading Content Cos'!$J$114:$J$123</c:f>
              <c:numCache>
                <c:formatCode>_(* #,##0.00_);_(* \(#,##0.00\);_(* "-"??_);_(@_)</c:formatCode>
                <c:ptCount val="10"/>
                <c:pt idx="2">
                  <c:v>238.6</c:v>
                </c:pt>
                <c:pt idx="3">
                  <c:v>61.963999999999999</c:v>
                </c:pt>
                <c:pt idx="7">
                  <c:v>3.4</c:v>
                </c:pt>
              </c:numCache>
            </c:numRef>
          </c:val>
          <c:extLst>
            <c:ext xmlns:c16="http://schemas.microsoft.com/office/drawing/2014/chart" uri="{C3380CC4-5D6E-409C-BE32-E72D297353CC}">
              <c16:uniqueId val="{00000008-D5EC-7341-98D4-F747FF637E91}"/>
            </c:ext>
          </c:extLst>
        </c:ser>
        <c:ser>
          <c:idx val="9"/>
          <c:order val="9"/>
          <c:tx>
            <c:strRef>
              <c:f>'Figure 81 Leading Content Cos'!$K$113</c:f>
              <c:strCache>
                <c:ptCount val="1"/>
                <c:pt idx="0">
                  <c:v>Internet Advertising</c:v>
                </c:pt>
              </c:strCache>
            </c:strRef>
          </c:tx>
          <c:spPr>
            <a:solidFill>
              <a:schemeClr val="accent4">
                <a:lumMod val="60000"/>
              </a:schemeClr>
            </a:solidFill>
            <a:ln>
              <a:noFill/>
            </a:ln>
            <a:effectLst/>
          </c:spPr>
          <c:invertIfNegative val="0"/>
          <c:cat>
            <c:strRef>
              <c:f>'Figure 81 Leading Content Cos'!$A$114:$A$123</c:f>
              <c:strCache>
                <c:ptCount val="10"/>
                <c:pt idx="0">
                  <c:v>BCE</c:v>
                </c:pt>
                <c:pt idx="1">
                  <c:v>Shaw</c:v>
                </c:pt>
                <c:pt idx="2">
                  <c:v>Rogers</c:v>
                </c:pt>
                <c:pt idx="3">
                  <c:v>Quebecor</c:v>
                </c:pt>
                <c:pt idx="4">
                  <c:v>CBC</c:v>
                </c:pt>
                <c:pt idx="5">
                  <c:v>Alphabet</c:v>
                </c:pt>
                <c:pt idx="6">
                  <c:v>Torstar</c:v>
                </c:pt>
                <c:pt idx="7">
                  <c:v>Postmedia</c:v>
                </c:pt>
                <c:pt idx="8">
                  <c:v>Cogeco</c:v>
                </c:pt>
                <c:pt idx="9">
                  <c:v>Telus</c:v>
                </c:pt>
              </c:strCache>
            </c:strRef>
          </c:cat>
          <c:val>
            <c:numRef>
              <c:f>'Figure 81 Leading Content Cos'!$K$114:$K$123</c:f>
              <c:numCache>
                <c:formatCode>_(* #,##0.00_);_(* \(#,##0.00\);_(* "-"??_);_(@_)</c:formatCode>
                <c:ptCount val="10"/>
                <c:pt idx="0">
                  <c:v>48.75333556990492</c:v>
                </c:pt>
                <c:pt idx="1">
                  <c:v>30.460955466352711</c:v>
                </c:pt>
                <c:pt idx="2">
                  <c:v>35.19</c:v>
                </c:pt>
                <c:pt idx="3">
                  <c:v>74.580731689155783</c:v>
                </c:pt>
                <c:pt idx="5">
                  <c:v>1416.06</c:v>
                </c:pt>
                <c:pt idx="6">
                  <c:v>60.21</c:v>
                </c:pt>
                <c:pt idx="7">
                  <c:v>45.88</c:v>
                </c:pt>
              </c:numCache>
            </c:numRef>
          </c:val>
          <c:extLst>
            <c:ext xmlns:c16="http://schemas.microsoft.com/office/drawing/2014/chart" uri="{C3380CC4-5D6E-409C-BE32-E72D297353CC}">
              <c16:uniqueId val="{00000009-D5EC-7341-98D4-F747FF637E91}"/>
            </c:ext>
          </c:extLst>
        </c:ser>
        <c:dLbls>
          <c:showLegendKey val="0"/>
          <c:showVal val="0"/>
          <c:showCatName val="0"/>
          <c:showSerName val="0"/>
          <c:showPercent val="0"/>
          <c:showBubbleSize val="0"/>
        </c:dLbls>
        <c:gapWidth val="150"/>
        <c:overlap val="100"/>
        <c:axId val="899544511"/>
        <c:axId val="899535359"/>
      </c:barChart>
      <c:catAx>
        <c:axId val="8995445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899535359"/>
        <c:crosses val="autoZero"/>
        <c:auto val="1"/>
        <c:lblAlgn val="ctr"/>
        <c:lblOffset val="100"/>
        <c:noMultiLvlLbl val="0"/>
      </c:catAx>
      <c:valAx>
        <c:axId val="899535359"/>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899544511"/>
        <c:crosses val="autoZero"/>
        <c:crossBetween val="between"/>
      </c:valAx>
      <c:spPr>
        <a:noFill/>
        <a:ln>
          <a:noFill/>
        </a:ln>
        <a:effectLst/>
      </c:spPr>
    </c:plotArea>
    <c:legend>
      <c:legendPos val="b"/>
      <c:layout>
        <c:manualLayout>
          <c:xMode val="edge"/>
          <c:yMode val="edge"/>
          <c:x val="1.6429801332345187E-2"/>
          <c:y val="0.87402349239464316"/>
          <c:w val="0.98223317337647797"/>
          <c:h val="0.12597650760535681"/>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726808055286041E-2"/>
          <c:y val="5.0896462677627562E-2"/>
          <c:w val="0.91468578512778742"/>
          <c:h val="0.63434790345620273"/>
        </c:manualLayout>
      </c:layout>
      <c:barChart>
        <c:barDir val="col"/>
        <c:grouping val="stacked"/>
        <c:varyColors val="0"/>
        <c:ser>
          <c:idx val="0"/>
          <c:order val="0"/>
          <c:tx>
            <c:strRef>
              <c:f>'Figure 81 Leading Content Cos'!$B$58</c:f>
              <c:strCache>
                <c:ptCount val="1"/>
                <c:pt idx="0">
                  <c:v>Multichannel Video Distribution (Cable/DBS/IPTV)</c:v>
                </c:pt>
              </c:strCache>
            </c:strRef>
          </c:tx>
          <c:spPr>
            <a:solidFill>
              <a:schemeClr val="accent1"/>
            </a:solidFill>
            <a:ln>
              <a:noFill/>
            </a:ln>
            <a:effectLst/>
          </c:spPr>
          <c:invertIfNegative val="0"/>
          <c:cat>
            <c:strRef>
              <c:f>'Figure 81 Leading Content Cos'!$A$59:$A$78</c:f>
              <c:strCache>
                <c:ptCount val="20"/>
                <c:pt idx="0">
                  <c:v>BCE</c:v>
                </c:pt>
                <c:pt idx="1">
                  <c:v>Alphabet</c:v>
                </c:pt>
                <c:pt idx="2">
                  <c:v>Shaw</c:v>
                </c:pt>
                <c:pt idx="3">
                  <c:v>Rogers</c:v>
                </c:pt>
                <c:pt idx="4">
                  <c:v>Quebecor</c:v>
                </c:pt>
                <c:pt idx="5">
                  <c:v>Facebook</c:v>
                </c:pt>
                <c:pt idx="6">
                  <c:v>CBC</c:v>
                </c:pt>
                <c:pt idx="7">
                  <c:v>Postmedia</c:v>
                </c:pt>
                <c:pt idx="8">
                  <c:v>Torstar</c:v>
                </c:pt>
                <c:pt idx="9">
                  <c:v>Telus</c:v>
                </c:pt>
                <c:pt idx="10">
                  <c:v>Cogeco</c:v>
                </c:pt>
                <c:pt idx="11">
                  <c:v>Netflix</c:v>
                </c:pt>
                <c:pt idx="12">
                  <c:v>Apple</c:v>
                </c:pt>
                <c:pt idx="13">
                  <c:v>Microsoft</c:v>
                </c:pt>
                <c:pt idx="14">
                  <c:v>Live Nation</c:v>
                </c:pt>
                <c:pt idx="15">
                  <c:v>Transcontinental</c:v>
                </c:pt>
                <c:pt idx="16">
                  <c:v>Sirius XM</c:v>
                </c:pt>
                <c:pt idx="17">
                  <c:v>Activision Blizzard</c:v>
                </c:pt>
                <c:pt idx="18">
                  <c:v>Bragg Communications</c:v>
                </c:pt>
                <c:pt idx="19">
                  <c:v>Sony</c:v>
                </c:pt>
              </c:strCache>
            </c:strRef>
          </c:cat>
          <c:val>
            <c:numRef>
              <c:f>'Figure 81 Leading Content Cos'!$B$59:$B$78</c:f>
              <c:numCache>
                <c:formatCode>_(* #,##0.00_);_(* \(#,##0.00\);_(* "-"??_);_(@_)</c:formatCode>
                <c:ptCount val="20"/>
                <c:pt idx="0">
                  <c:v>2492.4</c:v>
                </c:pt>
                <c:pt idx="2">
                  <c:v>1921.5</c:v>
                </c:pt>
                <c:pt idx="3">
                  <c:v>1501</c:v>
                </c:pt>
                <c:pt idx="4">
                  <c:v>1010</c:v>
                </c:pt>
                <c:pt idx="9">
                  <c:v>706.81299999999999</c:v>
                </c:pt>
                <c:pt idx="10">
                  <c:v>495.8</c:v>
                </c:pt>
                <c:pt idx="18">
                  <c:v>290.95</c:v>
                </c:pt>
              </c:numCache>
            </c:numRef>
          </c:val>
          <c:extLst>
            <c:ext xmlns:c16="http://schemas.microsoft.com/office/drawing/2014/chart" uri="{C3380CC4-5D6E-409C-BE32-E72D297353CC}">
              <c16:uniqueId val="{00000000-DBCE-6747-B6E1-5B14D146A957}"/>
            </c:ext>
          </c:extLst>
        </c:ser>
        <c:ser>
          <c:idx val="1"/>
          <c:order val="1"/>
          <c:tx>
            <c:strRef>
              <c:f>'Figure 81 Leading Content Cos'!$C$58</c:f>
              <c:strCache>
                <c:ptCount val="1"/>
                <c:pt idx="0">
                  <c:v>Broadcast TV</c:v>
                </c:pt>
              </c:strCache>
            </c:strRef>
          </c:tx>
          <c:spPr>
            <a:solidFill>
              <a:schemeClr val="accent2"/>
            </a:solidFill>
            <a:ln>
              <a:noFill/>
            </a:ln>
            <a:effectLst/>
          </c:spPr>
          <c:invertIfNegative val="0"/>
          <c:cat>
            <c:strRef>
              <c:f>'Figure 81 Leading Content Cos'!$A$59:$A$78</c:f>
              <c:strCache>
                <c:ptCount val="20"/>
                <c:pt idx="0">
                  <c:v>BCE</c:v>
                </c:pt>
                <c:pt idx="1">
                  <c:v>Alphabet</c:v>
                </c:pt>
                <c:pt idx="2">
                  <c:v>Shaw</c:v>
                </c:pt>
                <c:pt idx="3">
                  <c:v>Rogers</c:v>
                </c:pt>
                <c:pt idx="4">
                  <c:v>Quebecor</c:v>
                </c:pt>
                <c:pt idx="5">
                  <c:v>Facebook</c:v>
                </c:pt>
                <c:pt idx="6">
                  <c:v>CBC</c:v>
                </c:pt>
                <c:pt idx="7">
                  <c:v>Postmedia</c:v>
                </c:pt>
                <c:pt idx="8">
                  <c:v>Torstar</c:v>
                </c:pt>
                <c:pt idx="9">
                  <c:v>Telus</c:v>
                </c:pt>
                <c:pt idx="10">
                  <c:v>Cogeco</c:v>
                </c:pt>
                <c:pt idx="11">
                  <c:v>Netflix</c:v>
                </c:pt>
                <c:pt idx="12">
                  <c:v>Apple</c:v>
                </c:pt>
                <c:pt idx="13">
                  <c:v>Microsoft</c:v>
                </c:pt>
                <c:pt idx="14">
                  <c:v>Live Nation</c:v>
                </c:pt>
                <c:pt idx="15">
                  <c:v>Transcontinental</c:v>
                </c:pt>
                <c:pt idx="16">
                  <c:v>Sirius XM</c:v>
                </c:pt>
                <c:pt idx="17">
                  <c:v>Activision Blizzard</c:v>
                </c:pt>
                <c:pt idx="18">
                  <c:v>Bragg Communications</c:v>
                </c:pt>
                <c:pt idx="19">
                  <c:v>Sony</c:v>
                </c:pt>
              </c:strCache>
            </c:strRef>
          </c:cat>
          <c:val>
            <c:numRef>
              <c:f>'Figure 81 Leading Content Cos'!$C$59:$C$78</c:f>
              <c:numCache>
                <c:formatCode>_(* #,##0.00_);_(* \(#,##0.00\);_(* "-"??_);_(@_)</c:formatCode>
                <c:ptCount val="20"/>
                <c:pt idx="0">
                  <c:v>675.4</c:v>
                </c:pt>
                <c:pt idx="2">
                  <c:v>345.6</c:v>
                </c:pt>
                <c:pt idx="3">
                  <c:v>205.5</c:v>
                </c:pt>
                <c:pt idx="4">
                  <c:v>219.2</c:v>
                </c:pt>
                <c:pt idx="6">
                  <c:v>996.2</c:v>
                </c:pt>
              </c:numCache>
            </c:numRef>
          </c:val>
          <c:extLst>
            <c:ext xmlns:c16="http://schemas.microsoft.com/office/drawing/2014/chart" uri="{C3380CC4-5D6E-409C-BE32-E72D297353CC}">
              <c16:uniqueId val="{00000001-DBCE-6747-B6E1-5B14D146A957}"/>
            </c:ext>
          </c:extLst>
        </c:ser>
        <c:ser>
          <c:idx val="2"/>
          <c:order val="2"/>
          <c:tx>
            <c:strRef>
              <c:f>'Figure 81 Leading Content Cos'!$D$58</c:f>
              <c:strCache>
                <c:ptCount val="1"/>
                <c:pt idx="0">
                  <c:v>Pay TV Programming Services</c:v>
                </c:pt>
              </c:strCache>
            </c:strRef>
          </c:tx>
          <c:spPr>
            <a:solidFill>
              <a:schemeClr val="accent3"/>
            </a:solidFill>
            <a:ln>
              <a:noFill/>
            </a:ln>
            <a:effectLst/>
          </c:spPr>
          <c:invertIfNegative val="0"/>
          <c:cat>
            <c:strRef>
              <c:f>'Figure 81 Leading Content Cos'!$A$59:$A$78</c:f>
              <c:strCache>
                <c:ptCount val="20"/>
                <c:pt idx="0">
                  <c:v>BCE</c:v>
                </c:pt>
                <c:pt idx="1">
                  <c:v>Alphabet</c:v>
                </c:pt>
                <c:pt idx="2">
                  <c:v>Shaw</c:v>
                </c:pt>
                <c:pt idx="3">
                  <c:v>Rogers</c:v>
                </c:pt>
                <c:pt idx="4">
                  <c:v>Quebecor</c:v>
                </c:pt>
                <c:pt idx="5">
                  <c:v>Facebook</c:v>
                </c:pt>
                <c:pt idx="6">
                  <c:v>CBC</c:v>
                </c:pt>
                <c:pt idx="7">
                  <c:v>Postmedia</c:v>
                </c:pt>
                <c:pt idx="8">
                  <c:v>Torstar</c:v>
                </c:pt>
                <c:pt idx="9">
                  <c:v>Telus</c:v>
                </c:pt>
                <c:pt idx="10">
                  <c:v>Cogeco</c:v>
                </c:pt>
                <c:pt idx="11">
                  <c:v>Netflix</c:v>
                </c:pt>
                <c:pt idx="12">
                  <c:v>Apple</c:v>
                </c:pt>
                <c:pt idx="13">
                  <c:v>Microsoft</c:v>
                </c:pt>
                <c:pt idx="14">
                  <c:v>Live Nation</c:v>
                </c:pt>
                <c:pt idx="15">
                  <c:v>Transcontinental</c:v>
                </c:pt>
                <c:pt idx="16">
                  <c:v>Sirius XM</c:v>
                </c:pt>
                <c:pt idx="17">
                  <c:v>Activision Blizzard</c:v>
                </c:pt>
                <c:pt idx="18">
                  <c:v>Bragg Communications</c:v>
                </c:pt>
                <c:pt idx="19">
                  <c:v>Sony</c:v>
                </c:pt>
              </c:strCache>
            </c:strRef>
          </c:cat>
          <c:val>
            <c:numRef>
              <c:f>'Figure 81 Leading Content Cos'!$D$59:$D$78</c:f>
              <c:numCache>
                <c:formatCode>_(* #,##0.00_);_(* \(#,##0.00\);_(* "-"??_);_(@_)</c:formatCode>
                <c:ptCount val="20"/>
                <c:pt idx="0">
                  <c:v>1556.1489999999999</c:v>
                </c:pt>
                <c:pt idx="2">
                  <c:v>858.29</c:v>
                </c:pt>
                <c:pt idx="3">
                  <c:v>771.49199999999996</c:v>
                </c:pt>
                <c:pt idx="4">
                  <c:v>234.42</c:v>
                </c:pt>
                <c:pt idx="6">
                  <c:v>176.6</c:v>
                </c:pt>
                <c:pt idx="10">
                  <c:v>11</c:v>
                </c:pt>
              </c:numCache>
            </c:numRef>
          </c:val>
          <c:extLst>
            <c:ext xmlns:c16="http://schemas.microsoft.com/office/drawing/2014/chart" uri="{C3380CC4-5D6E-409C-BE32-E72D297353CC}">
              <c16:uniqueId val="{00000002-DBCE-6747-B6E1-5B14D146A957}"/>
            </c:ext>
          </c:extLst>
        </c:ser>
        <c:ser>
          <c:idx val="3"/>
          <c:order val="3"/>
          <c:tx>
            <c:strRef>
              <c:f>'Figure 81 Leading Content Cos'!$E$58</c:f>
              <c:strCache>
                <c:ptCount val="1"/>
                <c:pt idx="0">
                  <c:v>Online Video Services</c:v>
                </c:pt>
              </c:strCache>
            </c:strRef>
          </c:tx>
          <c:spPr>
            <a:solidFill>
              <a:schemeClr val="accent4"/>
            </a:solidFill>
            <a:ln>
              <a:noFill/>
            </a:ln>
            <a:effectLst/>
          </c:spPr>
          <c:invertIfNegative val="0"/>
          <c:cat>
            <c:strRef>
              <c:f>'Figure 81 Leading Content Cos'!$A$59:$A$78</c:f>
              <c:strCache>
                <c:ptCount val="20"/>
                <c:pt idx="0">
                  <c:v>BCE</c:v>
                </c:pt>
                <c:pt idx="1">
                  <c:v>Alphabet</c:v>
                </c:pt>
                <c:pt idx="2">
                  <c:v>Shaw</c:v>
                </c:pt>
                <c:pt idx="3">
                  <c:v>Rogers</c:v>
                </c:pt>
                <c:pt idx="4">
                  <c:v>Quebecor</c:v>
                </c:pt>
                <c:pt idx="5">
                  <c:v>Facebook</c:v>
                </c:pt>
                <c:pt idx="6">
                  <c:v>CBC</c:v>
                </c:pt>
                <c:pt idx="7">
                  <c:v>Postmedia</c:v>
                </c:pt>
                <c:pt idx="8">
                  <c:v>Torstar</c:v>
                </c:pt>
                <c:pt idx="9">
                  <c:v>Telus</c:v>
                </c:pt>
                <c:pt idx="10">
                  <c:v>Cogeco</c:v>
                </c:pt>
                <c:pt idx="11">
                  <c:v>Netflix</c:v>
                </c:pt>
                <c:pt idx="12">
                  <c:v>Apple</c:v>
                </c:pt>
                <c:pt idx="13">
                  <c:v>Microsoft</c:v>
                </c:pt>
                <c:pt idx="14">
                  <c:v>Live Nation</c:v>
                </c:pt>
                <c:pt idx="15">
                  <c:v>Transcontinental</c:v>
                </c:pt>
                <c:pt idx="16">
                  <c:v>Sirius XM</c:v>
                </c:pt>
                <c:pt idx="17">
                  <c:v>Activision Blizzard</c:v>
                </c:pt>
                <c:pt idx="18">
                  <c:v>Bragg Communications</c:v>
                </c:pt>
                <c:pt idx="19">
                  <c:v>Sony</c:v>
                </c:pt>
              </c:strCache>
            </c:strRef>
          </c:cat>
          <c:val>
            <c:numRef>
              <c:f>'Figure 81 Leading Content Cos'!$E$59:$E$78</c:f>
              <c:numCache>
                <c:formatCode>_(* #,##0.00_);_(* \(#,##0.00\);_(* "-"??_);_(@_)</c:formatCode>
                <c:ptCount val="20"/>
                <c:pt idx="0">
                  <c:v>167.26</c:v>
                </c:pt>
                <c:pt idx="3">
                  <c:v>81.63</c:v>
                </c:pt>
                <c:pt idx="4">
                  <c:v>39.700000000000003</c:v>
                </c:pt>
                <c:pt idx="11">
                  <c:v>602.58900000000006</c:v>
                </c:pt>
                <c:pt idx="12">
                  <c:v>82.91</c:v>
                </c:pt>
              </c:numCache>
            </c:numRef>
          </c:val>
          <c:extLst>
            <c:ext xmlns:c16="http://schemas.microsoft.com/office/drawing/2014/chart" uri="{C3380CC4-5D6E-409C-BE32-E72D297353CC}">
              <c16:uniqueId val="{00000003-DBCE-6747-B6E1-5B14D146A957}"/>
            </c:ext>
          </c:extLst>
        </c:ser>
        <c:ser>
          <c:idx val="4"/>
          <c:order val="4"/>
          <c:tx>
            <c:strRef>
              <c:f>'Figure 81 Leading Content Cos'!$F$58</c:f>
              <c:strCache>
                <c:ptCount val="1"/>
                <c:pt idx="0">
                  <c:v>Digital Games</c:v>
                </c:pt>
              </c:strCache>
            </c:strRef>
          </c:tx>
          <c:spPr>
            <a:solidFill>
              <a:schemeClr val="accent5"/>
            </a:solidFill>
            <a:ln>
              <a:noFill/>
            </a:ln>
            <a:effectLst/>
          </c:spPr>
          <c:invertIfNegative val="0"/>
          <c:cat>
            <c:strRef>
              <c:f>'Figure 81 Leading Content Cos'!$A$59:$A$78</c:f>
              <c:strCache>
                <c:ptCount val="20"/>
                <c:pt idx="0">
                  <c:v>BCE</c:v>
                </c:pt>
                <c:pt idx="1">
                  <c:v>Alphabet</c:v>
                </c:pt>
                <c:pt idx="2">
                  <c:v>Shaw</c:v>
                </c:pt>
                <c:pt idx="3">
                  <c:v>Rogers</c:v>
                </c:pt>
                <c:pt idx="4">
                  <c:v>Quebecor</c:v>
                </c:pt>
                <c:pt idx="5">
                  <c:v>Facebook</c:v>
                </c:pt>
                <c:pt idx="6">
                  <c:v>CBC</c:v>
                </c:pt>
                <c:pt idx="7">
                  <c:v>Postmedia</c:v>
                </c:pt>
                <c:pt idx="8">
                  <c:v>Torstar</c:v>
                </c:pt>
                <c:pt idx="9">
                  <c:v>Telus</c:v>
                </c:pt>
                <c:pt idx="10">
                  <c:v>Cogeco</c:v>
                </c:pt>
                <c:pt idx="11">
                  <c:v>Netflix</c:v>
                </c:pt>
                <c:pt idx="12">
                  <c:v>Apple</c:v>
                </c:pt>
                <c:pt idx="13">
                  <c:v>Microsoft</c:v>
                </c:pt>
                <c:pt idx="14">
                  <c:v>Live Nation</c:v>
                </c:pt>
                <c:pt idx="15">
                  <c:v>Transcontinental</c:v>
                </c:pt>
                <c:pt idx="16">
                  <c:v>Sirius XM</c:v>
                </c:pt>
                <c:pt idx="17">
                  <c:v>Activision Blizzard</c:v>
                </c:pt>
                <c:pt idx="18">
                  <c:v>Bragg Communications</c:v>
                </c:pt>
                <c:pt idx="19">
                  <c:v>Sony</c:v>
                </c:pt>
              </c:strCache>
            </c:strRef>
          </c:cat>
          <c:val>
            <c:numRef>
              <c:f>'Figure 81 Leading Content Cos'!$F$59:$F$78</c:f>
              <c:numCache>
                <c:formatCode>_(* #,##0.00_);_(* \(#,##0.00\);_(* "-"??_);_(@_)</c:formatCode>
                <c:ptCount val="20"/>
                <c:pt idx="1">
                  <c:v>122.23</c:v>
                </c:pt>
                <c:pt idx="12">
                  <c:v>312.10922635199995</c:v>
                </c:pt>
                <c:pt idx="13">
                  <c:v>331.1</c:v>
                </c:pt>
                <c:pt idx="17">
                  <c:v>293.02999999999997</c:v>
                </c:pt>
                <c:pt idx="19">
                  <c:v>184.69028650000001</c:v>
                </c:pt>
              </c:numCache>
            </c:numRef>
          </c:val>
          <c:extLst>
            <c:ext xmlns:c16="http://schemas.microsoft.com/office/drawing/2014/chart" uri="{C3380CC4-5D6E-409C-BE32-E72D297353CC}">
              <c16:uniqueId val="{00000004-DBCE-6747-B6E1-5B14D146A957}"/>
            </c:ext>
          </c:extLst>
        </c:ser>
        <c:ser>
          <c:idx val="5"/>
          <c:order val="5"/>
          <c:tx>
            <c:strRef>
              <c:f>'Figure 81 Leading Content Cos'!$G$58</c:f>
              <c:strCache>
                <c:ptCount val="1"/>
                <c:pt idx="0">
                  <c:v>Broadcast Radio</c:v>
                </c:pt>
              </c:strCache>
            </c:strRef>
          </c:tx>
          <c:spPr>
            <a:solidFill>
              <a:schemeClr val="accent6"/>
            </a:solidFill>
            <a:ln>
              <a:noFill/>
            </a:ln>
            <a:effectLst/>
          </c:spPr>
          <c:invertIfNegative val="0"/>
          <c:cat>
            <c:strRef>
              <c:f>'Figure 81 Leading Content Cos'!$A$59:$A$78</c:f>
              <c:strCache>
                <c:ptCount val="20"/>
                <c:pt idx="0">
                  <c:v>BCE</c:v>
                </c:pt>
                <c:pt idx="1">
                  <c:v>Alphabet</c:v>
                </c:pt>
                <c:pt idx="2">
                  <c:v>Shaw</c:v>
                </c:pt>
                <c:pt idx="3">
                  <c:v>Rogers</c:v>
                </c:pt>
                <c:pt idx="4">
                  <c:v>Quebecor</c:v>
                </c:pt>
                <c:pt idx="5">
                  <c:v>Facebook</c:v>
                </c:pt>
                <c:pt idx="6">
                  <c:v>CBC</c:v>
                </c:pt>
                <c:pt idx="7">
                  <c:v>Postmedia</c:v>
                </c:pt>
                <c:pt idx="8">
                  <c:v>Torstar</c:v>
                </c:pt>
                <c:pt idx="9">
                  <c:v>Telus</c:v>
                </c:pt>
                <c:pt idx="10">
                  <c:v>Cogeco</c:v>
                </c:pt>
                <c:pt idx="11">
                  <c:v>Netflix</c:v>
                </c:pt>
                <c:pt idx="12">
                  <c:v>Apple</c:v>
                </c:pt>
                <c:pt idx="13">
                  <c:v>Microsoft</c:v>
                </c:pt>
                <c:pt idx="14">
                  <c:v>Live Nation</c:v>
                </c:pt>
                <c:pt idx="15">
                  <c:v>Transcontinental</c:v>
                </c:pt>
                <c:pt idx="16">
                  <c:v>Sirius XM</c:v>
                </c:pt>
                <c:pt idx="17">
                  <c:v>Activision Blizzard</c:v>
                </c:pt>
                <c:pt idx="18">
                  <c:v>Bragg Communications</c:v>
                </c:pt>
                <c:pt idx="19">
                  <c:v>Sony</c:v>
                </c:pt>
              </c:strCache>
            </c:strRef>
          </c:cat>
          <c:val>
            <c:numRef>
              <c:f>'Figure 81 Leading Content Cos'!$G$59:$G$78</c:f>
              <c:numCache>
                <c:formatCode>_(* #,##0.00_);_(* \(#,##0.00\);_(* "-"??_);_(@_)</c:formatCode>
                <c:ptCount val="20"/>
                <c:pt idx="0">
                  <c:v>372.6</c:v>
                </c:pt>
                <c:pt idx="2">
                  <c:v>149.19999999999999</c:v>
                </c:pt>
                <c:pt idx="3">
                  <c:v>219.6</c:v>
                </c:pt>
                <c:pt idx="6">
                  <c:v>314.8</c:v>
                </c:pt>
                <c:pt idx="10">
                  <c:v>104.7</c:v>
                </c:pt>
                <c:pt idx="16">
                  <c:v>370.83</c:v>
                </c:pt>
              </c:numCache>
            </c:numRef>
          </c:val>
          <c:extLst>
            <c:ext xmlns:c16="http://schemas.microsoft.com/office/drawing/2014/chart" uri="{C3380CC4-5D6E-409C-BE32-E72D297353CC}">
              <c16:uniqueId val="{00000005-DBCE-6747-B6E1-5B14D146A957}"/>
            </c:ext>
          </c:extLst>
        </c:ser>
        <c:ser>
          <c:idx val="6"/>
          <c:order val="6"/>
          <c:tx>
            <c:strRef>
              <c:f>'Figure 81 Leading Content Cos'!$H$58</c:f>
              <c:strCache>
                <c:ptCount val="1"/>
                <c:pt idx="0">
                  <c:v>Music Services</c:v>
                </c:pt>
              </c:strCache>
            </c:strRef>
          </c:tx>
          <c:spPr>
            <a:solidFill>
              <a:schemeClr val="accent1">
                <a:lumMod val="60000"/>
              </a:schemeClr>
            </a:solidFill>
            <a:ln>
              <a:noFill/>
            </a:ln>
            <a:effectLst/>
          </c:spPr>
          <c:invertIfNegative val="0"/>
          <c:cat>
            <c:strRef>
              <c:f>'Figure 81 Leading Content Cos'!$A$59:$A$78</c:f>
              <c:strCache>
                <c:ptCount val="20"/>
                <c:pt idx="0">
                  <c:v>BCE</c:v>
                </c:pt>
                <c:pt idx="1">
                  <c:v>Alphabet</c:v>
                </c:pt>
                <c:pt idx="2">
                  <c:v>Shaw</c:v>
                </c:pt>
                <c:pt idx="3">
                  <c:v>Rogers</c:v>
                </c:pt>
                <c:pt idx="4">
                  <c:v>Quebecor</c:v>
                </c:pt>
                <c:pt idx="5">
                  <c:v>Facebook</c:v>
                </c:pt>
                <c:pt idx="6">
                  <c:v>CBC</c:v>
                </c:pt>
                <c:pt idx="7">
                  <c:v>Postmedia</c:v>
                </c:pt>
                <c:pt idx="8">
                  <c:v>Torstar</c:v>
                </c:pt>
                <c:pt idx="9">
                  <c:v>Telus</c:v>
                </c:pt>
                <c:pt idx="10">
                  <c:v>Cogeco</c:v>
                </c:pt>
                <c:pt idx="11">
                  <c:v>Netflix</c:v>
                </c:pt>
                <c:pt idx="12">
                  <c:v>Apple</c:v>
                </c:pt>
                <c:pt idx="13">
                  <c:v>Microsoft</c:v>
                </c:pt>
                <c:pt idx="14">
                  <c:v>Live Nation</c:v>
                </c:pt>
                <c:pt idx="15">
                  <c:v>Transcontinental</c:v>
                </c:pt>
                <c:pt idx="16">
                  <c:v>Sirius XM</c:v>
                </c:pt>
                <c:pt idx="17">
                  <c:v>Activision Blizzard</c:v>
                </c:pt>
                <c:pt idx="18">
                  <c:v>Bragg Communications</c:v>
                </c:pt>
                <c:pt idx="19">
                  <c:v>Sony</c:v>
                </c:pt>
              </c:strCache>
            </c:strRef>
          </c:cat>
          <c:val>
            <c:numRef>
              <c:f>'Figure 81 Leading Content Cos'!$H$59:$H$78</c:f>
              <c:numCache>
                <c:formatCode>_(* #,##0.00_);_(* \(#,##0.00\);_(* "-"??_);_(@_)</c:formatCode>
                <c:ptCount val="20"/>
                <c:pt idx="1">
                  <c:v>19.13</c:v>
                </c:pt>
                <c:pt idx="12">
                  <c:v>47.168880204236444</c:v>
                </c:pt>
                <c:pt idx="14">
                  <c:v>442.44</c:v>
                </c:pt>
                <c:pt idx="19">
                  <c:v>73.649999999999991</c:v>
                </c:pt>
              </c:numCache>
            </c:numRef>
          </c:val>
          <c:extLst>
            <c:ext xmlns:c16="http://schemas.microsoft.com/office/drawing/2014/chart" uri="{C3380CC4-5D6E-409C-BE32-E72D297353CC}">
              <c16:uniqueId val="{00000006-DBCE-6747-B6E1-5B14D146A957}"/>
            </c:ext>
          </c:extLst>
        </c:ser>
        <c:ser>
          <c:idx val="7"/>
          <c:order val="7"/>
          <c:tx>
            <c:strRef>
              <c:f>'Figure 81 Leading Content Cos'!$I$58</c:f>
              <c:strCache>
                <c:ptCount val="1"/>
                <c:pt idx="0">
                  <c:v>Newspapers</c:v>
                </c:pt>
              </c:strCache>
            </c:strRef>
          </c:tx>
          <c:spPr>
            <a:solidFill>
              <a:schemeClr val="accent2">
                <a:lumMod val="60000"/>
              </a:schemeClr>
            </a:solidFill>
            <a:ln>
              <a:noFill/>
            </a:ln>
            <a:effectLst/>
          </c:spPr>
          <c:invertIfNegative val="0"/>
          <c:cat>
            <c:strRef>
              <c:f>'Figure 81 Leading Content Cos'!$A$59:$A$78</c:f>
              <c:strCache>
                <c:ptCount val="20"/>
                <c:pt idx="0">
                  <c:v>BCE</c:v>
                </c:pt>
                <c:pt idx="1">
                  <c:v>Alphabet</c:v>
                </c:pt>
                <c:pt idx="2">
                  <c:v>Shaw</c:v>
                </c:pt>
                <c:pt idx="3">
                  <c:v>Rogers</c:v>
                </c:pt>
                <c:pt idx="4">
                  <c:v>Quebecor</c:v>
                </c:pt>
                <c:pt idx="5">
                  <c:v>Facebook</c:v>
                </c:pt>
                <c:pt idx="6">
                  <c:v>CBC</c:v>
                </c:pt>
                <c:pt idx="7">
                  <c:v>Postmedia</c:v>
                </c:pt>
                <c:pt idx="8">
                  <c:v>Torstar</c:v>
                </c:pt>
                <c:pt idx="9">
                  <c:v>Telus</c:v>
                </c:pt>
                <c:pt idx="10">
                  <c:v>Cogeco</c:v>
                </c:pt>
                <c:pt idx="11">
                  <c:v>Netflix</c:v>
                </c:pt>
                <c:pt idx="12">
                  <c:v>Apple</c:v>
                </c:pt>
                <c:pt idx="13">
                  <c:v>Microsoft</c:v>
                </c:pt>
                <c:pt idx="14">
                  <c:v>Live Nation</c:v>
                </c:pt>
                <c:pt idx="15">
                  <c:v>Transcontinental</c:v>
                </c:pt>
                <c:pt idx="16">
                  <c:v>Sirius XM</c:v>
                </c:pt>
                <c:pt idx="17">
                  <c:v>Activision Blizzard</c:v>
                </c:pt>
                <c:pt idx="18">
                  <c:v>Bragg Communications</c:v>
                </c:pt>
                <c:pt idx="19">
                  <c:v>Sony</c:v>
                </c:pt>
              </c:strCache>
            </c:strRef>
          </c:cat>
          <c:val>
            <c:numRef>
              <c:f>'Figure 81 Leading Content Cos'!$I$59:$I$78</c:f>
              <c:numCache>
                <c:formatCode>_(* #,##0.00_);_(* \(#,##0.00\);_(* "-"??_);_(@_)</c:formatCode>
                <c:ptCount val="20"/>
                <c:pt idx="4">
                  <c:v>183.5</c:v>
                </c:pt>
                <c:pt idx="7">
                  <c:v>754.3</c:v>
                </c:pt>
                <c:pt idx="8">
                  <c:v>619.29999999999995</c:v>
                </c:pt>
                <c:pt idx="15">
                  <c:v>240.86</c:v>
                </c:pt>
              </c:numCache>
            </c:numRef>
          </c:val>
          <c:extLst>
            <c:ext xmlns:c16="http://schemas.microsoft.com/office/drawing/2014/chart" uri="{C3380CC4-5D6E-409C-BE32-E72D297353CC}">
              <c16:uniqueId val="{00000007-DBCE-6747-B6E1-5B14D146A957}"/>
            </c:ext>
          </c:extLst>
        </c:ser>
        <c:ser>
          <c:idx val="8"/>
          <c:order val="8"/>
          <c:tx>
            <c:strRef>
              <c:f>'Figure 81 Leading Content Cos'!$J$58</c:f>
              <c:strCache>
                <c:ptCount val="1"/>
                <c:pt idx="0">
                  <c:v>Magazines</c:v>
                </c:pt>
              </c:strCache>
            </c:strRef>
          </c:tx>
          <c:spPr>
            <a:solidFill>
              <a:schemeClr val="accent3">
                <a:lumMod val="60000"/>
              </a:schemeClr>
            </a:solidFill>
            <a:ln>
              <a:noFill/>
            </a:ln>
            <a:effectLst/>
          </c:spPr>
          <c:invertIfNegative val="0"/>
          <c:cat>
            <c:strRef>
              <c:f>'Figure 81 Leading Content Cos'!$A$59:$A$78</c:f>
              <c:strCache>
                <c:ptCount val="20"/>
                <c:pt idx="0">
                  <c:v>BCE</c:v>
                </c:pt>
                <c:pt idx="1">
                  <c:v>Alphabet</c:v>
                </c:pt>
                <c:pt idx="2">
                  <c:v>Shaw</c:v>
                </c:pt>
                <c:pt idx="3">
                  <c:v>Rogers</c:v>
                </c:pt>
                <c:pt idx="4">
                  <c:v>Quebecor</c:v>
                </c:pt>
                <c:pt idx="5">
                  <c:v>Facebook</c:v>
                </c:pt>
                <c:pt idx="6">
                  <c:v>CBC</c:v>
                </c:pt>
                <c:pt idx="7">
                  <c:v>Postmedia</c:v>
                </c:pt>
                <c:pt idx="8">
                  <c:v>Torstar</c:v>
                </c:pt>
                <c:pt idx="9">
                  <c:v>Telus</c:v>
                </c:pt>
                <c:pt idx="10">
                  <c:v>Cogeco</c:v>
                </c:pt>
                <c:pt idx="11">
                  <c:v>Netflix</c:v>
                </c:pt>
                <c:pt idx="12">
                  <c:v>Apple</c:v>
                </c:pt>
                <c:pt idx="13">
                  <c:v>Microsoft</c:v>
                </c:pt>
                <c:pt idx="14">
                  <c:v>Live Nation</c:v>
                </c:pt>
                <c:pt idx="15">
                  <c:v>Transcontinental</c:v>
                </c:pt>
                <c:pt idx="16">
                  <c:v>Sirius XM</c:v>
                </c:pt>
                <c:pt idx="17">
                  <c:v>Activision Blizzard</c:v>
                </c:pt>
                <c:pt idx="18">
                  <c:v>Bragg Communications</c:v>
                </c:pt>
                <c:pt idx="19">
                  <c:v>Sony</c:v>
                </c:pt>
              </c:strCache>
            </c:strRef>
          </c:cat>
          <c:val>
            <c:numRef>
              <c:f>'Figure 81 Leading Content Cos'!$J$59:$J$78</c:f>
              <c:numCache>
                <c:formatCode>_(* #,##0.00_);_(* \(#,##0.00\);_(* "-"??_);_(@_)</c:formatCode>
                <c:ptCount val="20"/>
                <c:pt idx="0">
                  <c:v>6.6235211058263994</c:v>
                </c:pt>
                <c:pt idx="3">
                  <c:v>110</c:v>
                </c:pt>
                <c:pt idx="4">
                  <c:v>94.58</c:v>
                </c:pt>
                <c:pt idx="7">
                  <c:v>2.6071306480380505</c:v>
                </c:pt>
                <c:pt idx="15">
                  <c:v>135.19999999999999</c:v>
                </c:pt>
              </c:numCache>
            </c:numRef>
          </c:val>
          <c:extLst>
            <c:ext xmlns:c16="http://schemas.microsoft.com/office/drawing/2014/chart" uri="{C3380CC4-5D6E-409C-BE32-E72D297353CC}">
              <c16:uniqueId val="{00000008-DBCE-6747-B6E1-5B14D146A957}"/>
            </c:ext>
          </c:extLst>
        </c:ser>
        <c:ser>
          <c:idx val="9"/>
          <c:order val="9"/>
          <c:tx>
            <c:strRef>
              <c:f>'Figure 81 Leading Content Cos'!$K$58</c:f>
              <c:strCache>
                <c:ptCount val="1"/>
                <c:pt idx="0">
                  <c:v>Internet Advertising</c:v>
                </c:pt>
              </c:strCache>
            </c:strRef>
          </c:tx>
          <c:spPr>
            <a:solidFill>
              <a:schemeClr val="accent4">
                <a:lumMod val="60000"/>
              </a:schemeClr>
            </a:solidFill>
            <a:ln>
              <a:noFill/>
            </a:ln>
            <a:effectLst/>
          </c:spPr>
          <c:invertIfNegative val="0"/>
          <c:cat>
            <c:strRef>
              <c:f>'Figure 81 Leading Content Cos'!$A$59:$A$78</c:f>
              <c:strCache>
                <c:ptCount val="20"/>
                <c:pt idx="0">
                  <c:v>BCE</c:v>
                </c:pt>
                <c:pt idx="1">
                  <c:v>Alphabet</c:v>
                </c:pt>
                <c:pt idx="2">
                  <c:v>Shaw</c:v>
                </c:pt>
                <c:pt idx="3">
                  <c:v>Rogers</c:v>
                </c:pt>
                <c:pt idx="4">
                  <c:v>Quebecor</c:v>
                </c:pt>
                <c:pt idx="5">
                  <c:v>Facebook</c:v>
                </c:pt>
                <c:pt idx="6">
                  <c:v>CBC</c:v>
                </c:pt>
                <c:pt idx="7">
                  <c:v>Postmedia</c:v>
                </c:pt>
                <c:pt idx="8">
                  <c:v>Torstar</c:v>
                </c:pt>
                <c:pt idx="9">
                  <c:v>Telus</c:v>
                </c:pt>
                <c:pt idx="10">
                  <c:v>Cogeco</c:v>
                </c:pt>
                <c:pt idx="11">
                  <c:v>Netflix</c:v>
                </c:pt>
                <c:pt idx="12">
                  <c:v>Apple</c:v>
                </c:pt>
                <c:pt idx="13">
                  <c:v>Microsoft</c:v>
                </c:pt>
                <c:pt idx="14">
                  <c:v>Live Nation</c:v>
                </c:pt>
                <c:pt idx="15">
                  <c:v>Transcontinental</c:v>
                </c:pt>
                <c:pt idx="16">
                  <c:v>Sirius XM</c:v>
                </c:pt>
                <c:pt idx="17">
                  <c:v>Activision Blizzard</c:v>
                </c:pt>
                <c:pt idx="18">
                  <c:v>Bragg Communications</c:v>
                </c:pt>
                <c:pt idx="19">
                  <c:v>Sony</c:v>
                </c:pt>
              </c:strCache>
            </c:strRef>
          </c:cat>
          <c:val>
            <c:numRef>
              <c:f>'Figure 81 Leading Content Cos'!$K$59:$K$78</c:f>
              <c:numCache>
                <c:formatCode>_(* #,##0.00_);_(* \(#,##0.00\);_(* "-"??_);_(@_)</c:formatCode>
                <c:ptCount val="20"/>
                <c:pt idx="0">
                  <c:v>68.89</c:v>
                </c:pt>
                <c:pt idx="1">
                  <c:v>3438.89</c:v>
                </c:pt>
                <c:pt idx="2">
                  <c:v>36.031657586179456</c:v>
                </c:pt>
                <c:pt idx="3">
                  <c:v>42.25</c:v>
                </c:pt>
                <c:pt idx="4">
                  <c:v>54.208993279828007</c:v>
                </c:pt>
                <c:pt idx="5">
                  <c:v>1750.1</c:v>
                </c:pt>
                <c:pt idx="6">
                  <c:v>36.6</c:v>
                </c:pt>
                <c:pt idx="7">
                  <c:v>61.27</c:v>
                </c:pt>
                <c:pt idx="8">
                  <c:v>128.5</c:v>
                </c:pt>
                <c:pt idx="13">
                  <c:v>153.41424000000001</c:v>
                </c:pt>
                <c:pt idx="15">
                  <c:v>26.5</c:v>
                </c:pt>
              </c:numCache>
            </c:numRef>
          </c:val>
          <c:extLst>
            <c:ext xmlns:c16="http://schemas.microsoft.com/office/drawing/2014/chart" uri="{C3380CC4-5D6E-409C-BE32-E72D297353CC}">
              <c16:uniqueId val="{00000009-DBCE-6747-B6E1-5B14D146A957}"/>
            </c:ext>
          </c:extLst>
        </c:ser>
        <c:dLbls>
          <c:showLegendKey val="0"/>
          <c:showVal val="0"/>
          <c:showCatName val="0"/>
          <c:showSerName val="0"/>
          <c:showPercent val="0"/>
          <c:showBubbleSize val="0"/>
        </c:dLbls>
        <c:gapWidth val="150"/>
        <c:overlap val="100"/>
        <c:axId val="1018403327"/>
        <c:axId val="1018394175"/>
      </c:barChart>
      <c:catAx>
        <c:axId val="10184033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1018394175"/>
        <c:crosses val="autoZero"/>
        <c:auto val="1"/>
        <c:lblAlgn val="ctr"/>
        <c:lblOffset val="100"/>
        <c:noMultiLvlLbl val="0"/>
      </c:catAx>
      <c:valAx>
        <c:axId val="1018394175"/>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8403327"/>
        <c:crosses val="autoZero"/>
        <c:crossBetween val="between"/>
      </c:valAx>
      <c:spPr>
        <a:noFill/>
        <a:ln>
          <a:noFill/>
        </a:ln>
        <a:effectLst/>
      </c:spPr>
    </c:plotArea>
    <c:legend>
      <c:legendPos val="b"/>
      <c:layout>
        <c:manualLayout>
          <c:xMode val="edge"/>
          <c:yMode val="edge"/>
          <c:x val="9.9625423592953413E-3"/>
          <c:y val="0.86784748483784735"/>
          <c:w val="0.97729418828746739"/>
          <c:h val="0.12167995775892834"/>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789971077513102E-2"/>
          <c:y val="2.7106717809171812E-2"/>
          <c:w val="0.93711282151578124"/>
          <c:h val="0.73868891189715191"/>
        </c:manualLayout>
      </c:layout>
      <c:barChart>
        <c:barDir val="col"/>
        <c:grouping val="stacked"/>
        <c:varyColors val="0"/>
        <c:ser>
          <c:idx val="0"/>
          <c:order val="0"/>
          <c:tx>
            <c:strRef>
              <c:f>'Figure 81 Leading Content Cos'!$B$58</c:f>
              <c:strCache>
                <c:ptCount val="1"/>
                <c:pt idx="0">
                  <c:v>Multichannel Video Distribution (Cable/DBS/IPTV)</c:v>
                </c:pt>
              </c:strCache>
            </c:strRef>
          </c:tx>
          <c:spPr>
            <a:solidFill>
              <a:schemeClr val="accent1"/>
            </a:solidFill>
            <a:ln>
              <a:noFill/>
            </a:ln>
            <a:effectLst/>
          </c:spPr>
          <c:invertIfNegative val="0"/>
          <c:cat>
            <c:strRef>
              <c:f>'Figure 81 Leading Content Cos'!$A$59:$A$71</c:f>
              <c:strCache>
                <c:ptCount val="13"/>
                <c:pt idx="0">
                  <c:v>BCE</c:v>
                </c:pt>
                <c:pt idx="1">
                  <c:v>Alphabet</c:v>
                </c:pt>
                <c:pt idx="2">
                  <c:v>Shaw</c:v>
                </c:pt>
                <c:pt idx="3">
                  <c:v>Rogers</c:v>
                </c:pt>
                <c:pt idx="4">
                  <c:v>Quebecor</c:v>
                </c:pt>
                <c:pt idx="5">
                  <c:v>Facebook</c:v>
                </c:pt>
                <c:pt idx="6">
                  <c:v>CBC</c:v>
                </c:pt>
                <c:pt idx="7">
                  <c:v>Postmedia</c:v>
                </c:pt>
                <c:pt idx="8">
                  <c:v>Torstar</c:v>
                </c:pt>
                <c:pt idx="9">
                  <c:v>Telus</c:v>
                </c:pt>
                <c:pt idx="10">
                  <c:v>Cogeco</c:v>
                </c:pt>
                <c:pt idx="11">
                  <c:v>Netflix</c:v>
                </c:pt>
                <c:pt idx="12">
                  <c:v>Apple</c:v>
                </c:pt>
              </c:strCache>
            </c:strRef>
          </c:cat>
          <c:val>
            <c:numRef>
              <c:f>'Figure 81 Leading Content Cos'!$B$59:$B$71</c:f>
              <c:numCache>
                <c:formatCode>_(* #,##0.00_);_(* \(#,##0.00\);_(* "-"??_);_(@_)</c:formatCode>
                <c:ptCount val="13"/>
                <c:pt idx="0">
                  <c:v>2492.4</c:v>
                </c:pt>
                <c:pt idx="2">
                  <c:v>1921.5</c:v>
                </c:pt>
                <c:pt idx="3">
                  <c:v>1501</c:v>
                </c:pt>
                <c:pt idx="4">
                  <c:v>1010</c:v>
                </c:pt>
                <c:pt idx="9">
                  <c:v>706.81299999999999</c:v>
                </c:pt>
                <c:pt idx="10">
                  <c:v>495.8</c:v>
                </c:pt>
              </c:numCache>
            </c:numRef>
          </c:val>
          <c:extLst>
            <c:ext xmlns:c16="http://schemas.microsoft.com/office/drawing/2014/chart" uri="{C3380CC4-5D6E-409C-BE32-E72D297353CC}">
              <c16:uniqueId val="{00000000-DAF2-164D-8582-DBDB4671DA83}"/>
            </c:ext>
          </c:extLst>
        </c:ser>
        <c:ser>
          <c:idx val="1"/>
          <c:order val="1"/>
          <c:tx>
            <c:strRef>
              <c:f>'Figure 81 Leading Content Cos'!$C$58</c:f>
              <c:strCache>
                <c:ptCount val="1"/>
                <c:pt idx="0">
                  <c:v>Broadcast TV</c:v>
                </c:pt>
              </c:strCache>
            </c:strRef>
          </c:tx>
          <c:spPr>
            <a:solidFill>
              <a:schemeClr val="accent2"/>
            </a:solidFill>
            <a:ln>
              <a:noFill/>
            </a:ln>
            <a:effectLst/>
          </c:spPr>
          <c:invertIfNegative val="0"/>
          <c:cat>
            <c:strRef>
              <c:f>'Figure 81 Leading Content Cos'!$A$59:$A$71</c:f>
              <c:strCache>
                <c:ptCount val="13"/>
                <c:pt idx="0">
                  <c:v>BCE</c:v>
                </c:pt>
                <c:pt idx="1">
                  <c:v>Alphabet</c:v>
                </c:pt>
                <c:pt idx="2">
                  <c:v>Shaw</c:v>
                </c:pt>
                <c:pt idx="3">
                  <c:v>Rogers</c:v>
                </c:pt>
                <c:pt idx="4">
                  <c:v>Quebecor</c:v>
                </c:pt>
                <c:pt idx="5">
                  <c:v>Facebook</c:v>
                </c:pt>
                <c:pt idx="6">
                  <c:v>CBC</c:v>
                </c:pt>
                <c:pt idx="7">
                  <c:v>Postmedia</c:v>
                </c:pt>
                <c:pt idx="8">
                  <c:v>Torstar</c:v>
                </c:pt>
                <c:pt idx="9">
                  <c:v>Telus</c:v>
                </c:pt>
                <c:pt idx="10">
                  <c:v>Cogeco</c:v>
                </c:pt>
                <c:pt idx="11">
                  <c:v>Netflix</c:v>
                </c:pt>
                <c:pt idx="12">
                  <c:v>Apple</c:v>
                </c:pt>
              </c:strCache>
            </c:strRef>
          </c:cat>
          <c:val>
            <c:numRef>
              <c:f>'Figure 81 Leading Content Cos'!$C$59:$C$71</c:f>
              <c:numCache>
                <c:formatCode>_(* #,##0.00_);_(* \(#,##0.00\);_(* "-"??_);_(@_)</c:formatCode>
                <c:ptCount val="13"/>
                <c:pt idx="0">
                  <c:v>675.4</c:v>
                </c:pt>
                <c:pt idx="2">
                  <c:v>345.6</c:v>
                </c:pt>
                <c:pt idx="3">
                  <c:v>205.5</c:v>
                </c:pt>
                <c:pt idx="4">
                  <c:v>219.2</c:v>
                </c:pt>
                <c:pt idx="6">
                  <c:v>996.2</c:v>
                </c:pt>
              </c:numCache>
            </c:numRef>
          </c:val>
          <c:extLst>
            <c:ext xmlns:c16="http://schemas.microsoft.com/office/drawing/2014/chart" uri="{C3380CC4-5D6E-409C-BE32-E72D297353CC}">
              <c16:uniqueId val="{00000001-DAF2-164D-8582-DBDB4671DA83}"/>
            </c:ext>
          </c:extLst>
        </c:ser>
        <c:ser>
          <c:idx val="2"/>
          <c:order val="2"/>
          <c:tx>
            <c:strRef>
              <c:f>'Figure 81 Leading Content Cos'!$D$58</c:f>
              <c:strCache>
                <c:ptCount val="1"/>
                <c:pt idx="0">
                  <c:v>Pay TV Programming Services</c:v>
                </c:pt>
              </c:strCache>
            </c:strRef>
          </c:tx>
          <c:spPr>
            <a:solidFill>
              <a:schemeClr val="accent3"/>
            </a:solidFill>
            <a:ln>
              <a:noFill/>
            </a:ln>
            <a:effectLst/>
          </c:spPr>
          <c:invertIfNegative val="0"/>
          <c:cat>
            <c:strRef>
              <c:f>'Figure 81 Leading Content Cos'!$A$59:$A$71</c:f>
              <c:strCache>
                <c:ptCount val="13"/>
                <c:pt idx="0">
                  <c:v>BCE</c:v>
                </c:pt>
                <c:pt idx="1">
                  <c:v>Alphabet</c:v>
                </c:pt>
                <c:pt idx="2">
                  <c:v>Shaw</c:v>
                </c:pt>
                <c:pt idx="3">
                  <c:v>Rogers</c:v>
                </c:pt>
                <c:pt idx="4">
                  <c:v>Quebecor</c:v>
                </c:pt>
                <c:pt idx="5">
                  <c:v>Facebook</c:v>
                </c:pt>
                <c:pt idx="6">
                  <c:v>CBC</c:v>
                </c:pt>
                <c:pt idx="7">
                  <c:v>Postmedia</c:v>
                </c:pt>
                <c:pt idx="8">
                  <c:v>Torstar</c:v>
                </c:pt>
                <c:pt idx="9">
                  <c:v>Telus</c:v>
                </c:pt>
                <c:pt idx="10">
                  <c:v>Cogeco</c:v>
                </c:pt>
                <c:pt idx="11">
                  <c:v>Netflix</c:v>
                </c:pt>
                <c:pt idx="12">
                  <c:v>Apple</c:v>
                </c:pt>
              </c:strCache>
            </c:strRef>
          </c:cat>
          <c:val>
            <c:numRef>
              <c:f>'Figure 81 Leading Content Cos'!$D$59:$D$71</c:f>
              <c:numCache>
                <c:formatCode>_(* #,##0.00_);_(* \(#,##0.00\);_(* "-"??_);_(@_)</c:formatCode>
                <c:ptCount val="13"/>
                <c:pt idx="0">
                  <c:v>1556.1489999999999</c:v>
                </c:pt>
                <c:pt idx="2">
                  <c:v>858.29</c:v>
                </c:pt>
                <c:pt idx="3">
                  <c:v>771.49199999999996</c:v>
                </c:pt>
                <c:pt idx="4">
                  <c:v>234.42</c:v>
                </c:pt>
                <c:pt idx="6">
                  <c:v>176.6</c:v>
                </c:pt>
                <c:pt idx="10">
                  <c:v>11</c:v>
                </c:pt>
              </c:numCache>
            </c:numRef>
          </c:val>
          <c:extLst>
            <c:ext xmlns:c16="http://schemas.microsoft.com/office/drawing/2014/chart" uri="{C3380CC4-5D6E-409C-BE32-E72D297353CC}">
              <c16:uniqueId val="{00000002-DAF2-164D-8582-DBDB4671DA83}"/>
            </c:ext>
          </c:extLst>
        </c:ser>
        <c:ser>
          <c:idx val="3"/>
          <c:order val="3"/>
          <c:tx>
            <c:strRef>
              <c:f>'Figure 81 Leading Content Cos'!$E$58</c:f>
              <c:strCache>
                <c:ptCount val="1"/>
                <c:pt idx="0">
                  <c:v>Online Video Services</c:v>
                </c:pt>
              </c:strCache>
            </c:strRef>
          </c:tx>
          <c:spPr>
            <a:solidFill>
              <a:schemeClr val="accent4"/>
            </a:solidFill>
            <a:ln>
              <a:noFill/>
            </a:ln>
            <a:effectLst/>
          </c:spPr>
          <c:invertIfNegative val="0"/>
          <c:cat>
            <c:strRef>
              <c:f>'Figure 81 Leading Content Cos'!$A$59:$A$71</c:f>
              <c:strCache>
                <c:ptCount val="13"/>
                <c:pt idx="0">
                  <c:v>BCE</c:v>
                </c:pt>
                <c:pt idx="1">
                  <c:v>Alphabet</c:v>
                </c:pt>
                <c:pt idx="2">
                  <c:v>Shaw</c:v>
                </c:pt>
                <c:pt idx="3">
                  <c:v>Rogers</c:v>
                </c:pt>
                <c:pt idx="4">
                  <c:v>Quebecor</c:v>
                </c:pt>
                <c:pt idx="5">
                  <c:v>Facebook</c:v>
                </c:pt>
                <c:pt idx="6">
                  <c:v>CBC</c:v>
                </c:pt>
                <c:pt idx="7">
                  <c:v>Postmedia</c:v>
                </c:pt>
                <c:pt idx="8">
                  <c:v>Torstar</c:v>
                </c:pt>
                <c:pt idx="9">
                  <c:v>Telus</c:v>
                </c:pt>
                <c:pt idx="10">
                  <c:v>Cogeco</c:v>
                </c:pt>
                <c:pt idx="11">
                  <c:v>Netflix</c:v>
                </c:pt>
                <c:pt idx="12">
                  <c:v>Apple</c:v>
                </c:pt>
              </c:strCache>
            </c:strRef>
          </c:cat>
          <c:val>
            <c:numRef>
              <c:f>'Figure 81 Leading Content Cos'!$E$59:$E$71</c:f>
              <c:numCache>
                <c:formatCode>_(* #,##0.00_);_(* \(#,##0.00\);_(* "-"??_);_(@_)</c:formatCode>
                <c:ptCount val="13"/>
                <c:pt idx="0">
                  <c:v>167.26</c:v>
                </c:pt>
                <c:pt idx="3">
                  <c:v>81.63</c:v>
                </c:pt>
                <c:pt idx="4">
                  <c:v>39.700000000000003</c:v>
                </c:pt>
                <c:pt idx="11">
                  <c:v>602.58900000000006</c:v>
                </c:pt>
                <c:pt idx="12">
                  <c:v>82.91</c:v>
                </c:pt>
              </c:numCache>
            </c:numRef>
          </c:val>
          <c:extLst>
            <c:ext xmlns:c16="http://schemas.microsoft.com/office/drawing/2014/chart" uri="{C3380CC4-5D6E-409C-BE32-E72D297353CC}">
              <c16:uniqueId val="{00000003-DAF2-164D-8582-DBDB4671DA83}"/>
            </c:ext>
          </c:extLst>
        </c:ser>
        <c:ser>
          <c:idx val="4"/>
          <c:order val="4"/>
          <c:tx>
            <c:strRef>
              <c:f>'Figure 81 Leading Content Cos'!$F$58</c:f>
              <c:strCache>
                <c:ptCount val="1"/>
                <c:pt idx="0">
                  <c:v>Digital Games</c:v>
                </c:pt>
              </c:strCache>
            </c:strRef>
          </c:tx>
          <c:spPr>
            <a:solidFill>
              <a:schemeClr val="accent5"/>
            </a:solidFill>
            <a:ln>
              <a:noFill/>
            </a:ln>
            <a:effectLst/>
          </c:spPr>
          <c:invertIfNegative val="0"/>
          <c:cat>
            <c:strRef>
              <c:f>'Figure 81 Leading Content Cos'!$A$59:$A$71</c:f>
              <c:strCache>
                <c:ptCount val="13"/>
                <c:pt idx="0">
                  <c:v>BCE</c:v>
                </c:pt>
                <c:pt idx="1">
                  <c:v>Alphabet</c:v>
                </c:pt>
                <c:pt idx="2">
                  <c:v>Shaw</c:v>
                </c:pt>
                <c:pt idx="3">
                  <c:v>Rogers</c:v>
                </c:pt>
                <c:pt idx="4">
                  <c:v>Quebecor</c:v>
                </c:pt>
                <c:pt idx="5">
                  <c:v>Facebook</c:v>
                </c:pt>
                <c:pt idx="6">
                  <c:v>CBC</c:v>
                </c:pt>
                <c:pt idx="7">
                  <c:v>Postmedia</c:v>
                </c:pt>
                <c:pt idx="8">
                  <c:v>Torstar</c:v>
                </c:pt>
                <c:pt idx="9">
                  <c:v>Telus</c:v>
                </c:pt>
                <c:pt idx="10">
                  <c:v>Cogeco</c:v>
                </c:pt>
                <c:pt idx="11">
                  <c:v>Netflix</c:v>
                </c:pt>
                <c:pt idx="12">
                  <c:v>Apple</c:v>
                </c:pt>
              </c:strCache>
            </c:strRef>
          </c:cat>
          <c:val>
            <c:numRef>
              <c:f>'Figure 81 Leading Content Cos'!$F$59:$F$71</c:f>
              <c:numCache>
                <c:formatCode>_(* #,##0.00_);_(* \(#,##0.00\);_(* "-"??_);_(@_)</c:formatCode>
                <c:ptCount val="13"/>
                <c:pt idx="1">
                  <c:v>122.23</c:v>
                </c:pt>
                <c:pt idx="12">
                  <c:v>312.10922635199995</c:v>
                </c:pt>
              </c:numCache>
            </c:numRef>
          </c:val>
          <c:extLst>
            <c:ext xmlns:c16="http://schemas.microsoft.com/office/drawing/2014/chart" uri="{C3380CC4-5D6E-409C-BE32-E72D297353CC}">
              <c16:uniqueId val="{00000004-DAF2-164D-8582-DBDB4671DA83}"/>
            </c:ext>
          </c:extLst>
        </c:ser>
        <c:ser>
          <c:idx val="5"/>
          <c:order val="5"/>
          <c:tx>
            <c:strRef>
              <c:f>'Figure 81 Leading Content Cos'!$G$58</c:f>
              <c:strCache>
                <c:ptCount val="1"/>
                <c:pt idx="0">
                  <c:v>Broadcast Radio</c:v>
                </c:pt>
              </c:strCache>
            </c:strRef>
          </c:tx>
          <c:spPr>
            <a:solidFill>
              <a:schemeClr val="accent6"/>
            </a:solidFill>
            <a:ln>
              <a:noFill/>
            </a:ln>
            <a:effectLst/>
          </c:spPr>
          <c:invertIfNegative val="0"/>
          <c:cat>
            <c:strRef>
              <c:f>'Figure 81 Leading Content Cos'!$A$59:$A$71</c:f>
              <c:strCache>
                <c:ptCount val="13"/>
                <c:pt idx="0">
                  <c:v>BCE</c:v>
                </c:pt>
                <c:pt idx="1">
                  <c:v>Alphabet</c:v>
                </c:pt>
                <c:pt idx="2">
                  <c:v>Shaw</c:v>
                </c:pt>
                <c:pt idx="3">
                  <c:v>Rogers</c:v>
                </c:pt>
                <c:pt idx="4">
                  <c:v>Quebecor</c:v>
                </c:pt>
                <c:pt idx="5">
                  <c:v>Facebook</c:v>
                </c:pt>
                <c:pt idx="6">
                  <c:v>CBC</c:v>
                </c:pt>
                <c:pt idx="7">
                  <c:v>Postmedia</c:v>
                </c:pt>
                <c:pt idx="8">
                  <c:v>Torstar</c:v>
                </c:pt>
                <c:pt idx="9">
                  <c:v>Telus</c:v>
                </c:pt>
                <c:pt idx="10">
                  <c:v>Cogeco</c:v>
                </c:pt>
                <c:pt idx="11">
                  <c:v>Netflix</c:v>
                </c:pt>
                <c:pt idx="12">
                  <c:v>Apple</c:v>
                </c:pt>
              </c:strCache>
            </c:strRef>
          </c:cat>
          <c:val>
            <c:numRef>
              <c:f>'Figure 81 Leading Content Cos'!$G$59:$G$71</c:f>
              <c:numCache>
                <c:formatCode>_(* #,##0.00_);_(* \(#,##0.00\);_(* "-"??_);_(@_)</c:formatCode>
                <c:ptCount val="13"/>
                <c:pt idx="0">
                  <c:v>372.6</c:v>
                </c:pt>
                <c:pt idx="2">
                  <c:v>149.19999999999999</c:v>
                </c:pt>
                <c:pt idx="3">
                  <c:v>219.6</c:v>
                </c:pt>
                <c:pt idx="6">
                  <c:v>314.8</c:v>
                </c:pt>
                <c:pt idx="10">
                  <c:v>104.7</c:v>
                </c:pt>
              </c:numCache>
            </c:numRef>
          </c:val>
          <c:extLst>
            <c:ext xmlns:c16="http://schemas.microsoft.com/office/drawing/2014/chart" uri="{C3380CC4-5D6E-409C-BE32-E72D297353CC}">
              <c16:uniqueId val="{00000005-DAF2-164D-8582-DBDB4671DA83}"/>
            </c:ext>
          </c:extLst>
        </c:ser>
        <c:ser>
          <c:idx val="6"/>
          <c:order val="6"/>
          <c:tx>
            <c:strRef>
              <c:f>'Figure 81 Leading Content Cos'!$H$58</c:f>
              <c:strCache>
                <c:ptCount val="1"/>
                <c:pt idx="0">
                  <c:v>Music Services</c:v>
                </c:pt>
              </c:strCache>
            </c:strRef>
          </c:tx>
          <c:spPr>
            <a:solidFill>
              <a:schemeClr val="accent1">
                <a:lumMod val="60000"/>
              </a:schemeClr>
            </a:solidFill>
            <a:ln>
              <a:noFill/>
            </a:ln>
            <a:effectLst/>
          </c:spPr>
          <c:invertIfNegative val="0"/>
          <c:cat>
            <c:strRef>
              <c:f>'Figure 81 Leading Content Cos'!$A$59:$A$71</c:f>
              <c:strCache>
                <c:ptCount val="13"/>
                <c:pt idx="0">
                  <c:v>BCE</c:v>
                </c:pt>
                <c:pt idx="1">
                  <c:v>Alphabet</c:v>
                </c:pt>
                <c:pt idx="2">
                  <c:v>Shaw</c:v>
                </c:pt>
                <c:pt idx="3">
                  <c:v>Rogers</c:v>
                </c:pt>
                <c:pt idx="4">
                  <c:v>Quebecor</c:v>
                </c:pt>
                <c:pt idx="5">
                  <c:v>Facebook</c:v>
                </c:pt>
                <c:pt idx="6">
                  <c:v>CBC</c:v>
                </c:pt>
                <c:pt idx="7">
                  <c:v>Postmedia</c:v>
                </c:pt>
                <c:pt idx="8">
                  <c:v>Torstar</c:v>
                </c:pt>
                <c:pt idx="9">
                  <c:v>Telus</c:v>
                </c:pt>
                <c:pt idx="10">
                  <c:v>Cogeco</c:v>
                </c:pt>
                <c:pt idx="11">
                  <c:v>Netflix</c:v>
                </c:pt>
                <c:pt idx="12">
                  <c:v>Apple</c:v>
                </c:pt>
              </c:strCache>
            </c:strRef>
          </c:cat>
          <c:val>
            <c:numRef>
              <c:f>'Figure 81 Leading Content Cos'!$H$59:$H$71</c:f>
              <c:numCache>
                <c:formatCode>_(* #,##0.00_);_(* \(#,##0.00\);_(* "-"??_);_(@_)</c:formatCode>
                <c:ptCount val="13"/>
                <c:pt idx="1">
                  <c:v>19.13</c:v>
                </c:pt>
                <c:pt idx="12">
                  <c:v>47.168880204236444</c:v>
                </c:pt>
              </c:numCache>
            </c:numRef>
          </c:val>
          <c:extLst>
            <c:ext xmlns:c16="http://schemas.microsoft.com/office/drawing/2014/chart" uri="{C3380CC4-5D6E-409C-BE32-E72D297353CC}">
              <c16:uniqueId val="{00000006-DAF2-164D-8582-DBDB4671DA83}"/>
            </c:ext>
          </c:extLst>
        </c:ser>
        <c:ser>
          <c:idx val="7"/>
          <c:order val="7"/>
          <c:tx>
            <c:strRef>
              <c:f>'Figure 81 Leading Content Cos'!$I$58</c:f>
              <c:strCache>
                <c:ptCount val="1"/>
                <c:pt idx="0">
                  <c:v>Newspapers</c:v>
                </c:pt>
              </c:strCache>
            </c:strRef>
          </c:tx>
          <c:spPr>
            <a:solidFill>
              <a:schemeClr val="accent2">
                <a:lumMod val="60000"/>
              </a:schemeClr>
            </a:solidFill>
            <a:ln>
              <a:noFill/>
            </a:ln>
            <a:effectLst/>
          </c:spPr>
          <c:invertIfNegative val="0"/>
          <c:cat>
            <c:strRef>
              <c:f>'Figure 81 Leading Content Cos'!$A$59:$A$71</c:f>
              <c:strCache>
                <c:ptCount val="13"/>
                <c:pt idx="0">
                  <c:v>BCE</c:v>
                </c:pt>
                <c:pt idx="1">
                  <c:v>Alphabet</c:v>
                </c:pt>
                <c:pt idx="2">
                  <c:v>Shaw</c:v>
                </c:pt>
                <c:pt idx="3">
                  <c:v>Rogers</c:v>
                </c:pt>
                <c:pt idx="4">
                  <c:v>Quebecor</c:v>
                </c:pt>
                <c:pt idx="5">
                  <c:v>Facebook</c:v>
                </c:pt>
                <c:pt idx="6">
                  <c:v>CBC</c:v>
                </c:pt>
                <c:pt idx="7">
                  <c:v>Postmedia</c:v>
                </c:pt>
                <c:pt idx="8">
                  <c:v>Torstar</c:v>
                </c:pt>
                <c:pt idx="9">
                  <c:v>Telus</c:v>
                </c:pt>
                <c:pt idx="10">
                  <c:v>Cogeco</c:v>
                </c:pt>
                <c:pt idx="11">
                  <c:v>Netflix</c:v>
                </c:pt>
                <c:pt idx="12">
                  <c:v>Apple</c:v>
                </c:pt>
              </c:strCache>
            </c:strRef>
          </c:cat>
          <c:val>
            <c:numRef>
              <c:f>'Figure 81 Leading Content Cos'!$I$59:$I$71</c:f>
              <c:numCache>
                <c:formatCode>_(* #,##0.00_);_(* \(#,##0.00\);_(* "-"??_);_(@_)</c:formatCode>
                <c:ptCount val="13"/>
                <c:pt idx="4">
                  <c:v>183.5</c:v>
                </c:pt>
                <c:pt idx="7">
                  <c:v>754.3</c:v>
                </c:pt>
                <c:pt idx="8">
                  <c:v>619.29999999999995</c:v>
                </c:pt>
              </c:numCache>
            </c:numRef>
          </c:val>
          <c:extLst>
            <c:ext xmlns:c16="http://schemas.microsoft.com/office/drawing/2014/chart" uri="{C3380CC4-5D6E-409C-BE32-E72D297353CC}">
              <c16:uniqueId val="{00000007-DAF2-164D-8582-DBDB4671DA83}"/>
            </c:ext>
          </c:extLst>
        </c:ser>
        <c:ser>
          <c:idx val="8"/>
          <c:order val="8"/>
          <c:tx>
            <c:strRef>
              <c:f>'Figure 81 Leading Content Cos'!$J$58</c:f>
              <c:strCache>
                <c:ptCount val="1"/>
                <c:pt idx="0">
                  <c:v>Magazines</c:v>
                </c:pt>
              </c:strCache>
            </c:strRef>
          </c:tx>
          <c:spPr>
            <a:solidFill>
              <a:schemeClr val="accent3">
                <a:lumMod val="60000"/>
              </a:schemeClr>
            </a:solidFill>
            <a:ln>
              <a:noFill/>
            </a:ln>
            <a:effectLst/>
          </c:spPr>
          <c:invertIfNegative val="0"/>
          <c:cat>
            <c:strRef>
              <c:f>'Figure 81 Leading Content Cos'!$A$59:$A$71</c:f>
              <c:strCache>
                <c:ptCount val="13"/>
                <c:pt idx="0">
                  <c:v>BCE</c:v>
                </c:pt>
                <c:pt idx="1">
                  <c:v>Alphabet</c:v>
                </c:pt>
                <c:pt idx="2">
                  <c:v>Shaw</c:v>
                </c:pt>
                <c:pt idx="3">
                  <c:v>Rogers</c:v>
                </c:pt>
                <c:pt idx="4">
                  <c:v>Quebecor</c:v>
                </c:pt>
                <c:pt idx="5">
                  <c:v>Facebook</c:v>
                </c:pt>
                <c:pt idx="6">
                  <c:v>CBC</c:v>
                </c:pt>
                <c:pt idx="7">
                  <c:v>Postmedia</c:v>
                </c:pt>
                <c:pt idx="8">
                  <c:v>Torstar</c:v>
                </c:pt>
                <c:pt idx="9">
                  <c:v>Telus</c:v>
                </c:pt>
                <c:pt idx="10">
                  <c:v>Cogeco</c:v>
                </c:pt>
                <c:pt idx="11">
                  <c:v>Netflix</c:v>
                </c:pt>
                <c:pt idx="12">
                  <c:v>Apple</c:v>
                </c:pt>
              </c:strCache>
            </c:strRef>
          </c:cat>
          <c:val>
            <c:numRef>
              <c:f>'Figure 81 Leading Content Cos'!$J$59:$J$71</c:f>
              <c:numCache>
                <c:formatCode>_(* #,##0.00_);_(* \(#,##0.00\);_(* "-"??_);_(@_)</c:formatCode>
                <c:ptCount val="13"/>
                <c:pt idx="0">
                  <c:v>6.6235211058263994</c:v>
                </c:pt>
                <c:pt idx="3">
                  <c:v>110</c:v>
                </c:pt>
                <c:pt idx="4">
                  <c:v>94.58</c:v>
                </c:pt>
                <c:pt idx="7">
                  <c:v>2.6071306480380505</c:v>
                </c:pt>
              </c:numCache>
            </c:numRef>
          </c:val>
          <c:extLst>
            <c:ext xmlns:c16="http://schemas.microsoft.com/office/drawing/2014/chart" uri="{C3380CC4-5D6E-409C-BE32-E72D297353CC}">
              <c16:uniqueId val="{00000008-DAF2-164D-8582-DBDB4671DA83}"/>
            </c:ext>
          </c:extLst>
        </c:ser>
        <c:ser>
          <c:idx val="9"/>
          <c:order val="9"/>
          <c:tx>
            <c:strRef>
              <c:f>'Figure 81 Leading Content Cos'!$K$58</c:f>
              <c:strCache>
                <c:ptCount val="1"/>
                <c:pt idx="0">
                  <c:v>Internet Advertising</c:v>
                </c:pt>
              </c:strCache>
            </c:strRef>
          </c:tx>
          <c:spPr>
            <a:solidFill>
              <a:schemeClr val="accent4">
                <a:lumMod val="60000"/>
              </a:schemeClr>
            </a:solidFill>
            <a:ln>
              <a:noFill/>
            </a:ln>
            <a:effectLst/>
          </c:spPr>
          <c:invertIfNegative val="0"/>
          <c:cat>
            <c:strRef>
              <c:f>'Figure 81 Leading Content Cos'!$A$59:$A$71</c:f>
              <c:strCache>
                <c:ptCount val="13"/>
                <c:pt idx="0">
                  <c:v>BCE</c:v>
                </c:pt>
                <c:pt idx="1">
                  <c:v>Alphabet</c:v>
                </c:pt>
                <c:pt idx="2">
                  <c:v>Shaw</c:v>
                </c:pt>
                <c:pt idx="3">
                  <c:v>Rogers</c:v>
                </c:pt>
                <c:pt idx="4">
                  <c:v>Quebecor</c:v>
                </c:pt>
                <c:pt idx="5">
                  <c:v>Facebook</c:v>
                </c:pt>
                <c:pt idx="6">
                  <c:v>CBC</c:v>
                </c:pt>
                <c:pt idx="7">
                  <c:v>Postmedia</c:v>
                </c:pt>
                <c:pt idx="8">
                  <c:v>Torstar</c:v>
                </c:pt>
                <c:pt idx="9">
                  <c:v>Telus</c:v>
                </c:pt>
                <c:pt idx="10">
                  <c:v>Cogeco</c:v>
                </c:pt>
                <c:pt idx="11">
                  <c:v>Netflix</c:v>
                </c:pt>
                <c:pt idx="12">
                  <c:v>Apple</c:v>
                </c:pt>
              </c:strCache>
            </c:strRef>
          </c:cat>
          <c:val>
            <c:numRef>
              <c:f>'Figure 81 Leading Content Cos'!$K$59:$K$71</c:f>
              <c:numCache>
                <c:formatCode>_(* #,##0.00_);_(* \(#,##0.00\);_(* "-"??_);_(@_)</c:formatCode>
                <c:ptCount val="13"/>
                <c:pt idx="0">
                  <c:v>68.89</c:v>
                </c:pt>
                <c:pt idx="1">
                  <c:v>3438.89</c:v>
                </c:pt>
                <c:pt idx="2">
                  <c:v>36.031657586179456</c:v>
                </c:pt>
                <c:pt idx="3">
                  <c:v>42.25</c:v>
                </c:pt>
                <c:pt idx="4">
                  <c:v>54.208993279828007</c:v>
                </c:pt>
                <c:pt idx="5">
                  <c:v>1750.1</c:v>
                </c:pt>
                <c:pt idx="6">
                  <c:v>36.6</c:v>
                </c:pt>
                <c:pt idx="7">
                  <c:v>61.27</c:v>
                </c:pt>
                <c:pt idx="8">
                  <c:v>128.5</c:v>
                </c:pt>
              </c:numCache>
            </c:numRef>
          </c:val>
          <c:extLst>
            <c:ext xmlns:c16="http://schemas.microsoft.com/office/drawing/2014/chart" uri="{C3380CC4-5D6E-409C-BE32-E72D297353CC}">
              <c16:uniqueId val="{00000009-DAF2-164D-8582-DBDB4671DA83}"/>
            </c:ext>
          </c:extLst>
        </c:ser>
        <c:dLbls>
          <c:showLegendKey val="0"/>
          <c:showVal val="0"/>
          <c:showCatName val="0"/>
          <c:showSerName val="0"/>
          <c:showPercent val="0"/>
          <c:showBubbleSize val="0"/>
        </c:dLbls>
        <c:gapWidth val="150"/>
        <c:overlap val="100"/>
        <c:axId val="1018421631"/>
        <c:axId val="1018409567"/>
      </c:barChart>
      <c:catAx>
        <c:axId val="1018421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1018409567"/>
        <c:crosses val="autoZero"/>
        <c:auto val="1"/>
        <c:lblAlgn val="ctr"/>
        <c:lblOffset val="100"/>
        <c:noMultiLvlLbl val="0"/>
      </c:catAx>
      <c:valAx>
        <c:axId val="1018409567"/>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1018421631"/>
        <c:crosses val="autoZero"/>
        <c:crossBetween val="between"/>
      </c:valAx>
      <c:spPr>
        <a:noFill/>
        <a:ln>
          <a:noFill/>
        </a:ln>
        <a:effectLst/>
      </c:spPr>
    </c:plotArea>
    <c:legend>
      <c:legendPos val="b"/>
      <c:layout>
        <c:manualLayout>
          <c:xMode val="edge"/>
          <c:yMode val="edge"/>
          <c:x val="2.8584330146556407E-2"/>
          <c:y val="0.86200099966936405"/>
          <c:w val="0.95373131622258744"/>
          <c:h val="0.1232135178892695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Complaints under Pay Television Regulations (1990), Broadcasting Distribution Regulations (1998), the Vertical Integration Code (2011), the New Media Exemption Order (2009), Digital Media Exemption Order (2012, revised in 2015), and Wholesale Code (2015)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cat>
            <c:numRef>
              <c:f>'Pay TV ownership groups'!$G$13:$AF$13</c:f>
              <c:numCache>
                <c:formatCode>General</c:formatCode>
                <c:ptCount val="26"/>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c:v>2022</c:v>
                </c:pt>
                <c:pt idx="25">
                  <c:v>2023</c:v>
                </c:pt>
              </c:numCache>
            </c:numRef>
          </c:cat>
          <c:val>
            <c:numRef>
              <c:f>'Pay TV ownership groups'!$G$14:$AF$14</c:f>
              <c:numCache>
                <c:formatCode>General</c:formatCode>
                <c:ptCount val="26"/>
                <c:pt idx="2">
                  <c:v>6</c:v>
                </c:pt>
                <c:pt idx="3">
                  <c:v>2</c:v>
                </c:pt>
                <c:pt idx="4">
                  <c:v>3</c:v>
                </c:pt>
                <c:pt idx="5">
                  <c:v>5</c:v>
                </c:pt>
                <c:pt idx="6">
                  <c:v>5</c:v>
                </c:pt>
                <c:pt idx="7">
                  <c:v>2</c:v>
                </c:pt>
                <c:pt idx="8">
                  <c:v>1</c:v>
                </c:pt>
                <c:pt idx="9">
                  <c:v>4</c:v>
                </c:pt>
                <c:pt idx="10">
                  <c:v>3</c:v>
                </c:pt>
                <c:pt idx="11">
                  <c:v>2</c:v>
                </c:pt>
                <c:pt idx="12">
                  <c:v>0</c:v>
                </c:pt>
                <c:pt idx="13">
                  <c:v>3</c:v>
                </c:pt>
                <c:pt idx="14">
                  <c:v>3</c:v>
                </c:pt>
                <c:pt idx="15">
                  <c:v>1</c:v>
                </c:pt>
                <c:pt idx="16">
                  <c:v>1</c:v>
                </c:pt>
                <c:pt idx="17">
                  <c:v>2</c:v>
                </c:pt>
                <c:pt idx="18">
                  <c:v>2</c:v>
                </c:pt>
                <c:pt idx="19">
                  <c:v>0</c:v>
                </c:pt>
                <c:pt idx="20">
                  <c:v>1</c:v>
                </c:pt>
                <c:pt idx="21">
                  <c:v>3</c:v>
                </c:pt>
                <c:pt idx="22">
                  <c:v>2</c:v>
                </c:pt>
                <c:pt idx="23">
                  <c:v>2</c:v>
                </c:pt>
                <c:pt idx="24">
                  <c:v>4</c:v>
                </c:pt>
                <c:pt idx="25">
                  <c:v>3</c:v>
                </c:pt>
              </c:numCache>
            </c:numRef>
          </c:val>
          <c:smooth val="0"/>
          <c:extLst>
            <c:ext xmlns:c16="http://schemas.microsoft.com/office/drawing/2014/chart" uri="{C3380CC4-5D6E-409C-BE32-E72D297353CC}">
              <c16:uniqueId val="{00000000-7082-BB40-B248-F4FB9C73BB30}"/>
            </c:ext>
          </c:extLst>
        </c:ser>
        <c:dLbls>
          <c:showLegendKey val="0"/>
          <c:showVal val="0"/>
          <c:showCatName val="0"/>
          <c:showSerName val="0"/>
          <c:showPercent val="0"/>
          <c:showBubbleSize val="0"/>
        </c:dLbls>
        <c:smooth val="0"/>
        <c:axId val="543497136"/>
        <c:axId val="543498848"/>
      </c:lineChart>
      <c:catAx>
        <c:axId val="543497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498848"/>
        <c:crosses val="autoZero"/>
        <c:auto val="1"/>
        <c:lblAlgn val="ctr"/>
        <c:lblOffset val="100"/>
        <c:noMultiLvlLbl val="0"/>
      </c:catAx>
      <c:valAx>
        <c:axId val="5434988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4971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image" Target="../media/image3.emf"/></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0</xdr:col>
      <xdr:colOff>114300</xdr:colOff>
      <xdr:row>2</xdr:row>
      <xdr:rowOff>50800</xdr:rowOff>
    </xdr:from>
    <xdr:to>
      <xdr:col>7</xdr:col>
      <xdr:colOff>520700</xdr:colOff>
      <xdr:row>13</xdr:row>
      <xdr:rowOff>88900</xdr:rowOff>
    </xdr:to>
    <xdr:pic>
      <xdr:nvPicPr>
        <xdr:cNvPr id="314369" name="Picture 1">
          <a:extLst>
            <a:ext uri="{FF2B5EF4-FFF2-40B4-BE49-F238E27FC236}">
              <a16:creationId xmlns:a16="http://schemas.microsoft.com/office/drawing/2014/main" id="{2B1ACDF6-01D5-A857-249C-06396C98BD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457200"/>
          <a:ext cx="6273800" cy="2273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139700</xdr:colOff>
      <xdr:row>2</xdr:row>
      <xdr:rowOff>63500</xdr:rowOff>
    </xdr:from>
    <xdr:to>
      <xdr:col>9</xdr:col>
      <xdr:colOff>368300</xdr:colOff>
      <xdr:row>21</xdr:row>
      <xdr:rowOff>182945</xdr:rowOff>
    </xdr:to>
    <xdr:pic>
      <xdr:nvPicPr>
        <xdr:cNvPr id="5" name="Picture 4">
          <a:extLst>
            <a:ext uri="{FF2B5EF4-FFF2-40B4-BE49-F238E27FC236}">
              <a16:creationId xmlns:a16="http://schemas.microsoft.com/office/drawing/2014/main" id="{494ECB98-380E-9E8D-1021-C8A54BB00D51}"/>
            </a:ext>
          </a:extLst>
        </xdr:cNvPr>
        <xdr:cNvPicPr>
          <a:picLocks noChangeAspect="1"/>
        </xdr:cNvPicPr>
      </xdr:nvPicPr>
      <xdr:blipFill>
        <a:blip xmlns:r="http://schemas.openxmlformats.org/officeDocument/2006/relationships" r:embed="rId1"/>
        <a:stretch>
          <a:fillRect/>
        </a:stretch>
      </xdr:blipFill>
      <xdr:spPr>
        <a:xfrm>
          <a:off x="139700" y="520700"/>
          <a:ext cx="7772400" cy="398024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334642</xdr:colOff>
      <xdr:row>82</xdr:row>
      <xdr:rowOff>138662</xdr:rowOff>
    </xdr:from>
    <xdr:to>
      <xdr:col>23</xdr:col>
      <xdr:colOff>320428</xdr:colOff>
      <xdr:row>136</xdr:row>
      <xdr:rowOff>50916</xdr:rowOff>
    </xdr:to>
    <xdr:graphicFrame macro="">
      <xdr:nvGraphicFramePr>
        <xdr:cNvPr id="2" name="Chart 1">
          <a:extLst>
            <a:ext uri="{FF2B5EF4-FFF2-40B4-BE49-F238E27FC236}">
              <a16:creationId xmlns:a16="http://schemas.microsoft.com/office/drawing/2014/main" id="{0C867A26-EE3F-0143-B30B-6135DC9285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0.19065</cdr:x>
      <cdr:y>0.01373</cdr:y>
    </cdr:from>
    <cdr:to>
      <cdr:x>0.93271</cdr:x>
      <cdr:y>0.06751</cdr:y>
    </cdr:to>
    <cdr:sp macro="" textlink="">
      <cdr:nvSpPr>
        <cdr:cNvPr id="2" name="TextBox 1">
          <a:extLst xmlns:a="http://schemas.openxmlformats.org/drawingml/2006/main">
            <a:ext uri="{FF2B5EF4-FFF2-40B4-BE49-F238E27FC236}">
              <a16:creationId xmlns:a16="http://schemas.microsoft.com/office/drawing/2014/main" id="{FDD34DFA-495E-3FC5-C35F-5E328321EDF4}"/>
            </a:ext>
          </a:extLst>
        </cdr:cNvPr>
        <cdr:cNvSpPr txBox="1"/>
      </cdr:nvSpPr>
      <cdr:spPr>
        <a:xfrm xmlns:a="http://schemas.openxmlformats.org/drawingml/2006/main">
          <a:off x="2355271" y="138547"/>
          <a:ext cx="9167091" cy="54263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600" b="1"/>
            <a:t>Total Advertising Revenue Across All Media, Market Shares and Concentration Scores, 2017-2023 (Canada)</a:t>
          </a:r>
        </a:p>
      </cdr:txBody>
    </cdr:sp>
  </cdr:relSizeAnchor>
</c:userShapes>
</file>

<file path=xl/drawings/drawing5.xml><?xml version="1.0" encoding="utf-8"?>
<xdr:wsDr xmlns:xdr="http://schemas.openxmlformats.org/drawingml/2006/spreadsheetDrawing" xmlns:a="http://schemas.openxmlformats.org/drawingml/2006/main">
  <xdr:twoCellAnchor>
    <xdr:from>
      <xdr:col>115</xdr:col>
      <xdr:colOff>55562</xdr:colOff>
      <xdr:row>92</xdr:row>
      <xdr:rowOff>49212</xdr:rowOff>
    </xdr:from>
    <xdr:to>
      <xdr:col>128</xdr:col>
      <xdr:colOff>303212</xdr:colOff>
      <xdr:row>129</xdr:row>
      <xdr:rowOff>125412</xdr:rowOff>
    </xdr:to>
    <xdr:graphicFrame macro="">
      <xdr:nvGraphicFramePr>
        <xdr:cNvPr id="3" name="Chart 2">
          <a:extLst>
            <a:ext uri="{FF2B5EF4-FFF2-40B4-BE49-F238E27FC236}">
              <a16:creationId xmlns:a16="http://schemas.microsoft.com/office/drawing/2014/main" id="{62DEBC03-CDBC-9548-BCA7-3998DF72D1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oneCellAnchor>
    <xdr:from>
      <xdr:col>8</xdr:col>
      <xdr:colOff>0</xdr:colOff>
      <xdr:row>19</xdr:row>
      <xdr:rowOff>435429</xdr:rowOff>
    </xdr:from>
    <xdr:ext cx="10992589" cy="1231786"/>
    <xdr:pic>
      <xdr:nvPicPr>
        <xdr:cNvPr id="2" name="Picture 1">
          <a:extLst>
            <a:ext uri="{FF2B5EF4-FFF2-40B4-BE49-F238E27FC236}">
              <a16:creationId xmlns:a16="http://schemas.microsoft.com/office/drawing/2014/main" id="{7DD5CF0C-018B-7644-A55F-9F129ECD0CE8}"/>
            </a:ext>
          </a:extLst>
        </xdr:cNvPr>
        <xdr:cNvPicPr>
          <a:picLocks noChangeAspect="1"/>
        </xdr:cNvPicPr>
      </xdr:nvPicPr>
      <xdr:blipFill>
        <a:blip xmlns:r="http://schemas.openxmlformats.org/officeDocument/2006/relationships" r:embed="rId1"/>
        <a:stretch>
          <a:fillRect/>
        </a:stretch>
      </xdr:blipFill>
      <xdr:spPr>
        <a:xfrm>
          <a:off x="19470914" y="4270829"/>
          <a:ext cx="10992589" cy="1231786"/>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6</xdr:col>
      <xdr:colOff>106794</xdr:colOff>
      <xdr:row>11</xdr:row>
      <xdr:rowOff>214211</xdr:rowOff>
    </xdr:from>
    <xdr:to>
      <xdr:col>15</xdr:col>
      <xdr:colOff>380999</xdr:colOff>
      <xdr:row>36</xdr:row>
      <xdr:rowOff>178130</xdr:rowOff>
    </xdr:to>
    <xdr:pic>
      <xdr:nvPicPr>
        <xdr:cNvPr id="2" name="Picture 1" descr="A graph with different colored bars&#10;&#10;AI-generated content may be incorrect.">
          <a:extLst>
            <a:ext uri="{FF2B5EF4-FFF2-40B4-BE49-F238E27FC236}">
              <a16:creationId xmlns:a16="http://schemas.microsoft.com/office/drawing/2014/main" id="{8DB36733-4D16-37A4-B297-0B03E84EEF24}"/>
            </a:ext>
          </a:extLst>
        </xdr:cNvPr>
        <xdr:cNvPicPr>
          <a:picLocks noChangeAspect="1"/>
        </xdr:cNvPicPr>
      </xdr:nvPicPr>
      <xdr:blipFill>
        <a:blip xmlns:r="http://schemas.openxmlformats.org/officeDocument/2006/relationships" r:embed="rId1"/>
        <a:stretch>
          <a:fillRect/>
        </a:stretch>
      </xdr:blipFill>
      <xdr:spPr>
        <a:xfrm>
          <a:off x="9831365" y="4069568"/>
          <a:ext cx="10098563" cy="734806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46141</xdr:colOff>
      <xdr:row>139</xdr:row>
      <xdr:rowOff>136057</xdr:rowOff>
    </xdr:from>
    <xdr:to>
      <xdr:col>8</xdr:col>
      <xdr:colOff>124838</xdr:colOff>
      <xdr:row>167</xdr:row>
      <xdr:rowOff>235843</xdr:rowOff>
    </xdr:to>
    <xdr:graphicFrame macro="">
      <xdr:nvGraphicFramePr>
        <xdr:cNvPr id="4" name="Chart 3">
          <a:extLst>
            <a:ext uri="{FF2B5EF4-FFF2-40B4-BE49-F238E27FC236}">
              <a16:creationId xmlns:a16="http://schemas.microsoft.com/office/drawing/2014/main" id="{2A9D6625-6595-224C-AF4B-57AB342229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384202</xdr:colOff>
      <xdr:row>139</xdr:row>
      <xdr:rowOff>223596</xdr:rowOff>
    </xdr:from>
    <xdr:to>
      <xdr:col>22</xdr:col>
      <xdr:colOff>157416</xdr:colOff>
      <xdr:row>167</xdr:row>
      <xdr:rowOff>257161</xdr:rowOff>
    </xdr:to>
    <xdr:graphicFrame macro="">
      <xdr:nvGraphicFramePr>
        <xdr:cNvPr id="5" name="Chart 4">
          <a:extLst>
            <a:ext uri="{FF2B5EF4-FFF2-40B4-BE49-F238E27FC236}">
              <a16:creationId xmlns:a16="http://schemas.microsoft.com/office/drawing/2014/main" id="{A5DC24FE-2114-2847-8388-21C9CF8239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453024</xdr:colOff>
      <xdr:row>85</xdr:row>
      <xdr:rowOff>109375</xdr:rowOff>
    </xdr:from>
    <xdr:to>
      <xdr:col>9</xdr:col>
      <xdr:colOff>111526</xdr:colOff>
      <xdr:row>111</xdr:row>
      <xdr:rowOff>535</xdr:rowOff>
    </xdr:to>
    <xdr:graphicFrame macro="">
      <xdr:nvGraphicFramePr>
        <xdr:cNvPr id="6" name="Chart 5">
          <a:extLst>
            <a:ext uri="{FF2B5EF4-FFF2-40B4-BE49-F238E27FC236}">
              <a16:creationId xmlns:a16="http://schemas.microsoft.com/office/drawing/2014/main" id="{F474380E-358F-0440-81FC-BDD25AC861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761773</xdr:colOff>
      <xdr:row>85</xdr:row>
      <xdr:rowOff>79828</xdr:rowOff>
    </xdr:from>
    <xdr:to>
      <xdr:col>21</xdr:col>
      <xdr:colOff>46719</xdr:colOff>
      <xdr:row>111</xdr:row>
      <xdr:rowOff>44675</xdr:rowOff>
    </xdr:to>
    <xdr:graphicFrame macro="">
      <xdr:nvGraphicFramePr>
        <xdr:cNvPr id="7" name="Chart 6">
          <a:extLst>
            <a:ext uri="{FF2B5EF4-FFF2-40B4-BE49-F238E27FC236}">
              <a16:creationId xmlns:a16="http://schemas.microsoft.com/office/drawing/2014/main" id="{C9EA43BD-9A1D-9440-9FFE-AC6B80D8BE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11</xdr:col>
      <xdr:colOff>608541</xdr:colOff>
      <xdr:row>17</xdr:row>
      <xdr:rowOff>200025</xdr:rowOff>
    </xdr:from>
    <xdr:to>
      <xdr:col>22</xdr:col>
      <xdr:colOff>825500</xdr:colOff>
      <xdr:row>34</xdr:row>
      <xdr:rowOff>201083</xdr:rowOff>
    </xdr:to>
    <xdr:graphicFrame macro="">
      <xdr:nvGraphicFramePr>
        <xdr:cNvPr id="2" name="Chart 1">
          <a:extLst>
            <a:ext uri="{FF2B5EF4-FFF2-40B4-BE49-F238E27FC236}">
              <a16:creationId xmlns:a16="http://schemas.microsoft.com/office/drawing/2014/main" id="{86F75CEB-5297-C967-E900-BC3EFBA3702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persons/person.xml><?xml version="1.0" encoding="utf-8"?>
<personList xmlns="http://schemas.microsoft.com/office/spreadsheetml/2018/threadedcomments" xmlns:x="http://schemas.openxmlformats.org/spreadsheetml/2006/main">
  <person displayName="Xiaofei Han" id="{8D94153C-284A-5146-BE8F-F96FD8A7CDF8}" userId="S::XiaofeiHan@cmail.carleton.ca::770a97b2-6af0-48d5-a5ef-9057a36cc9c8" providerId="AD"/>
  <person displayName="Xiaofei Han" id="{EA290692-966B-474E-BA16-1A6EF0AC8989}" userId="S::xiaofeihan@cmail.carleton.ca::770a97b2-6af0-48d5-a5ef-9057a36cc9c8"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B65" dT="2023-07-31T21:53:25.97" personId="{8D94153C-284A-5146-BE8F-F96FD8A7CDF8}" id="{B17AEB0F-89CA-924E-B3D2-375C2C5953BA}">
    <text>BCE AR2022, p.17</text>
  </threadedComment>
  <threadedComment ref="B66" dT="2023-07-31T21:55:13.83" personId="{8D94153C-284A-5146-BE8F-F96FD8A7CDF8}" id="{28A8FDA1-52CA-C946-B887-5875DD12D9F5}">
    <text>Corus AR2022, p.15</text>
  </threadedComment>
  <threadedComment ref="B67" dT="2023-07-31T22:00:10.10" personId="{8D94153C-284A-5146-BE8F-F96FD8A7CDF8}" id="{F268187F-AADF-DB4C-A70B-C429CC40964A}">
    <text>Rogers AR2022, p.29
“23 TV stations and specialty channels” - 11 pay tv channels = 12</text>
  </threadedComment>
  <threadedComment ref="B68" dT="2023-07-31T22:06:08.18" personId="{8D94153C-284A-5146-BE8F-F96FD8A7CDF8}" id="{B1B0F992-099B-3440-A17C-5891BF0EBD18}">
    <text>Quebecor AR2022, p.16</text>
  </threadedComment>
  <threadedComment ref="B69" dT="2023-07-31T22:08:29.64" personId="{8D94153C-284A-5146-BE8F-F96FD8A7CDF8}" id="{9059739E-1A2B-A84E-AE8A-63FD08A41255}">
    <text>CBC AR2021-22, p.15</text>
  </threadedComment>
  <threadedComment ref="B75" dT="2022-10-17T16:51:52.61" personId="{EA290692-966B-474E-BA16-1A6EF0AC8989}" id="{79797AAE-A354-8843-878E-AA8B27157B62}">
    <text>AR2021 p.37</text>
  </threadedComment>
  <threadedComment ref="B76" dT="2022-10-17T17:06:06.68" personId="{EA290692-966B-474E-BA16-1A6EF0AC8989}" id="{43980333-7FCD-D347-882B-64560B763005}">
    <text>Corus AR2021, p.14</text>
  </threadedComment>
  <threadedComment ref="B77" dT="2022-10-17T17:10:38.24" personId="{EA290692-966B-474E-BA16-1A6EF0AC8989}" id="{96BAFDA6-2A66-F142-9348-497DCCF87B2A}">
    <text>CRTC Open Data: data-broadcasting-overview, table 6</text>
  </threadedComment>
  <threadedComment ref="B78" dT="2022-10-17T17:16:32.64" personId="{EA290692-966B-474E-BA16-1A6EF0AC8989}" id="{DD247173-4859-7843-875F-31FE800A4EC0}">
    <text>CRTC Open Data: data-broadcasting-overview, table 6</text>
  </threadedComment>
  <threadedComment ref="B79" dT="2022-10-17T17:19:22.28" personId="{EA290692-966B-474E-BA16-1A6EF0AC8989}" id="{70BE40D1-1A68-4E49-B3C5-1F4698EA44DB}">
    <text>CBC AR20-21,p.11</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4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3.xm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6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0.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0.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11.bin"/><Relationship Id="rId4" Type="http://schemas.openxmlformats.org/officeDocument/2006/relationships/comments" Target="../comments12.xml"/></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1.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9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drawing" Target="../drawings/drawing9.xml"/><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BEB67-CF7A-344A-ACD4-9384144DECE4}">
  <dimension ref="A1:A4"/>
  <sheetViews>
    <sheetView tabSelected="1" zoomScaleNormal="100" workbookViewId="0">
      <selection activeCell="A6" sqref="A6"/>
    </sheetView>
  </sheetViews>
  <sheetFormatPr baseColWidth="10" defaultColWidth="11" defaultRowHeight="16"/>
  <cols>
    <col min="1" max="1" width="81.83203125" customWidth="1"/>
    <col min="2" max="2" width="49.83203125" customWidth="1"/>
    <col min="3" max="3" width="37.1640625" customWidth="1"/>
  </cols>
  <sheetData>
    <row r="1" spans="1:1">
      <c r="A1" t="s">
        <v>0</v>
      </c>
    </row>
    <row r="2" spans="1:1" ht="34">
      <c r="A2" s="574" t="s">
        <v>1143</v>
      </c>
    </row>
    <row r="3" spans="1:1" ht="44" customHeight="1">
      <c r="A3" s="576" t="s">
        <v>1144</v>
      </c>
    </row>
    <row r="4" spans="1:1" ht="34">
      <c r="A4" s="575" t="s">
        <v>1142</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115D0-57BD-E442-91AC-917CEAE99FB8}">
  <dimension ref="A1:B13"/>
  <sheetViews>
    <sheetView zoomScale="140" zoomScaleNormal="140" workbookViewId="0">
      <selection sqref="A1:B1"/>
    </sheetView>
  </sheetViews>
  <sheetFormatPr baseColWidth="10" defaultColWidth="11" defaultRowHeight="16"/>
  <cols>
    <col min="1" max="1" width="31.6640625" customWidth="1"/>
    <col min="2" max="2" width="20.83203125" customWidth="1"/>
  </cols>
  <sheetData>
    <row r="1" spans="1:2" ht="37.25" customHeight="1">
      <c r="A1" s="630" t="s">
        <v>1009</v>
      </c>
      <c r="B1" s="630"/>
    </row>
    <row r="2" spans="1:2">
      <c r="A2" t="s">
        <v>138</v>
      </c>
      <c r="B2">
        <v>1404.3254930000001</v>
      </c>
    </row>
    <row r="3" spans="1:2">
      <c r="A3" t="s">
        <v>139</v>
      </c>
      <c r="B3">
        <v>177.768</v>
      </c>
    </row>
    <row r="4" spans="1:2">
      <c r="A4" t="s">
        <v>140</v>
      </c>
      <c r="B4">
        <v>106.574456</v>
      </c>
    </row>
    <row r="5" spans="1:2">
      <c r="A5" t="s">
        <v>141</v>
      </c>
      <c r="B5">
        <v>108.088435</v>
      </c>
    </row>
    <row r="6" spans="1:2">
      <c r="A6" t="s">
        <v>21</v>
      </c>
      <c r="B6">
        <v>112.226</v>
      </c>
    </row>
    <row r="7" spans="1:2">
      <c r="A7" t="s">
        <v>142</v>
      </c>
      <c r="B7">
        <v>114.7</v>
      </c>
    </row>
    <row r="8" spans="1:2">
      <c r="A8" t="s">
        <v>143</v>
      </c>
      <c r="B8">
        <v>199.88386754873284</v>
      </c>
    </row>
    <row r="9" spans="1:2">
      <c r="A9" t="s">
        <v>144</v>
      </c>
      <c r="B9">
        <v>37.380000000000003</v>
      </c>
    </row>
    <row r="10" spans="1:2">
      <c r="A10" t="s">
        <v>145</v>
      </c>
      <c r="B10">
        <f>SUM(B2:B9)</f>
        <v>2260.9462515487335</v>
      </c>
    </row>
    <row r="11" spans="1:2">
      <c r="A11" t="s">
        <v>146</v>
      </c>
      <c r="B11">
        <v>86430</v>
      </c>
    </row>
    <row r="12" spans="1:2">
      <c r="A12" t="s">
        <v>147</v>
      </c>
      <c r="B12">
        <f>B10/B11*100</f>
        <v>2.6159276310872772</v>
      </c>
    </row>
    <row r="13" spans="1:2">
      <c r="A13" t="s">
        <v>1147</v>
      </c>
    </row>
  </sheetData>
  <mergeCells count="1">
    <mergeCell ref="A1:B1"/>
  </mergeCells>
  <pageMargins left="0.7" right="0.7" top="0.75" bottom="0.75" header="0.3" footer="0.3"/>
  <pageSetup orientation="portrait" horizontalDpi="0" verticalDpi="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C4596-916C-C343-9A70-E259F9D041E7}">
  <dimension ref="A1:I34"/>
  <sheetViews>
    <sheetView zoomScale="69" zoomScaleNormal="120" workbookViewId="0">
      <selection activeCell="K13" sqref="K13"/>
    </sheetView>
  </sheetViews>
  <sheetFormatPr baseColWidth="10" defaultColWidth="11" defaultRowHeight="16"/>
  <cols>
    <col min="13" max="13" width="29.5" customWidth="1"/>
  </cols>
  <sheetData>
    <row r="1" spans="1:9">
      <c r="A1" s="627" t="s">
        <v>1011</v>
      </c>
      <c r="B1" s="627"/>
      <c r="C1" s="627"/>
      <c r="D1" s="627"/>
      <c r="E1" s="627"/>
      <c r="F1" s="627"/>
      <c r="G1" s="627"/>
      <c r="H1" s="627"/>
      <c r="I1" s="627"/>
    </row>
    <row r="2" spans="1:9">
      <c r="B2" t="s">
        <v>148</v>
      </c>
      <c r="C2" t="s">
        <v>80</v>
      </c>
      <c r="D2" t="s">
        <v>81</v>
      </c>
      <c r="E2" t="s">
        <v>84</v>
      </c>
      <c r="F2" t="s">
        <v>21</v>
      </c>
      <c r="G2" t="s">
        <v>28</v>
      </c>
    </row>
    <row r="3" spans="1:9">
      <c r="A3" t="s">
        <v>95</v>
      </c>
      <c r="C3">
        <v>810.91</v>
      </c>
      <c r="E3">
        <v>243</v>
      </c>
    </row>
    <row r="4" spans="1:9">
      <c r="A4" t="s">
        <v>149</v>
      </c>
      <c r="F4">
        <v>548.5</v>
      </c>
    </row>
    <row r="5" spans="1:9">
      <c r="A5" t="s">
        <v>150</v>
      </c>
      <c r="F5">
        <v>390.61200000000002</v>
      </c>
    </row>
    <row r="6" spans="1:9">
      <c r="A6" t="s">
        <v>151</v>
      </c>
      <c r="B6">
        <v>47.4</v>
      </c>
      <c r="C6">
        <v>34.750699999999995</v>
      </c>
      <c r="E6">
        <v>17.349300000000003</v>
      </c>
      <c r="F6">
        <v>153.69999999999999</v>
      </c>
      <c r="G6">
        <v>125.9</v>
      </c>
    </row>
    <row r="7" spans="1:9">
      <c r="A7" t="s">
        <v>152</v>
      </c>
      <c r="F7">
        <v>315.47031579968257</v>
      </c>
    </row>
    <row r="8" spans="1:9">
      <c r="A8" t="s">
        <v>89</v>
      </c>
      <c r="B8">
        <v>181.4</v>
      </c>
      <c r="C8">
        <v>15.7</v>
      </c>
      <c r="D8">
        <v>93.1</v>
      </c>
      <c r="E8">
        <v>23</v>
      </c>
    </row>
    <row r="9" spans="1:9">
      <c r="A9" t="s">
        <v>92</v>
      </c>
      <c r="F9">
        <v>150.73050000000001</v>
      </c>
      <c r="G9">
        <v>36</v>
      </c>
    </row>
    <row r="10" spans="1:9">
      <c r="A10" t="s">
        <v>153</v>
      </c>
      <c r="C10">
        <v>147.744</v>
      </c>
    </row>
    <row r="11" spans="1:9">
      <c r="A11" t="s">
        <v>154</v>
      </c>
      <c r="F11">
        <v>127.02000000000001</v>
      </c>
    </row>
    <row r="12" spans="1:9">
      <c r="A12" t="s">
        <v>155</v>
      </c>
      <c r="E12">
        <v>22.8</v>
      </c>
      <c r="G12">
        <v>102</v>
      </c>
    </row>
    <row r="13" spans="1:9">
      <c r="A13" t="s">
        <v>156</v>
      </c>
      <c r="B13">
        <v>20.9</v>
      </c>
      <c r="C13">
        <v>69.900000000000006</v>
      </c>
      <c r="E13">
        <v>24.2</v>
      </c>
    </row>
    <row r="14" spans="1:9">
      <c r="A14" t="s">
        <v>157</v>
      </c>
      <c r="C14">
        <v>73.900000000000006</v>
      </c>
      <c r="E14">
        <v>30.2</v>
      </c>
    </row>
    <row r="15" spans="1:9">
      <c r="A15" t="s">
        <v>158</v>
      </c>
      <c r="C15">
        <v>89.3</v>
      </c>
    </row>
    <row r="16" spans="1:9">
      <c r="A16" t="s">
        <v>159</v>
      </c>
      <c r="C16">
        <v>84.8</v>
      </c>
    </row>
    <row r="17" spans="1:8">
      <c r="A17" t="s">
        <v>160</v>
      </c>
      <c r="C17">
        <v>58.4</v>
      </c>
      <c r="E17">
        <v>23.9</v>
      </c>
    </row>
    <row r="18" spans="1:8">
      <c r="A18" t="s">
        <v>161</v>
      </c>
      <c r="E18">
        <v>80</v>
      </c>
    </row>
    <row r="19" spans="1:8">
      <c r="A19" t="s">
        <v>162</v>
      </c>
      <c r="B19">
        <v>18.899999999999999</v>
      </c>
      <c r="C19">
        <v>55.4</v>
      </c>
    </row>
    <row r="20" spans="1:8">
      <c r="A20" t="s">
        <v>163</v>
      </c>
      <c r="F20">
        <v>70.542604772483742</v>
      </c>
    </row>
    <row r="21" spans="1:8">
      <c r="A21" t="s">
        <v>164</v>
      </c>
      <c r="F21">
        <v>56.745600000000003</v>
      </c>
    </row>
    <row r="22" spans="1:8">
      <c r="A22" t="s">
        <v>165</v>
      </c>
      <c r="G22">
        <v>48.7</v>
      </c>
    </row>
    <row r="23" spans="1:8">
      <c r="A23" t="s">
        <v>166</v>
      </c>
      <c r="F23">
        <v>46.080049144761816</v>
      </c>
    </row>
    <row r="24" spans="1:8">
      <c r="A24" t="s">
        <v>167</v>
      </c>
      <c r="F24">
        <v>42.559199999999997</v>
      </c>
    </row>
    <row r="25" spans="1:8">
      <c r="A25" t="s">
        <v>168</v>
      </c>
      <c r="B25">
        <v>35</v>
      </c>
      <c r="E25">
        <v>5.0999999999999996</v>
      </c>
    </row>
    <row r="26" spans="1:8">
      <c r="A26" t="s">
        <v>169</v>
      </c>
      <c r="F26">
        <v>38.125949999999996</v>
      </c>
    </row>
    <row r="27" spans="1:8">
      <c r="A27" t="s">
        <v>170</v>
      </c>
      <c r="B27">
        <v>30.7</v>
      </c>
    </row>
    <row r="28" spans="1:8">
      <c r="A28" t="s">
        <v>171</v>
      </c>
      <c r="B28">
        <v>716.3</v>
      </c>
      <c r="C28">
        <v>1459.3229999999999</v>
      </c>
      <c r="D28">
        <v>93.8</v>
      </c>
      <c r="E28">
        <v>769.2</v>
      </c>
      <c r="F28">
        <v>2190</v>
      </c>
      <c r="G28">
        <v>771</v>
      </c>
      <c r="H28">
        <f t="shared" ref="H28" si="0">SUM(B28:G28)</f>
        <v>5999.6229999999996</v>
      </c>
    </row>
    <row r="29" spans="1:8">
      <c r="A29" t="s">
        <v>123</v>
      </c>
      <c r="H29">
        <v>17.56627041399101</v>
      </c>
    </row>
    <row r="30" spans="1:8">
      <c r="A30" t="s">
        <v>124</v>
      </c>
      <c r="H30">
        <v>35.170098150691558</v>
      </c>
    </row>
    <row r="31" spans="1:8">
      <c r="A31" t="s">
        <v>125</v>
      </c>
      <c r="H31">
        <v>41.422720358000504</v>
      </c>
    </row>
    <row r="32" spans="1:8">
      <c r="A32" t="s">
        <v>126</v>
      </c>
      <c r="H32">
        <v>4.7433817124024698</v>
      </c>
    </row>
    <row r="33" spans="1:8">
      <c r="A33" t="s">
        <v>128</v>
      </c>
      <c r="H33">
        <v>447.94817674134873</v>
      </c>
    </row>
    <row r="34" spans="1:8">
      <c r="A34" t="s">
        <v>129</v>
      </c>
      <c r="H34">
        <v>2001.0029252671377</v>
      </c>
    </row>
  </sheetData>
  <mergeCells count="1">
    <mergeCell ref="A1:I1"/>
  </mergeCells>
  <pageMargins left="0.7" right="0.7" top="0.75" bottom="0.75" header="0.3" footer="0.3"/>
  <pageSetup orientation="portrait" horizontalDpi="0" verticalDpi="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87EE59-B19A-D945-81F0-E7D48B3A304B}">
  <sheetPr>
    <pageSetUpPr fitToPage="1"/>
  </sheetPr>
  <dimension ref="A1:K70"/>
  <sheetViews>
    <sheetView topLeftCell="A7" zoomScale="115" zoomScaleNormal="115" workbookViewId="0">
      <selection activeCell="K6" sqref="K6"/>
    </sheetView>
  </sheetViews>
  <sheetFormatPr baseColWidth="10" defaultColWidth="11" defaultRowHeight="16"/>
  <sheetData>
    <row r="1" spans="1:11">
      <c r="A1" s="627" t="s">
        <v>1012</v>
      </c>
      <c r="B1" s="627"/>
      <c r="C1" s="627"/>
      <c r="D1" s="627"/>
      <c r="E1" s="627"/>
      <c r="F1" s="627"/>
      <c r="G1" s="627"/>
      <c r="H1" s="627"/>
      <c r="I1" s="627"/>
      <c r="J1" s="627"/>
      <c r="K1" s="627"/>
    </row>
    <row r="2" spans="1:11">
      <c r="B2" t="s">
        <v>76</v>
      </c>
      <c r="C2" t="s">
        <v>148</v>
      </c>
      <c r="D2" t="s">
        <v>80</v>
      </c>
      <c r="E2" t="s">
        <v>81</v>
      </c>
      <c r="F2" t="s">
        <v>84</v>
      </c>
      <c r="G2" t="s">
        <v>21</v>
      </c>
      <c r="H2" t="s">
        <v>28</v>
      </c>
      <c r="I2" t="s">
        <v>67</v>
      </c>
    </row>
    <row r="3" spans="1:11">
      <c r="A3" t="s">
        <v>88</v>
      </c>
      <c r="B3">
        <v>8874.7000000000007</v>
      </c>
      <c r="I3">
        <v>8874.7000000000007</v>
      </c>
    </row>
    <row r="4" spans="1:11">
      <c r="A4" t="s">
        <v>172</v>
      </c>
      <c r="B4">
        <v>1482.3</v>
      </c>
      <c r="I4">
        <v>1482.3</v>
      </c>
    </row>
    <row r="5" spans="1:11">
      <c r="A5" t="s">
        <v>95</v>
      </c>
      <c r="D5">
        <v>810.91</v>
      </c>
      <c r="F5">
        <v>243</v>
      </c>
      <c r="I5">
        <v>1053.9099999999999</v>
      </c>
    </row>
    <row r="6" spans="1:11">
      <c r="A6" t="s">
        <v>173</v>
      </c>
      <c r="B6">
        <v>971.2</v>
      </c>
      <c r="I6">
        <v>971.2</v>
      </c>
    </row>
    <row r="7" spans="1:11">
      <c r="A7" t="s">
        <v>149</v>
      </c>
      <c r="G7">
        <v>548.5</v>
      </c>
      <c r="I7">
        <v>548.5</v>
      </c>
    </row>
    <row r="8" spans="1:11">
      <c r="A8" t="s">
        <v>150</v>
      </c>
      <c r="G8">
        <v>390.61200000000002</v>
      </c>
      <c r="I8">
        <v>390.61200000000002</v>
      </c>
    </row>
    <row r="9" spans="1:11">
      <c r="A9" t="s">
        <v>98</v>
      </c>
      <c r="B9">
        <v>382.7</v>
      </c>
      <c r="I9">
        <v>382.7</v>
      </c>
    </row>
    <row r="10" spans="1:11">
      <c r="A10" t="s">
        <v>151</v>
      </c>
      <c r="C10">
        <v>47.4</v>
      </c>
      <c r="D10">
        <v>34.750699999999995</v>
      </c>
      <c r="F10">
        <v>17.349300000000003</v>
      </c>
      <c r="G10">
        <v>153.69999999999999</v>
      </c>
      <c r="H10">
        <v>125.9</v>
      </c>
      <c r="I10">
        <v>379.1</v>
      </c>
    </row>
    <row r="11" spans="1:11">
      <c r="A11" t="s">
        <v>152</v>
      </c>
      <c r="G11">
        <v>315.47031579968257</v>
      </c>
      <c r="I11">
        <v>315.47031579968257</v>
      </c>
    </row>
    <row r="12" spans="1:11">
      <c r="A12" t="s">
        <v>89</v>
      </c>
      <c r="C12">
        <v>181.4</v>
      </c>
      <c r="D12">
        <v>15.7</v>
      </c>
      <c r="E12">
        <v>93.1</v>
      </c>
      <c r="F12">
        <v>23</v>
      </c>
      <c r="I12">
        <v>313.2</v>
      </c>
    </row>
    <row r="13" spans="1:11">
      <c r="A13" t="s">
        <v>174</v>
      </c>
      <c r="B13">
        <v>282.2</v>
      </c>
      <c r="I13">
        <v>282.2</v>
      </c>
    </row>
    <row r="14" spans="1:11">
      <c r="A14" t="s">
        <v>175</v>
      </c>
      <c r="B14">
        <v>272.60000000000002</v>
      </c>
      <c r="I14">
        <v>272.60000000000002</v>
      </c>
    </row>
    <row r="15" spans="1:11">
      <c r="A15" t="s">
        <v>176</v>
      </c>
      <c r="B15">
        <v>229.6</v>
      </c>
      <c r="I15">
        <v>229.6</v>
      </c>
    </row>
    <row r="16" spans="1:11">
      <c r="A16" t="s">
        <v>92</v>
      </c>
      <c r="G16">
        <v>150.73050000000001</v>
      </c>
      <c r="H16">
        <v>36</v>
      </c>
      <c r="I16">
        <v>186.73050000000001</v>
      </c>
    </row>
    <row r="17" spans="1:10">
      <c r="A17" t="s">
        <v>153</v>
      </c>
      <c r="D17">
        <v>147.744</v>
      </c>
      <c r="I17">
        <v>147.744</v>
      </c>
    </row>
    <row r="18" spans="1:10">
      <c r="A18" t="s">
        <v>154</v>
      </c>
      <c r="G18">
        <v>127.02000000000001</v>
      </c>
      <c r="I18">
        <v>127.02000000000001</v>
      </c>
    </row>
    <row r="19" spans="1:10">
      <c r="A19" t="s">
        <v>177</v>
      </c>
      <c r="B19">
        <v>127</v>
      </c>
      <c r="I19">
        <v>127</v>
      </c>
    </row>
    <row r="20" spans="1:10">
      <c r="A20" t="s">
        <v>155</v>
      </c>
      <c r="F20">
        <v>22.8</v>
      </c>
      <c r="H20">
        <v>102</v>
      </c>
      <c r="I20">
        <v>124.8</v>
      </c>
    </row>
    <row r="21" spans="1:10">
      <c r="A21" t="s">
        <v>156</v>
      </c>
      <c r="C21">
        <v>20.9</v>
      </c>
      <c r="D21">
        <v>69.900000000000006</v>
      </c>
      <c r="F21">
        <v>24.2</v>
      </c>
      <c r="I21">
        <v>115.00000000000001</v>
      </c>
    </row>
    <row r="22" spans="1:10">
      <c r="A22" t="s">
        <v>157</v>
      </c>
      <c r="D22">
        <v>73.900000000000006</v>
      </c>
      <c r="F22">
        <v>30.2</v>
      </c>
      <c r="I22">
        <v>104.10000000000001</v>
      </c>
    </row>
    <row r="23" spans="1:10">
      <c r="A23" t="s">
        <v>158</v>
      </c>
      <c r="D23">
        <v>89.3</v>
      </c>
      <c r="I23">
        <v>89.3</v>
      </c>
    </row>
    <row r="24" spans="1:10">
      <c r="A24" t="s">
        <v>159</v>
      </c>
      <c r="D24">
        <v>84.8</v>
      </c>
      <c r="I24">
        <v>84.8</v>
      </c>
    </row>
    <row r="25" spans="1:10">
      <c r="A25" t="s">
        <v>160</v>
      </c>
      <c r="D25">
        <v>58.4</v>
      </c>
      <c r="F25">
        <v>23.9</v>
      </c>
      <c r="I25">
        <v>82.3</v>
      </c>
    </row>
    <row r="26" spans="1:10">
      <c r="A26" t="s">
        <v>161</v>
      </c>
      <c r="F26">
        <v>80</v>
      </c>
      <c r="I26">
        <v>80</v>
      </c>
    </row>
    <row r="27" spans="1:10">
      <c r="A27" t="s">
        <v>162</v>
      </c>
      <c r="C27">
        <v>18.899999999999999</v>
      </c>
      <c r="D27">
        <v>55.4</v>
      </c>
      <c r="I27">
        <v>74.3</v>
      </c>
    </row>
    <row r="28" spans="1:10">
      <c r="A28" t="s">
        <v>171</v>
      </c>
      <c r="B28">
        <v>13431.661595756668</v>
      </c>
      <c r="C28">
        <v>716.3</v>
      </c>
      <c r="D28">
        <v>1459.3229999999999</v>
      </c>
      <c r="E28">
        <v>93.8</v>
      </c>
      <c r="F28">
        <v>769.2</v>
      </c>
      <c r="G28">
        <v>2190</v>
      </c>
      <c r="H28">
        <v>771</v>
      </c>
      <c r="I28">
        <f>SUM(B28:H28)</f>
        <v>19431.284595756668</v>
      </c>
    </row>
    <row r="29" spans="1:10">
      <c r="A29" t="s">
        <v>123</v>
      </c>
      <c r="J29">
        <v>45.672224892110449</v>
      </c>
    </row>
    <row r="30" spans="1:10">
      <c r="A30" t="s">
        <v>124</v>
      </c>
      <c r="J30">
        <v>63.722549782961643</v>
      </c>
    </row>
    <row r="31" spans="1:10">
      <c r="A31" t="s">
        <v>125</v>
      </c>
      <c r="J31">
        <v>75.71137277775432</v>
      </c>
    </row>
    <row r="32" spans="1:10">
      <c r="A32" t="s">
        <v>126</v>
      </c>
      <c r="J32">
        <v>4.5370134725550804</v>
      </c>
    </row>
    <row r="33" spans="1:10">
      <c r="A33" t="s">
        <v>128</v>
      </c>
      <c r="J33">
        <v>2233.2477120644617</v>
      </c>
    </row>
    <row r="34" spans="1:10">
      <c r="A34" t="s">
        <v>129</v>
      </c>
      <c r="J34">
        <v>3924.5</v>
      </c>
    </row>
    <row r="70" spans="10:10">
      <c r="J70">
        <f>SUMSQ('Figure 10 Leading BC&amp;Pubs'!I28)</f>
        <v>0</v>
      </c>
    </row>
  </sheetData>
  <mergeCells count="1">
    <mergeCell ref="A1:K1"/>
  </mergeCells>
  <pageMargins left="0.7" right="0.7" top="0.75" bottom="0.75" header="0.3" footer="0.3"/>
  <pageSetup scale="96" orientation="landscape" horizontalDpi="0" verticalDpi="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2A007-3B1D-5945-A71A-B84AE3220B33}">
  <dimension ref="A1:D16"/>
  <sheetViews>
    <sheetView zoomScale="130" zoomScaleNormal="130" workbookViewId="0">
      <selection activeCell="G12" sqref="G12"/>
    </sheetView>
  </sheetViews>
  <sheetFormatPr baseColWidth="10" defaultColWidth="11" defaultRowHeight="16"/>
  <cols>
    <col min="1" max="1" width="28.5" customWidth="1"/>
    <col min="2" max="2" width="14.6640625" customWidth="1"/>
    <col min="3" max="3" width="13.83203125" customWidth="1"/>
    <col min="4" max="4" width="13.1640625" customWidth="1"/>
  </cols>
  <sheetData>
    <row r="1" spans="1:4" ht="34.25" customHeight="1">
      <c r="A1" s="627" t="s">
        <v>1013</v>
      </c>
      <c r="B1" s="627"/>
      <c r="C1" s="627"/>
      <c r="D1" s="627"/>
    </row>
    <row r="2" spans="1:4" ht="21" customHeight="1">
      <c r="B2">
        <v>1969</v>
      </c>
      <c r="C2">
        <v>1984</v>
      </c>
      <c r="D2">
        <v>1996</v>
      </c>
    </row>
    <row r="3" spans="1:4" ht="15" customHeight="1">
      <c r="A3" t="s">
        <v>76</v>
      </c>
      <c r="B3">
        <v>1404.3</v>
      </c>
      <c r="C3">
        <v>12787</v>
      </c>
      <c r="D3">
        <v>17900</v>
      </c>
    </row>
    <row r="4" spans="1:4">
      <c r="A4" t="s">
        <v>144</v>
      </c>
      <c r="B4">
        <v>37.4</v>
      </c>
      <c r="C4">
        <v>716.3</v>
      </c>
      <c r="D4">
        <v>2677.4</v>
      </c>
    </row>
    <row r="5" spans="1:4">
      <c r="A5" t="s">
        <v>77</v>
      </c>
      <c r="D5">
        <v>2190.2999999999997</v>
      </c>
    </row>
    <row r="6" spans="1:4">
      <c r="A6" t="s">
        <v>78</v>
      </c>
      <c r="D6">
        <v>239</v>
      </c>
    </row>
    <row r="7" spans="1:4">
      <c r="A7" t="s">
        <v>80</v>
      </c>
      <c r="B7">
        <v>245.52500000000001</v>
      </c>
      <c r="C7">
        <v>1459.3229999999999</v>
      </c>
      <c r="D7">
        <v>2471.192</v>
      </c>
    </row>
    <row r="8" spans="1:4">
      <c r="A8" t="s">
        <v>81</v>
      </c>
      <c r="C8">
        <v>93.8</v>
      </c>
      <c r="D8">
        <v>664.48</v>
      </c>
    </row>
    <row r="9" spans="1:4">
      <c r="A9" t="s">
        <v>84</v>
      </c>
      <c r="B9">
        <v>146.875</v>
      </c>
      <c r="C9">
        <v>769.2</v>
      </c>
      <c r="D9">
        <v>1043.4000000000001</v>
      </c>
    </row>
    <row r="10" spans="1:4">
      <c r="A10" t="s">
        <v>21</v>
      </c>
      <c r="B10">
        <v>112.2</v>
      </c>
      <c r="C10">
        <v>2190</v>
      </c>
      <c r="D10">
        <v>3310</v>
      </c>
    </row>
    <row r="11" spans="1:4">
      <c r="A11" t="s">
        <v>28</v>
      </c>
      <c r="B11">
        <v>114.7</v>
      </c>
      <c r="C11">
        <v>771</v>
      </c>
      <c r="D11">
        <v>1011.2</v>
      </c>
    </row>
    <row r="12" spans="1:4">
      <c r="A12" t="s">
        <v>85</v>
      </c>
      <c r="B12">
        <v>199.98</v>
      </c>
      <c r="C12">
        <v>666.69</v>
      </c>
      <c r="D12">
        <v>1626.73</v>
      </c>
    </row>
    <row r="13" spans="1:4">
      <c r="A13" t="s">
        <v>67</v>
      </c>
      <c r="B13">
        <f>SUM(B3:B12)</f>
        <v>2260.98</v>
      </c>
      <c r="C13">
        <f>SUM(C3:C12)</f>
        <v>19453.312999999998</v>
      </c>
      <c r="D13">
        <f>SUM(D3:D12)</f>
        <v>33133.702000000005</v>
      </c>
    </row>
    <row r="14" spans="1:4">
      <c r="A14" t="s">
        <v>178</v>
      </c>
      <c r="B14">
        <v>86430</v>
      </c>
      <c r="C14">
        <v>461986</v>
      </c>
      <c r="D14">
        <v>859834</v>
      </c>
    </row>
    <row r="15" spans="1:4">
      <c r="A15" t="s">
        <v>147</v>
      </c>
      <c r="B15">
        <f>B13/B14</f>
        <v>2.6159666782367235E-2</v>
      </c>
      <c r="C15">
        <f>C13/C14</f>
        <v>4.2108014095665232E-2</v>
      </c>
      <c r="D15">
        <f>D13/D14</f>
        <v>3.8534998616011937E-2</v>
      </c>
    </row>
    <row r="16" spans="1:4" ht="23" customHeight="1"/>
  </sheetData>
  <mergeCells count="1">
    <mergeCell ref="A1:D1"/>
  </mergeCells>
  <pageMargins left="0.7" right="0.7" top="0.75" bottom="0.75" header="0.3" footer="0.3"/>
  <pageSetup orientation="portrait" horizontalDpi="0" verticalDpi="0"/>
  <ignoredErrors>
    <ignoredError sqref="B13:D13" formulaRange="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15EC27-60AA-BD44-965E-6073EF2DAC92}">
  <dimension ref="A1:B30"/>
  <sheetViews>
    <sheetView zoomScale="115" zoomScaleNormal="115" workbookViewId="0">
      <selection activeCell="A6" sqref="A6"/>
    </sheetView>
  </sheetViews>
  <sheetFormatPr baseColWidth="10" defaultColWidth="11" defaultRowHeight="16"/>
  <cols>
    <col min="1" max="1" width="104.6640625" style="575" customWidth="1"/>
    <col min="2" max="2" width="15.83203125" style="575" customWidth="1"/>
    <col min="3" max="16384" width="11" style="575"/>
  </cols>
  <sheetData>
    <row r="1" spans="1:2">
      <c r="A1" s="630" t="s">
        <v>1014</v>
      </c>
      <c r="B1" s="630"/>
    </row>
    <row r="2" spans="1:2" ht="30" customHeight="1">
      <c r="A2" s="575" t="s">
        <v>1148</v>
      </c>
    </row>
    <row r="3" spans="1:2" ht="30" customHeight="1">
      <c r="A3" s="575" t="s">
        <v>179</v>
      </c>
    </row>
    <row r="4" spans="1:2" ht="30" customHeight="1">
      <c r="A4" s="575" t="s">
        <v>180</v>
      </c>
    </row>
    <row r="5" spans="1:2" ht="30" customHeight="1">
      <c r="A5" s="575" t="s">
        <v>181</v>
      </c>
    </row>
    <row r="6" spans="1:2" ht="30" customHeight="1">
      <c r="A6" s="575" t="s">
        <v>182</v>
      </c>
    </row>
    <row r="7" spans="1:2" ht="30" customHeight="1">
      <c r="A7" s="575" t="s">
        <v>183</v>
      </c>
    </row>
    <row r="8" spans="1:2" ht="30" customHeight="1">
      <c r="A8" s="575" t="s">
        <v>184</v>
      </c>
    </row>
    <row r="9" spans="1:2" ht="30" customHeight="1">
      <c r="A9" s="575" t="s">
        <v>185</v>
      </c>
    </row>
    <row r="10" spans="1:2" ht="30" customHeight="1">
      <c r="A10" s="575" t="s">
        <v>186</v>
      </c>
    </row>
    <row r="11" spans="1:2" ht="30" customHeight="1">
      <c r="A11" s="575" t="s">
        <v>187</v>
      </c>
    </row>
    <row r="12" spans="1:2" ht="30" customHeight="1">
      <c r="A12" s="575" t="s">
        <v>188</v>
      </c>
    </row>
    <row r="13" spans="1:2" ht="30" customHeight="1">
      <c r="A13" s="575" t="s">
        <v>189</v>
      </c>
    </row>
    <row r="14" spans="1:2" ht="30" customHeight="1">
      <c r="A14" s="575" t="s">
        <v>190</v>
      </c>
    </row>
    <row r="15" spans="1:2" ht="30" customHeight="1">
      <c r="A15" s="575" t="s">
        <v>191</v>
      </c>
    </row>
    <row r="16" spans="1:2" ht="30" customHeight="1">
      <c r="A16" s="575" t="s">
        <v>192</v>
      </c>
    </row>
    <row r="17" spans="1:1" ht="30" customHeight="1">
      <c r="A17" s="575" t="s">
        <v>193</v>
      </c>
    </row>
    <row r="18" spans="1:1" ht="30" customHeight="1">
      <c r="A18" s="575" t="s">
        <v>194</v>
      </c>
    </row>
    <row r="19" spans="1:1" ht="30" customHeight="1">
      <c r="A19" s="575" t="s">
        <v>1149</v>
      </c>
    </row>
    <row r="20" spans="1:1" ht="30" customHeight="1">
      <c r="A20" s="575" t="s">
        <v>1150</v>
      </c>
    </row>
    <row r="21" spans="1:1" ht="30" customHeight="1">
      <c r="A21" s="575" t="s">
        <v>1151</v>
      </c>
    </row>
    <row r="22" spans="1:1" ht="30" customHeight="1">
      <c r="A22" s="575" t="s">
        <v>1152</v>
      </c>
    </row>
    <row r="23" spans="1:1" ht="30" customHeight="1">
      <c r="A23" s="575" t="s">
        <v>1153</v>
      </c>
    </row>
    <row r="24" spans="1:1" ht="30" customHeight="1">
      <c r="A24" s="575" t="s">
        <v>195</v>
      </c>
    </row>
    <row r="25" spans="1:1" ht="30" customHeight="1">
      <c r="A25" s="575" t="s">
        <v>196</v>
      </c>
    </row>
    <row r="26" spans="1:1" ht="30" customHeight="1">
      <c r="A26" s="575" t="s">
        <v>197</v>
      </c>
    </row>
    <row r="27" spans="1:1" ht="30" customHeight="1">
      <c r="A27" s="575" t="s">
        <v>198</v>
      </c>
    </row>
    <row r="28" spans="1:1" ht="30" customHeight="1">
      <c r="A28" s="575" t="s">
        <v>199</v>
      </c>
    </row>
    <row r="29" spans="1:1" ht="30" customHeight="1">
      <c r="A29" s="575" t="s">
        <v>200</v>
      </c>
    </row>
    <row r="30" spans="1:1" ht="30" customHeight="1">
      <c r="A30" s="575" t="s">
        <v>201</v>
      </c>
    </row>
  </sheetData>
  <mergeCells count="1">
    <mergeCell ref="A1:B1"/>
  </mergeCells>
  <pageMargins left="0.7" right="0.7" top="0.75" bottom="0.75" header="0.3" footer="0.3"/>
  <pageSetup orientation="portrait" horizontalDpi="0" verticalDpi="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3C5F9-D1F4-6E4F-8DA2-E37ACD8EBF79}">
  <dimension ref="A1:R37"/>
  <sheetViews>
    <sheetView zoomScale="150" zoomScaleNormal="150" workbookViewId="0">
      <selection activeCell="F6" sqref="F6"/>
    </sheetView>
  </sheetViews>
  <sheetFormatPr baseColWidth="10" defaultColWidth="11" defaultRowHeight="15"/>
  <cols>
    <col min="1" max="1" width="23" style="580" customWidth="1"/>
    <col min="2" max="2" width="13" style="580" customWidth="1"/>
    <col min="3" max="3" width="14.6640625" style="580" customWidth="1"/>
    <col min="4" max="4" width="21" style="580" customWidth="1"/>
    <col min="5" max="5" width="14.33203125" style="580" customWidth="1"/>
    <col min="6" max="6" width="12" style="580" customWidth="1"/>
    <col min="7" max="7" width="10.83203125" style="580"/>
    <col min="8" max="16384" width="11" style="580"/>
  </cols>
  <sheetData>
    <row r="1" spans="1:18">
      <c r="A1" s="631" t="s">
        <v>1031</v>
      </c>
      <c r="B1" s="632"/>
      <c r="C1" s="632"/>
      <c r="D1" s="632"/>
      <c r="E1" s="632"/>
      <c r="F1" s="632"/>
    </row>
    <row r="2" spans="1:18" ht="32">
      <c r="A2" s="581"/>
      <c r="B2" s="582" t="s">
        <v>202</v>
      </c>
      <c r="C2" s="583"/>
      <c r="D2" s="584"/>
      <c r="E2" s="582" t="s">
        <v>202</v>
      </c>
      <c r="F2" s="585"/>
      <c r="G2" s="585"/>
    </row>
    <row r="3" spans="1:18">
      <c r="A3" s="586" t="s">
        <v>88</v>
      </c>
      <c r="B3" s="587">
        <v>21.870467524825223</v>
      </c>
      <c r="C3" s="588"/>
      <c r="D3" s="589" t="s">
        <v>203</v>
      </c>
      <c r="E3" s="590">
        <v>12.0641134041983</v>
      </c>
    </row>
    <row r="4" spans="1:18">
      <c r="A4" s="586" t="s">
        <v>89</v>
      </c>
      <c r="B4" s="587">
        <v>18.050042059502974</v>
      </c>
      <c r="C4" s="588"/>
      <c r="D4" s="589" t="s">
        <v>204</v>
      </c>
      <c r="E4" s="590">
        <v>10.118347639588668</v>
      </c>
      <c r="P4" s="591"/>
      <c r="R4" s="592"/>
    </row>
    <row r="5" spans="1:18" ht="16">
      <c r="A5" s="593" t="s">
        <v>90</v>
      </c>
      <c r="B5" s="590">
        <v>15.699382024239497</v>
      </c>
      <c r="C5" s="588"/>
      <c r="D5" s="594" t="s">
        <v>91</v>
      </c>
      <c r="E5" s="590">
        <v>8.2787984498961986</v>
      </c>
      <c r="G5" s="592"/>
      <c r="P5" s="591"/>
      <c r="R5" s="595"/>
    </row>
    <row r="6" spans="1:18" ht="16">
      <c r="A6" s="593" t="s">
        <v>91</v>
      </c>
      <c r="B6" s="590">
        <v>8.9117459013740969</v>
      </c>
      <c r="C6" s="588"/>
      <c r="D6" s="594" t="s">
        <v>93</v>
      </c>
      <c r="E6" s="590">
        <v>7.4421252655077001</v>
      </c>
      <c r="P6" s="591"/>
      <c r="R6" s="592"/>
    </row>
    <row r="7" spans="1:18">
      <c r="A7" s="586" t="s">
        <v>92</v>
      </c>
      <c r="B7" s="587">
        <v>4.7373490179448572</v>
      </c>
      <c r="C7" s="588"/>
      <c r="D7" s="589" t="s">
        <v>205</v>
      </c>
      <c r="E7" s="590">
        <v>6.7368297955044492</v>
      </c>
      <c r="P7" s="596"/>
      <c r="R7" s="592"/>
    </row>
    <row r="8" spans="1:18">
      <c r="A8" s="593" t="s">
        <v>93</v>
      </c>
      <c r="B8" s="590">
        <v>4.2525696370576656</v>
      </c>
      <c r="C8" s="588"/>
      <c r="D8" s="597" t="s">
        <v>206</v>
      </c>
      <c r="E8" s="587">
        <v>6.6575286747968239</v>
      </c>
      <c r="R8" s="595"/>
    </row>
    <row r="9" spans="1:18">
      <c r="A9" s="593" t="s">
        <v>94</v>
      </c>
      <c r="B9" s="590">
        <v>2.5911063812009649</v>
      </c>
      <c r="C9" s="588"/>
      <c r="D9" s="598" t="s">
        <v>207</v>
      </c>
      <c r="E9" s="590">
        <v>3.8875962921813549</v>
      </c>
      <c r="R9" s="599"/>
    </row>
    <row r="10" spans="1:18">
      <c r="A10" s="593" t="s">
        <v>95</v>
      </c>
      <c r="B10" s="590">
        <v>1.6404483655618776</v>
      </c>
      <c r="C10" s="588"/>
      <c r="D10" s="597" t="s">
        <v>208</v>
      </c>
      <c r="E10" s="587">
        <v>3.755539488218766</v>
      </c>
      <c r="R10" s="600"/>
    </row>
    <row r="11" spans="1:18">
      <c r="A11" s="593" t="s">
        <v>97</v>
      </c>
      <c r="B11" s="590">
        <v>1.5683910324773194</v>
      </c>
      <c r="C11" s="588"/>
      <c r="D11" s="589" t="s">
        <v>94</v>
      </c>
      <c r="E11" s="590">
        <v>3.3185401214349723</v>
      </c>
      <c r="R11" s="601"/>
    </row>
    <row r="12" spans="1:18">
      <c r="A12" s="593" t="s">
        <v>96</v>
      </c>
      <c r="B12" s="590">
        <v>1.4226641952234629</v>
      </c>
      <c r="C12" s="588"/>
      <c r="D12" s="602" t="s">
        <v>209</v>
      </c>
      <c r="E12" s="590">
        <v>2.4426425489338235</v>
      </c>
      <c r="R12" s="601"/>
    </row>
    <row r="13" spans="1:18" ht="16">
      <c r="A13" s="593" t="s">
        <v>98</v>
      </c>
      <c r="B13" s="590">
        <v>1.1787492102162547</v>
      </c>
      <c r="C13" s="588"/>
      <c r="D13" s="603" t="s">
        <v>210</v>
      </c>
      <c r="E13" s="590">
        <v>1.8748844840333547</v>
      </c>
      <c r="R13" s="595"/>
    </row>
    <row r="14" spans="1:18">
      <c r="A14" s="593" t="s">
        <v>99</v>
      </c>
      <c r="B14" s="590">
        <v>1.1221165827715474</v>
      </c>
      <c r="C14" s="588"/>
      <c r="D14" s="598" t="s">
        <v>211</v>
      </c>
      <c r="E14" s="590">
        <v>1.7829322727509656</v>
      </c>
      <c r="R14" s="599"/>
    </row>
    <row r="15" spans="1:18">
      <c r="A15" s="593" t="s">
        <v>101</v>
      </c>
      <c r="B15" s="590">
        <v>1.0531551197668723</v>
      </c>
      <c r="C15" s="588"/>
      <c r="D15" s="589" t="s">
        <v>212</v>
      </c>
      <c r="E15" s="590">
        <v>1.7235154172444331</v>
      </c>
      <c r="R15" s="595"/>
    </row>
    <row r="16" spans="1:18">
      <c r="A16" s="593" t="s">
        <v>100</v>
      </c>
      <c r="B16" s="590">
        <v>0.98950346759848351</v>
      </c>
      <c r="C16" s="588"/>
      <c r="D16" s="597" t="s">
        <v>213</v>
      </c>
      <c r="E16" s="587">
        <v>1.5304180371833409</v>
      </c>
      <c r="R16" s="592"/>
    </row>
    <row r="17" spans="1:18" ht="16">
      <c r="A17" s="593" t="s">
        <v>168</v>
      </c>
      <c r="B17" s="590">
        <v>0.96914732599910014</v>
      </c>
      <c r="C17" s="588"/>
      <c r="D17" s="594" t="s">
        <v>214</v>
      </c>
      <c r="E17" s="590">
        <v>1.2484800691083342</v>
      </c>
      <c r="R17" s="595"/>
    </row>
    <row r="18" spans="1:18">
      <c r="A18" s="593" t="s">
        <v>102</v>
      </c>
      <c r="B18" s="590">
        <v>0.9426255482349396</v>
      </c>
      <c r="C18" s="588"/>
      <c r="D18" s="598" t="s">
        <v>97</v>
      </c>
      <c r="E18" s="590">
        <v>1.1965366814631868</v>
      </c>
      <c r="R18" s="604"/>
    </row>
    <row r="19" spans="1:18">
      <c r="A19" s="593" t="s">
        <v>109</v>
      </c>
      <c r="B19" s="590">
        <v>0.82001435767852771</v>
      </c>
      <c r="C19" s="588"/>
      <c r="D19" s="598" t="s">
        <v>215</v>
      </c>
      <c r="E19" s="590">
        <v>1.1856207518212898</v>
      </c>
      <c r="R19" s="595"/>
    </row>
    <row r="20" spans="1:18">
      <c r="A20" s="593" t="s">
        <v>103</v>
      </c>
      <c r="B20" s="590">
        <v>0.73142470461525444</v>
      </c>
      <c r="C20" s="588"/>
      <c r="D20" s="589" t="s">
        <v>216</v>
      </c>
      <c r="E20" s="590">
        <v>0.80724596937046555</v>
      </c>
      <c r="R20" s="595"/>
    </row>
    <row r="21" spans="1:18" ht="16">
      <c r="A21" s="593" t="s">
        <v>105</v>
      </c>
      <c r="B21" s="590">
        <v>0.61191249972541972</v>
      </c>
      <c r="C21" s="588"/>
      <c r="D21" s="594" t="s">
        <v>103</v>
      </c>
      <c r="E21" s="590">
        <v>0.7848482021055555</v>
      </c>
      <c r="R21" s="605"/>
    </row>
    <row r="22" spans="1:18">
      <c r="A22" s="593" t="s">
        <v>106</v>
      </c>
      <c r="B22" s="590">
        <v>0.56882273190395372</v>
      </c>
      <c r="C22" s="588"/>
      <c r="D22" s="589" t="s">
        <v>217</v>
      </c>
      <c r="E22" s="590">
        <v>0.71718998513864696</v>
      </c>
      <c r="R22" s="606"/>
    </row>
    <row r="23" spans="1:18">
      <c r="A23" s="593" t="s">
        <v>108</v>
      </c>
      <c r="B23" s="590">
        <v>0.48157986058089147</v>
      </c>
      <c r="C23" s="607"/>
      <c r="D23" s="589" t="s">
        <v>99</v>
      </c>
      <c r="E23" s="590">
        <v>0.69597975400641732</v>
      </c>
    </row>
    <row r="24" spans="1:18">
      <c r="A24" s="593" t="s">
        <v>107</v>
      </c>
      <c r="B24" s="590">
        <v>0.40364992467259231</v>
      </c>
      <c r="C24" s="607"/>
      <c r="D24" s="589" t="s">
        <v>218</v>
      </c>
      <c r="E24" s="590">
        <v>0.63324928961353455</v>
      </c>
    </row>
    <row r="25" spans="1:18">
      <c r="A25" s="593" t="s">
        <v>104</v>
      </c>
      <c r="B25" s="590">
        <v>0.36628007236273807</v>
      </c>
      <c r="C25" s="607"/>
      <c r="D25" s="589" t="s">
        <v>219</v>
      </c>
      <c r="E25" s="590">
        <v>0.42721699435945576</v>
      </c>
    </row>
    <row r="26" spans="1:18">
      <c r="A26" s="593" t="s">
        <v>110</v>
      </c>
      <c r="B26" s="590">
        <v>0.35997951718777443</v>
      </c>
      <c r="C26" s="607"/>
      <c r="D26" s="608" t="s">
        <v>220</v>
      </c>
      <c r="E26" s="590">
        <v>0.37532758562943019</v>
      </c>
    </row>
    <row r="27" spans="1:18">
      <c r="A27" s="593" t="s">
        <v>512</v>
      </c>
      <c r="B27" s="590">
        <v>0.31507426665344718</v>
      </c>
      <c r="C27" s="607"/>
      <c r="D27" s="589" t="s">
        <v>221</v>
      </c>
      <c r="E27" s="590">
        <v>0.37326942183349426</v>
      </c>
    </row>
    <row r="28" spans="1:18">
      <c r="A28" s="609"/>
      <c r="B28" s="610"/>
      <c r="C28" s="607"/>
    </row>
    <row r="29" spans="1:18" ht="32">
      <c r="A29" s="611" t="s">
        <v>222</v>
      </c>
      <c r="B29" s="593">
        <v>111998.03898556159</v>
      </c>
      <c r="C29" s="609"/>
      <c r="D29" s="612" t="s">
        <v>223</v>
      </c>
      <c r="E29" s="589">
        <v>1682992.8273734399</v>
      </c>
    </row>
    <row r="30" spans="1:18">
      <c r="A30" s="613" t="s">
        <v>224</v>
      </c>
      <c r="B30" s="580">
        <v>21.870467524825223</v>
      </c>
      <c r="C30" s="609"/>
      <c r="D30" s="613" t="s">
        <v>225</v>
      </c>
      <c r="E30" s="614">
        <f>E3</f>
        <v>12.0641134041983</v>
      </c>
    </row>
    <row r="31" spans="1:18">
      <c r="A31" s="613" t="s">
        <v>226</v>
      </c>
      <c r="B31" s="580">
        <v>64.531637509941788</v>
      </c>
      <c r="C31" s="609"/>
      <c r="D31" s="613" t="s">
        <v>227</v>
      </c>
      <c r="E31" s="614">
        <f>SUM(E3,E4,E5,E6)</f>
        <v>37.903384759190864</v>
      </c>
    </row>
    <row r="32" spans="1:18">
      <c r="A32" s="613" t="s">
        <v>228</v>
      </c>
      <c r="B32" s="580">
        <v>80.744166139407923</v>
      </c>
      <c r="C32" s="609"/>
      <c r="D32" s="613" t="s">
        <v>229</v>
      </c>
      <c r="E32" s="614">
        <f>SUM(E31,E7,E8,E9,E10,E11,E12)</f>
        <v>64.702061680261053</v>
      </c>
    </row>
    <row r="33" spans="1:5">
      <c r="A33" s="613" t="s">
        <v>230</v>
      </c>
      <c r="B33" s="580">
        <v>44.657858602273102</v>
      </c>
      <c r="C33" s="609"/>
      <c r="D33" s="613" t="s">
        <v>231</v>
      </c>
      <c r="E33" s="614">
        <f>E8+E10+E16</f>
        <v>11.943486200198929</v>
      </c>
    </row>
    <row r="34" spans="1:5">
      <c r="A34" s="613" t="s">
        <v>232</v>
      </c>
      <c r="B34" s="615">
        <v>23.570218400000002</v>
      </c>
      <c r="C34" s="609"/>
      <c r="D34" s="613" t="s">
        <v>232</v>
      </c>
      <c r="E34" s="614">
        <v>18.322265798041446</v>
      </c>
    </row>
    <row r="35" spans="1:5">
      <c r="A35" s="613" t="s">
        <v>233</v>
      </c>
      <c r="B35" s="615">
        <v>1194.28027</v>
      </c>
      <c r="C35" s="609"/>
      <c r="D35" s="613" t="s">
        <v>234</v>
      </c>
      <c r="E35" s="614">
        <v>524.15</v>
      </c>
    </row>
    <row r="36" spans="1:5">
      <c r="A36" s="613" t="s">
        <v>235</v>
      </c>
      <c r="B36" s="615">
        <v>2478.9183699999999</v>
      </c>
      <c r="C36" s="609"/>
      <c r="D36" s="613" t="s">
        <v>236</v>
      </c>
      <c r="E36" s="609">
        <v>630.87</v>
      </c>
    </row>
    <row r="37" spans="1:5">
      <c r="B37" s="615"/>
    </row>
  </sheetData>
  <mergeCells count="1">
    <mergeCell ref="A1:F1"/>
  </mergeCells>
  <conditionalFormatting sqref="R9">
    <cfRule type="cellIs" dxfId="11" priority="1" operator="equal">
      <formula>0</formula>
    </cfRule>
  </conditionalFormatting>
  <pageMargins left="0.7" right="0.7" top="0.75" bottom="0.75" header="0.3" footer="0.3"/>
  <pageSetup orientation="portrait" horizontalDpi="0" verticalDpi="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BE55D-6574-454F-9C51-BCE23CDE98F4}">
  <dimension ref="A1:C6"/>
  <sheetViews>
    <sheetView workbookViewId="0">
      <selection activeCell="E6" sqref="E6"/>
    </sheetView>
  </sheetViews>
  <sheetFormatPr baseColWidth="10" defaultColWidth="11" defaultRowHeight="16"/>
  <cols>
    <col min="1" max="1" width="13.33203125" style="575" customWidth="1"/>
    <col min="2" max="2" width="14.5" style="575" customWidth="1"/>
    <col min="3" max="3" width="15.1640625" style="575" customWidth="1"/>
    <col min="4" max="4" width="14.1640625" style="575" customWidth="1"/>
    <col min="5" max="5" width="21.83203125" style="575" customWidth="1"/>
    <col min="6" max="7" width="21.1640625" style="575" customWidth="1"/>
    <col min="8" max="16384" width="11" style="575"/>
  </cols>
  <sheetData>
    <row r="1" spans="1:3" ht="55.25" customHeight="1">
      <c r="A1" s="630" t="s">
        <v>1030</v>
      </c>
      <c r="B1" s="630"/>
      <c r="C1" s="630"/>
    </row>
    <row r="2" spans="1:3" ht="17">
      <c r="B2" s="575" t="s">
        <v>237</v>
      </c>
      <c r="C2" s="575" t="s">
        <v>238</v>
      </c>
    </row>
    <row r="3" spans="1:3" ht="17">
      <c r="A3" s="575" t="s">
        <v>96</v>
      </c>
      <c r="B3" s="616">
        <v>0.94794393315154801</v>
      </c>
      <c r="C3" s="616">
        <v>5.2056066848451946E-2</v>
      </c>
    </row>
    <row r="4" spans="1:3" ht="17">
      <c r="A4" s="575" t="s">
        <v>89</v>
      </c>
      <c r="B4" s="616">
        <v>0.91661276853763385</v>
      </c>
      <c r="C4" s="616">
        <v>8.3387231462366138E-2</v>
      </c>
    </row>
    <row r="5" spans="1:3" ht="17">
      <c r="A5" s="575" t="s">
        <v>92</v>
      </c>
      <c r="B5" s="616">
        <v>0.88546672432125584</v>
      </c>
      <c r="C5" s="616">
        <v>0.11453327567874418</v>
      </c>
    </row>
    <row r="6" spans="1:3" ht="17">
      <c r="A6" s="575" t="s">
        <v>88</v>
      </c>
      <c r="B6" s="616">
        <v>0.83469916481717665</v>
      </c>
      <c r="C6" s="616">
        <v>0.16530083518282349</v>
      </c>
    </row>
  </sheetData>
  <mergeCells count="1">
    <mergeCell ref="A1:C1"/>
  </mergeCells>
  <pageMargins left="0.7" right="0.7" top="0.75" bottom="0.75" header="0.3" footer="0.3"/>
  <pageSetup orientation="portrait" horizontalDpi="0" verticalDpi="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BE03A6-270F-0B48-B7B5-35A7219A82EE}">
  <dimension ref="A1:W23"/>
  <sheetViews>
    <sheetView zoomScale="65" zoomScaleNormal="115" workbookViewId="0">
      <pane xSplit="1" ySplit="2" topLeftCell="B3" activePane="bottomRight" state="frozen"/>
      <selection pane="topRight" activeCell="B1" sqref="B1"/>
      <selection pane="bottomLeft" activeCell="A3" sqref="A3"/>
      <selection pane="bottomRight" activeCell="E35" sqref="E35"/>
    </sheetView>
  </sheetViews>
  <sheetFormatPr baseColWidth="10" defaultColWidth="11" defaultRowHeight="16"/>
  <cols>
    <col min="1" max="1" width="27.83203125" customWidth="1"/>
    <col min="2" max="3" width="11.5" customWidth="1"/>
    <col min="4" max="7" width="11.1640625" customWidth="1"/>
    <col min="8" max="10" width="11.5" customWidth="1"/>
    <col min="11" max="19" width="11.1640625" customWidth="1"/>
    <col min="20" max="21" width="14.83203125" bestFit="1" customWidth="1"/>
    <col min="22" max="22" width="13" customWidth="1"/>
    <col min="23" max="23" width="14.83203125" bestFit="1" customWidth="1"/>
  </cols>
  <sheetData>
    <row r="1" spans="1:23" ht="16" customHeight="1">
      <c r="A1" s="627" t="s">
        <v>1034</v>
      </c>
      <c r="B1" s="627"/>
      <c r="C1" s="627"/>
      <c r="D1" s="627"/>
      <c r="E1" s="627"/>
      <c r="F1" s="627"/>
      <c r="G1" s="627"/>
      <c r="H1" s="627"/>
      <c r="I1" s="627"/>
    </row>
    <row r="2" spans="1:23">
      <c r="B2">
        <v>1984</v>
      </c>
      <c r="C2">
        <v>1988</v>
      </c>
      <c r="D2">
        <v>1992</v>
      </c>
      <c r="E2">
        <v>1996</v>
      </c>
      <c r="F2">
        <v>2000</v>
      </c>
      <c r="G2">
        <v>2004</v>
      </c>
      <c r="H2">
        <v>2008</v>
      </c>
      <c r="I2">
        <v>2010</v>
      </c>
      <c r="J2">
        <v>2011</v>
      </c>
      <c r="K2">
        <v>2012</v>
      </c>
      <c r="L2">
        <v>2013</v>
      </c>
      <c r="M2">
        <v>2014</v>
      </c>
      <c r="N2">
        <v>2015</v>
      </c>
      <c r="O2">
        <v>2016</v>
      </c>
      <c r="P2">
        <v>2017</v>
      </c>
      <c r="Q2">
        <v>2018</v>
      </c>
      <c r="R2">
        <v>2019</v>
      </c>
      <c r="S2">
        <v>2020</v>
      </c>
      <c r="T2">
        <v>2021</v>
      </c>
      <c r="U2">
        <v>2022</v>
      </c>
      <c r="V2">
        <v>2023</v>
      </c>
      <c r="W2">
        <v>2024</v>
      </c>
    </row>
    <row r="3" spans="1:23">
      <c r="A3" t="s">
        <v>76</v>
      </c>
      <c r="B3">
        <v>12787</v>
      </c>
      <c r="C3">
        <v>14007</v>
      </c>
      <c r="D3">
        <v>14700</v>
      </c>
      <c r="E3">
        <v>17900</v>
      </c>
      <c r="F3">
        <v>21200</v>
      </c>
      <c r="G3">
        <v>19800</v>
      </c>
      <c r="H3">
        <v>18000</v>
      </c>
      <c r="I3">
        <v>16723.177911910276</v>
      </c>
      <c r="J3">
        <v>16304.305710253786</v>
      </c>
      <c r="K3">
        <v>15851.378065991703</v>
      </c>
      <c r="L3">
        <v>15336.756569953177</v>
      </c>
      <c r="M3">
        <v>16915.08488251083</v>
      </c>
      <c r="N3">
        <v>14876.843661998215</v>
      </c>
      <c r="O3">
        <v>13979.049510219496</v>
      </c>
      <c r="P3">
        <v>13008.15323564583</v>
      </c>
      <c r="Q3">
        <v>12969.383965644176</v>
      </c>
      <c r="R3">
        <v>12763.515370752537</v>
      </c>
      <c r="S3">
        <v>11687.025587963797</v>
      </c>
      <c r="T3">
        <v>12190.279662184434</v>
      </c>
      <c r="U3">
        <v>11830.470058160714</v>
      </c>
      <c r="V3">
        <v>12415.282811062341</v>
      </c>
      <c r="W3">
        <v>13822.149947134676</v>
      </c>
    </row>
    <row r="4" spans="1:23">
      <c r="A4" t="s">
        <v>77</v>
      </c>
      <c r="C4">
        <v>565.20000000000005</v>
      </c>
      <c r="D4">
        <v>1035.3</v>
      </c>
      <c r="E4">
        <v>2190.2999999999997</v>
      </c>
      <c r="F4">
        <v>5406.2000000000007</v>
      </c>
      <c r="G4">
        <v>9196.5999999999985</v>
      </c>
      <c r="H4">
        <v>16233.1</v>
      </c>
      <c r="I4">
        <v>17939.355799999998</v>
      </c>
      <c r="J4">
        <v>19127.948</v>
      </c>
      <c r="K4">
        <v>20249.807999999997</v>
      </c>
      <c r="L4">
        <v>20944.484999999997</v>
      </c>
      <c r="M4">
        <v>22001.232</v>
      </c>
      <c r="N4">
        <v>23231.750000000004</v>
      </c>
      <c r="O4">
        <v>24186.746999999999</v>
      </c>
      <c r="P4">
        <v>25612.71</v>
      </c>
      <c r="Q4">
        <v>28639.210999999996</v>
      </c>
      <c r="R4">
        <v>29119.02</v>
      </c>
      <c r="S4">
        <v>28071.34</v>
      </c>
      <c r="T4">
        <v>29319.530000000002</v>
      </c>
      <c r="U4">
        <v>30854.440000000002</v>
      </c>
      <c r="V4">
        <v>32477.962</v>
      </c>
      <c r="W4">
        <v>33230</v>
      </c>
    </row>
    <row r="5" spans="1:23">
      <c r="A5" t="s">
        <v>78</v>
      </c>
      <c r="E5">
        <v>239</v>
      </c>
      <c r="F5">
        <v>1800</v>
      </c>
      <c r="G5">
        <v>4200</v>
      </c>
      <c r="H5">
        <v>6200</v>
      </c>
      <c r="I5">
        <v>6426</v>
      </c>
      <c r="J5">
        <v>6791</v>
      </c>
      <c r="K5">
        <v>7196</v>
      </c>
      <c r="L5">
        <v>7724.7</v>
      </c>
      <c r="M5">
        <v>8414.2000000000007</v>
      </c>
      <c r="N5">
        <v>9249</v>
      </c>
      <c r="O5">
        <v>10200</v>
      </c>
      <c r="P5">
        <v>11000</v>
      </c>
      <c r="Q5">
        <v>11765.4</v>
      </c>
      <c r="R5">
        <v>12830</v>
      </c>
      <c r="S5">
        <v>13336</v>
      </c>
      <c r="T5">
        <v>14531</v>
      </c>
      <c r="U5">
        <v>15248.49</v>
      </c>
      <c r="V5">
        <v>15949</v>
      </c>
      <c r="W5">
        <v>15962</v>
      </c>
    </row>
    <row r="6" spans="1:23">
      <c r="A6" t="s">
        <v>902</v>
      </c>
      <c r="I6">
        <v>809.04832526113626</v>
      </c>
      <c r="J6">
        <v>844.34742501391099</v>
      </c>
      <c r="K6">
        <v>1091.7768918884562</v>
      </c>
      <c r="L6">
        <v>1644.9082958150216</v>
      </c>
      <c r="M6">
        <v>1824.3912958248304</v>
      </c>
      <c r="N6">
        <v>2441.1495415155664</v>
      </c>
      <c r="O6">
        <v>2939.3293480936964</v>
      </c>
      <c r="P6">
        <v>3663.8362915269745</v>
      </c>
      <c r="Q6">
        <v>4725.1506005328583</v>
      </c>
      <c r="R6">
        <v>6269.1353315442311</v>
      </c>
      <c r="S6">
        <v>7730.2325740930009</v>
      </c>
      <c r="T6">
        <v>10198.974899082205</v>
      </c>
      <c r="U6">
        <v>13794.625441493381</v>
      </c>
      <c r="V6">
        <v>15196.761002730535</v>
      </c>
      <c r="W6">
        <v>18653.770368666199</v>
      </c>
    </row>
    <row r="7" spans="1:23">
      <c r="A7" t="s">
        <v>79</v>
      </c>
      <c r="B7">
        <v>716.3</v>
      </c>
      <c r="C7">
        <v>1242.9000000000001</v>
      </c>
      <c r="D7">
        <v>1651.4</v>
      </c>
      <c r="E7">
        <v>2677.4</v>
      </c>
      <c r="F7">
        <v>4218.5</v>
      </c>
      <c r="G7">
        <v>5039.3999999999996</v>
      </c>
      <c r="H7">
        <v>6953.5</v>
      </c>
      <c r="I7">
        <v>8129.9</v>
      </c>
      <c r="J7">
        <v>8459.1</v>
      </c>
      <c r="K7">
        <v>8560.7999999999993</v>
      </c>
      <c r="L7">
        <v>8793.9</v>
      </c>
      <c r="M7">
        <v>8942.4</v>
      </c>
      <c r="N7">
        <v>8936</v>
      </c>
      <c r="O7">
        <v>8779.1</v>
      </c>
      <c r="P7">
        <v>8581.1</v>
      </c>
      <c r="Q7">
        <v>8424.4</v>
      </c>
      <c r="R7">
        <v>8364.2000000000007</v>
      </c>
      <c r="S7">
        <v>8099.44</v>
      </c>
      <c r="T7">
        <v>7839.09</v>
      </c>
      <c r="U7">
        <v>7421.49</v>
      </c>
      <c r="V7">
        <v>7023.97</v>
      </c>
      <c r="W7">
        <v>6443.8580000000002</v>
      </c>
    </row>
    <row r="8" spans="1:23">
      <c r="A8" t="s">
        <v>80</v>
      </c>
      <c r="B8">
        <v>1459.3229999999999</v>
      </c>
      <c r="C8">
        <v>1956.7870000000003</v>
      </c>
      <c r="D8">
        <v>2346.9160000000002</v>
      </c>
      <c r="E8">
        <v>2471.192</v>
      </c>
      <c r="F8">
        <v>2989.9110000000001</v>
      </c>
      <c r="G8">
        <v>2927.9520000000002</v>
      </c>
      <c r="H8">
        <v>3187.317</v>
      </c>
      <c r="I8">
        <v>3354.5639999999999</v>
      </c>
      <c r="J8">
        <v>3359.634</v>
      </c>
      <c r="K8">
        <v>3272.2000000000003</v>
      </c>
      <c r="L8">
        <v>3113.12</v>
      </c>
      <c r="M8">
        <v>3067.53</v>
      </c>
      <c r="N8">
        <v>2742.82</v>
      </c>
      <c r="O8">
        <v>2756.17</v>
      </c>
      <c r="P8">
        <v>2559.31</v>
      </c>
      <c r="Q8">
        <v>2623.1</v>
      </c>
      <c r="R8">
        <v>2564.12</v>
      </c>
      <c r="S8">
        <v>2315.7900000000004</v>
      </c>
      <c r="T8">
        <v>2526.6999999999998</v>
      </c>
      <c r="U8">
        <v>2571.4299999999998</v>
      </c>
      <c r="V8">
        <v>2404.3799999999997</v>
      </c>
      <c r="W8">
        <v>2510.9</v>
      </c>
    </row>
    <row r="9" spans="1:23">
      <c r="A9" t="s">
        <v>81</v>
      </c>
      <c r="B9">
        <v>93.8</v>
      </c>
      <c r="C9">
        <v>142.4</v>
      </c>
      <c r="D9">
        <v>395.18400000000003</v>
      </c>
      <c r="E9">
        <v>664.48</v>
      </c>
      <c r="F9">
        <v>1270.431</v>
      </c>
      <c r="G9">
        <v>2065.201</v>
      </c>
      <c r="H9">
        <v>2931.1410000000001</v>
      </c>
      <c r="I9">
        <v>3474.62</v>
      </c>
      <c r="J9">
        <v>3748.0920000000001</v>
      </c>
      <c r="K9">
        <v>3967.587</v>
      </c>
      <c r="L9">
        <v>4090.9940000000001</v>
      </c>
      <c r="M9">
        <v>4235.6000000000004</v>
      </c>
      <c r="N9">
        <v>4254.6000000000004</v>
      </c>
      <c r="O9">
        <v>4415.6000000000004</v>
      </c>
      <c r="P9">
        <v>4365</v>
      </c>
      <c r="Q9">
        <v>4247.16</v>
      </c>
      <c r="R9">
        <v>4233.1289999999999</v>
      </c>
      <c r="S9">
        <v>3929.1</v>
      </c>
      <c r="T9">
        <v>3960</v>
      </c>
      <c r="U9">
        <v>4091.87</v>
      </c>
      <c r="V9">
        <v>3833.65</v>
      </c>
      <c r="W9">
        <v>3764.067</v>
      </c>
    </row>
    <row r="10" spans="1:23">
      <c r="A10" t="s">
        <v>241</v>
      </c>
      <c r="J10">
        <v>82.91</v>
      </c>
      <c r="K10">
        <v>182.95000000000002</v>
      </c>
      <c r="L10">
        <v>290.96000000000004</v>
      </c>
      <c r="M10">
        <v>436.86999999999995</v>
      </c>
      <c r="N10">
        <v>609.26</v>
      </c>
      <c r="O10">
        <v>821.1400000000001</v>
      </c>
      <c r="P10">
        <v>976.6849010050305</v>
      </c>
      <c r="Q10">
        <v>1367.7638915254599</v>
      </c>
      <c r="R10">
        <v>1950.4656765968634</v>
      </c>
      <c r="S10">
        <v>2579.9124582667914</v>
      </c>
      <c r="T10">
        <v>3053.2058856066988</v>
      </c>
      <c r="U10">
        <v>3633.4</v>
      </c>
      <c r="V10">
        <v>4091.8574704618518</v>
      </c>
      <c r="W10">
        <v>4814.7927980109298</v>
      </c>
    </row>
    <row r="11" spans="1:23">
      <c r="A11" t="s">
        <v>26</v>
      </c>
      <c r="F11">
        <v>141.4</v>
      </c>
      <c r="G11">
        <v>364</v>
      </c>
      <c r="H11">
        <v>1609</v>
      </c>
      <c r="I11">
        <v>2279</v>
      </c>
      <c r="J11">
        <v>2674</v>
      </c>
      <c r="K11">
        <v>3085</v>
      </c>
      <c r="L11">
        <v>3418</v>
      </c>
      <c r="M11">
        <v>3793</v>
      </c>
      <c r="N11">
        <v>4604</v>
      </c>
      <c r="O11">
        <v>5485</v>
      </c>
      <c r="P11">
        <v>6771</v>
      </c>
      <c r="Q11">
        <v>7592</v>
      </c>
      <c r="R11">
        <v>8760</v>
      </c>
      <c r="S11">
        <v>9624</v>
      </c>
      <c r="T11">
        <v>12966.974416273639</v>
      </c>
      <c r="U11">
        <v>14670.258851878738</v>
      </c>
      <c r="V11">
        <v>16680.144172375414</v>
      </c>
      <c r="W11">
        <v>18437.693735673252</v>
      </c>
    </row>
    <row r="12" spans="1:23">
      <c r="A12" t="s">
        <v>83</v>
      </c>
      <c r="I12">
        <v>915.26551180000001</v>
      </c>
      <c r="J12">
        <v>989.33585559999995</v>
      </c>
      <c r="K12">
        <v>1124.9397956999999</v>
      </c>
      <c r="L12">
        <v>1303.0980349999998</v>
      </c>
      <c r="M12">
        <v>1563.8880479999998</v>
      </c>
      <c r="N12">
        <v>2076.2889260000002</v>
      </c>
      <c r="O12">
        <v>2244.3016520000006</v>
      </c>
      <c r="P12">
        <v>2371.4710879999998</v>
      </c>
      <c r="Q12">
        <v>3507.25614</v>
      </c>
      <c r="R12">
        <v>3592.8869699999996</v>
      </c>
      <c r="S12">
        <v>3488.2343600000004</v>
      </c>
      <c r="T12">
        <v>3932.5196900000001</v>
      </c>
      <c r="U12">
        <v>4294.6438799999996</v>
      </c>
      <c r="V12">
        <v>4332.1270000000004</v>
      </c>
      <c r="W12">
        <v>4614.9742983774595</v>
      </c>
    </row>
    <row r="13" spans="1:23">
      <c r="A13" t="s">
        <v>84</v>
      </c>
      <c r="B13">
        <v>769.2</v>
      </c>
      <c r="C13">
        <v>894.9</v>
      </c>
      <c r="D13">
        <v>985.9</v>
      </c>
      <c r="E13">
        <v>1043.4000000000001</v>
      </c>
      <c r="F13">
        <v>1256.2</v>
      </c>
      <c r="G13">
        <v>1513.8999999999999</v>
      </c>
      <c r="H13">
        <v>2078.64</v>
      </c>
      <c r="I13">
        <v>2211.9900000000002</v>
      </c>
      <c r="J13">
        <v>2301.3000000000002</v>
      </c>
      <c r="K13">
        <v>2295.7400000000002</v>
      </c>
      <c r="L13">
        <v>2261.13</v>
      </c>
      <c r="M13">
        <v>2169.7999999999997</v>
      </c>
      <c r="N13">
        <v>2175.66</v>
      </c>
      <c r="O13">
        <v>2119.19</v>
      </c>
      <c r="P13">
        <v>2257.0700000000002</v>
      </c>
      <c r="Q13">
        <v>2327.8199999999997</v>
      </c>
      <c r="R13">
        <v>2301.9100000000003</v>
      </c>
      <c r="S13">
        <v>2009.3899999999999</v>
      </c>
      <c r="T13">
        <v>1936.6100000000001</v>
      </c>
      <c r="U13">
        <v>2000.16</v>
      </c>
      <c r="V13">
        <v>1999.48</v>
      </c>
      <c r="W13">
        <v>2017.0687558415841</v>
      </c>
    </row>
    <row r="14" spans="1:23">
      <c r="A14" t="s">
        <v>242</v>
      </c>
      <c r="B14">
        <v>666.69</v>
      </c>
      <c r="C14">
        <v>874.9899999999999</v>
      </c>
      <c r="D14">
        <v>1234.28</v>
      </c>
      <c r="E14">
        <v>1626.73</v>
      </c>
      <c r="F14">
        <v>1742.6289999999999</v>
      </c>
      <c r="G14">
        <v>1478.049</v>
      </c>
      <c r="H14">
        <v>1242.742</v>
      </c>
      <c r="I14">
        <v>1179.6780000000003</v>
      </c>
      <c r="J14">
        <v>1146.9880000000001</v>
      </c>
      <c r="K14">
        <v>1135.96</v>
      </c>
      <c r="L14">
        <v>1131.453</v>
      </c>
      <c r="M14">
        <v>1123.4049999999997</v>
      </c>
      <c r="N14">
        <v>1145.72</v>
      </c>
      <c r="O14">
        <v>1195.8580000000002</v>
      </c>
      <c r="P14">
        <v>1221.2613460000002</v>
      </c>
      <c r="Q14">
        <v>1227.22</v>
      </c>
      <c r="R14">
        <v>1306.96</v>
      </c>
      <c r="S14">
        <v>688.57999999999981</v>
      </c>
      <c r="T14">
        <v>890.4</v>
      </c>
      <c r="U14">
        <v>1570.7172999999996</v>
      </c>
      <c r="V14">
        <v>1876.1547999999998</v>
      </c>
      <c r="W14">
        <v>1938.6419292000003</v>
      </c>
    </row>
    <row r="15" spans="1:23">
      <c r="A15" t="s">
        <v>955</v>
      </c>
      <c r="H15">
        <v>146.69</v>
      </c>
      <c r="I15">
        <v>182.82</v>
      </c>
      <c r="J15">
        <v>209.72000000000003</v>
      </c>
      <c r="K15">
        <v>232.98000000000002</v>
      </c>
      <c r="L15">
        <v>273.58</v>
      </c>
      <c r="M15">
        <v>280.42</v>
      </c>
      <c r="N15">
        <v>354.67</v>
      </c>
      <c r="O15">
        <v>421.75</v>
      </c>
      <c r="P15">
        <v>518.16999999999996</v>
      </c>
      <c r="Q15">
        <v>690.15000000000009</v>
      </c>
      <c r="R15">
        <v>799.1</v>
      </c>
      <c r="S15">
        <v>872.11</v>
      </c>
      <c r="T15">
        <v>990.92</v>
      </c>
      <c r="U15">
        <v>1053.3</v>
      </c>
      <c r="V15">
        <v>1141.44</v>
      </c>
      <c r="W15">
        <v>1217.9480707999999</v>
      </c>
    </row>
    <row r="16" spans="1:23">
      <c r="A16" t="s">
        <v>86</v>
      </c>
      <c r="J16">
        <v>5.1933298736168823</v>
      </c>
      <c r="K16">
        <v>9.5976579528095112</v>
      </c>
      <c r="L16">
        <v>19.852041251946979</v>
      </c>
      <c r="M16">
        <v>44.194236519092023</v>
      </c>
      <c r="N16">
        <v>76.640801487162676</v>
      </c>
      <c r="O16">
        <v>101.67275848523336</v>
      </c>
      <c r="P16">
        <v>162.12189333470445</v>
      </c>
      <c r="Q16">
        <v>199.91768053941746</v>
      </c>
      <c r="R16">
        <v>271.16006352490928</v>
      </c>
      <c r="S16">
        <v>339.68130813528984</v>
      </c>
      <c r="T16">
        <v>465.17406811700585</v>
      </c>
      <c r="U16">
        <v>405.53730454671211</v>
      </c>
      <c r="V16">
        <v>485.78705644420342</v>
      </c>
      <c r="W16">
        <v>547.52676032008821</v>
      </c>
    </row>
    <row r="17" spans="1:23">
      <c r="A17" t="s">
        <v>21</v>
      </c>
      <c r="B17">
        <v>2190</v>
      </c>
      <c r="C17">
        <v>2925</v>
      </c>
      <c r="D17">
        <v>2790</v>
      </c>
      <c r="E17">
        <v>3310</v>
      </c>
      <c r="F17">
        <v>3999.960626</v>
      </c>
      <c r="G17">
        <v>4317.2183897396471</v>
      </c>
      <c r="H17">
        <v>4735.1822544604447</v>
      </c>
      <c r="I17">
        <v>4603.8769999999995</v>
      </c>
      <c r="J17">
        <v>4553.4369999999999</v>
      </c>
      <c r="K17">
        <v>4613.0909999999994</v>
      </c>
      <c r="L17">
        <v>3988.3620000000001</v>
      </c>
      <c r="M17">
        <v>3855.4900000000002</v>
      </c>
      <c r="N17">
        <v>3472.7670000000003</v>
      </c>
      <c r="O17">
        <v>3121.3050000000003</v>
      </c>
      <c r="P17">
        <v>2830.5190000000002</v>
      </c>
      <c r="Q17">
        <v>2721.09</v>
      </c>
      <c r="R17">
        <v>2363.7919999999999</v>
      </c>
      <c r="S17">
        <v>1940.5</v>
      </c>
      <c r="T17">
        <v>1984.7324666666666</v>
      </c>
      <c r="U17">
        <v>2045.5324666666666</v>
      </c>
      <c r="V17">
        <v>2067.8114533394109</v>
      </c>
      <c r="W17">
        <v>1900.457346203619</v>
      </c>
    </row>
    <row r="18" spans="1:23">
      <c r="A18" t="s">
        <v>28</v>
      </c>
      <c r="B18">
        <v>771</v>
      </c>
      <c r="C18">
        <v>775</v>
      </c>
      <c r="D18">
        <v>993.9</v>
      </c>
      <c r="E18">
        <v>1011.2</v>
      </c>
      <c r="F18">
        <v>1300</v>
      </c>
      <c r="G18">
        <v>1847.1</v>
      </c>
      <c r="H18">
        <v>2394.4</v>
      </c>
      <c r="I18">
        <v>2134.5</v>
      </c>
      <c r="J18">
        <v>2088</v>
      </c>
      <c r="K18">
        <v>1922</v>
      </c>
      <c r="L18">
        <v>1555.7</v>
      </c>
      <c r="M18">
        <v>1384.55</v>
      </c>
      <c r="N18">
        <v>1213.4000000000001</v>
      </c>
      <c r="O18">
        <v>1119.5</v>
      </c>
      <c r="P18">
        <v>1025.5999999999999</v>
      </c>
      <c r="Q18">
        <v>976.05</v>
      </c>
      <c r="R18">
        <v>926.5</v>
      </c>
      <c r="S18">
        <v>844.35</v>
      </c>
      <c r="T18">
        <v>762.2</v>
      </c>
      <c r="U18">
        <v>766.65</v>
      </c>
      <c r="V18">
        <v>771.1</v>
      </c>
      <c r="W18">
        <v>775.96034399999996</v>
      </c>
    </row>
    <row r="19" spans="1:23" ht="17" customHeight="1">
      <c r="A19" t="s">
        <v>244</v>
      </c>
      <c r="B19">
        <v>19453.312999999998</v>
      </c>
      <c r="C19">
        <v>23384.177000000007</v>
      </c>
      <c r="D19">
        <v>26132.880000000005</v>
      </c>
      <c r="E19">
        <v>33133.701999999997</v>
      </c>
      <c r="F19">
        <v>45325.231626000001</v>
      </c>
      <c r="G19">
        <v>52749.420389739644</v>
      </c>
      <c r="H19">
        <v>65711.71225446045</v>
      </c>
      <c r="I19">
        <v>70363.796548971412</v>
      </c>
      <c r="J19">
        <v>72685.311320741326</v>
      </c>
      <c r="K19">
        <v>74791.808411532955</v>
      </c>
      <c r="L19">
        <v>75890.998942020131</v>
      </c>
      <c r="M19">
        <v>80052.055462854754</v>
      </c>
      <c r="N19">
        <v>81460.569931000937</v>
      </c>
      <c r="O19">
        <v>83885.713268798427</v>
      </c>
      <c r="P19">
        <v>86924.007755512546</v>
      </c>
      <c r="Q19">
        <v>94003.073278241922</v>
      </c>
      <c r="R19">
        <v>98415.894412418565</v>
      </c>
      <c r="S19">
        <v>97555.686288458877</v>
      </c>
      <c r="T19">
        <v>107548.31108793065</v>
      </c>
      <c r="U19">
        <v>116253.01530274622</v>
      </c>
      <c r="V19">
        <v>122746.90776641374</v>
      </c>
      <c r="W19">
        <v>130651.80935422782</v>
      </c>
    </row>
    <row r="22" spans="1:23">
      <c r="A22" t="s">
        <v>968</v>
      </c>
      <c r="B22">
        <v>13503.3</v>
      </c>
      <c r="C22">
        <v>15815.1</v>
      </c>
      <c r="D22">
        <v>17386.7</v>
      </c>
      <c r="E22">
        <v>23006.7</v>
      </c>
      <c r="F22">
        <v>32624.7</v>
      </c>
      <c r="G22">
        <v>38236</v>
      </c>
      <c r="H22">
        <v>47386.6</v>
      </c>
      <c r="I22">
        <v>49218.433711910278</v>
      </c>
      <c r="J22">
        <v>50682.353710253788</v>
      </c>
      <c r="K22">
        <v>51857.986065991703</v>
      </c>
      <c r="L22">
        <v>52799.841569953169</v>
      </c>
      <c r="M22">
        <v>56272.916882510828</v>
      </c>
      <c r="N22">
        <v>56293.593661998217</v>
      </c>
      <c r="O22">
        <v>57144.896510219492</v>
      </c>
      <c r="P22">
        <v>58201.963235645824</v>
      </c>
      <c r="Q22">
        <v>61798.394965644176</v>
      </c>
      <c r="R22">
        <v>63076.735370752533</v>
      </c>
      <c r="S22">
        <v>61193.805587963798</v>
      </c>
      <c r="T22">
        <v>63879.899662184442</v>
      </c>
      <c r="U22">
        <v>65354.890058160716</v>
      </c>
      <c r="V22">
        <v>67866.214811062338</v>
      </c>
      <c r="W22">
        <v>69458.007947134669</v>
      </c>
    </row>
    <row r="23" spans="1:23">
      <c r="A23" t="s">
        <v>969</v>
      </c>
      <c r="B23">
        <v>19453.312999999998</v>
      </c>
      <c r="C23">
        <v>23384.177000000007</v>
      </c>
      <c r="D23">
        <v>26132.880000000005</v>
      </c>
      <c r="E23">
        <v>33133.701999999997</v>
      </c>
      <c r="F23">
        <v>45325.231626000001</v>
      </c>
      <c r="G23">
        <v>52749.420389739644</v>
      </c>
      <c r="H23">
        <v>65711.71225446045</v>
      </c>
      <c r="I23">
        <v>69554.748223710281</v>
      </c>
      <c r="J23">
        <v>71840.963895727415</v>
      </c>
      <c r="K23">
        <v>73700.031519644501</v>
      </c>
      <c r="L23">
        <v>74246.090646205106</v>
      </c>
      <c r="M23">
        <v>78227.664167029929</v>
      </c>
      <c r="N23">
        <v>79019.420389485371</v>
      </c>
      <c r="O23">
        <v>80946.383920704728</v>
      </c>
      <c r="P23">
        <v>83260.171463985578</v>
      </c>
      <c r="Q23">
        <v>89277.922677709066</v>
      </c>
      <c r="R23">
        <v>92146.759080874341</v>
      </c>
      <c r="S23">
        <v>89825.453714365882</v>
      </c>
      <c r="T23">
        <v>97349.336188848451</v>
      </c>
      <c r="U23">
        <v>102458.38986125284</v>
      </c>
      <c r="V23">
        <v>107550.14676368321</v>
      </c>
      <c r="W23">
        <v>111998.03898556162</v>
      </c>
    </row>
  </sheetData>
  <mergeCells count="1">
    <mergeCell ref="A1:I1"/>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1FDB5-234B-5346-8D64-2D5AA7AF39BC}">
  <dimension ref="A1:W8"/>
  <sheetViews>
    <sheetView zoomScale="130" zoomScaleNormal="130" workbookViewId="0">
      <pane xSplit="1" ySplit="2" topLeftCell="B3" activePane="bottomRight" state="frozen"/>
      <selection pane="topRight" activeCell="B1" sqref="B1"/>
      <selection pane="bottomLeft" activeCell="A3" sqref="A3"/>
      <selection pane="bottomRight" activeCell="D21" sqref="A1:XFD1048576"/>
    </sheetView>
  </sheetViews>
  <sheetFormatPr baseColWidth="10" defaultColWidth="11" defaultRowHeight="16"/>
  <cols>
    <col min="1" max="1" width="33.1640625" customWidth="1"/>
    <col min="2" max="16" width="11" customWidth="1"/>
  </cols>
  <sheetData>
    <row r="1" spans="1:23">
      <c r="A1" s="627" t="s">
        <v>1035</v>
      </c>
      <c r="B1" s="627"/>
      <c r="C1" s="627"/>
      <c r="D1" s="627"/>
      <c r="E1" s="627"/>
      <c r="F1" s="627"/>
      <c r="G1" s="627"/>
      <c r="H1" s="627"/>
      <c r="I1" s="627"/>
      <c r="J1" s="627"/>
    </row>
    <row r="2" spans="1:23">
      <c r="B2">
        <v>1984</v>
      </c>
      <c r="C2">
        <v>1988</v>
      </c>
      <c r="D2">
        <v>1992</v>
      </c>
      <c r="E2">
        <v>1996</v>
      </c>
      <c r="F2">
        <v>2000</v>
      </c>
      <c r="G2">
        <v>2004</v>
      </c>
      <c r="H2">
        <v>2008</v>
      </c>
      <c r="I2">
        <v>2010</v>
      </c>
      <c r="J2">
        <v>2011</v>
      </c>
      <c r="K2">
        <v>2012</v>
      </c>
      <c r="L2">
        <v>2013</v>
      </c>
      <c r="M2">
        <v>2014</v>
      </c>
      <c r="N2">
        <v>2015</v>
      </c>
      <c r="O2">
        <v>2016</v>
      </c>
      <c r="P2">
        <v>2017</v>
      </c>
      <c r="Q2">
        <v>2018</v>
      </c>
      <c r="R2">
        <v>2019</v>
      </c>
      <c r="S2">
        <v>2020</v>
      </c>
      <c r="T2">
        <v>2021</v>
      </c>
      <c r="U2">
        <v>2022</v>
      </c>
      <c r="V2">
        <v>2023</v>
      </c>
      <c r="W2">
        <v>2024</v>
      </c>
    </row>
    <row r="3" spans="1:23">
      <c r="A3" t="s">
        <v>77</v>
      </c>
      <c r="B3">
        <v>321</v>
      </c>
      <c r="C3">
        <v>565.20000000000005</v>
      </c>
      <c r="D3">
        <v>1035.3</v>
      </c>
      <c r="E3">
        <v>2190.2999999999997</v>
      </c>
      <c r="F3">
        <v>5406.2000000000007</v>
      </c>
      <c r="G3">
        <v>9196.5999999999985</v>
      </c>
      <c r="H3">
        <v>16233.1</v>
      </c>
      <c r="I3">
        <v>17939.355799999998</v>
      </c>
      <c r="J3">
        <v>19127.948</v>
      </c>
      <c r="K3">
        <v>20249.807999999997</v>
      </c>
      <c r="L3">
        <v>20944.484999999997</v>
      </c>
      <c r="M3">
        <v>22001.232</v>
      </c>
      <c r="N3">
        <v>23231.750000000004</v>
      </c>
      <c r="O3">
        <v>24186.746999999999</v>
      </c>
      <c r="P3">
        <v>25612.71</v>
      </c>
      <c r="Q3">
        <v>28639.210999999996</v>
      </c>
      <c r="R3">
        <v>29119.02</v>
      </c>
      <c r="S3">
        <v>28071.34</v>
      </c>
      <c r="T3">
        <v>29319.530000000002</v>
      </c>
      <c r="U3">
        <v>30854.440000000002</v>
      </c>
      <c r="V3">
        <v>32477.962</v>
      </c>
      <c r="W3">
        <v>33230</v>
      </c>
    </row>
    <row r="4" spans="1:23">
      <c r="A4" t="s">
        <v>76</v>
      </c>
      <c r="B4">
        <v>12787</v>
      </c>
      <c r="C4">
        <v>14007</v>
      </c>
      <c r="D4">
        <v>14700</v>
      </c>
      <c r="E4">
        <v>17900</v>
      </c>
      <c r="F4">
        <v>21200</v>
      </c>
      <c r="G4">
        <v>19800</v>
      </c>
      <c r="H4">
        <v>18000</v>
      </c>
      <c r="I4">
        <v>16723.177911910276</v>
      </c>
      <c r="J4">
        <v>16304.305710253786</v>
      </c>
      <c r="K4">
        <v>15851.378065991703</v>
      </c>
      <c r="L4">
        <v>15336.756569953177</v>
      </c>
      <c r="M4">
        <v>16915.08488251083</v>
      </c>
      <c r="N4">
        <v>14876.843661998215</v>
      </c>
      <c r="O4">
        <v>13979.049510219496</v>
      </c>
      <c r="P4">
        <v>13008.15323564583</v>
      </c>
      <c r="Q4">
        <v>12969.383965644176</v>
      </c>
      <c r="R4">
        <v>12763.515370752537</v>
      </c>
      <c r="S4">
        <v>11687.025587963797</v>
      </c>
      <c r="T4">
        <v>12190.279662184434</v>
      </c>
      <c r="U4">
        <v>11830.470058160714</v>
      </c>
      <c r="V4">
        <v>12415.282811062341</v>
      </c>
      <c r="W4">
        <v>13822.149947134676</v>
      </c>
    </row>
    <row r="5" spans="1:23">
      <c r="A5" t="s">
        <v>78</v>
      </c>
      <c r="E5">
        <v>239</v>
      </c>
      <c r="F5">
        <v>1800</v>
      </c>
      <c r="G5">
        <v>4200</v>
      </c>
      <c r="H5">
        <v>6200</v>
      </c>
      <c r="I5">
        <v>6426</v>
      </c>
      <c r="J5">
        <v>6791</v>
      </c>
      <c r="K5">
        <v>7196</v>
      </c>
      <c r="L5">
        <v>7724.7</v>
      </c>
      <c r="M5">
        <v>8414.2000000000007</v>
      </c>
      <c r="N5">
        <v>9249</v>
      </c>
      <c r="O5">
        <v>10200</v>
      </c>
      <c r="P5">
        <v>11000</v>
      </c>
      <c r="Q5">
        <v>11765.4</v>
      </c>
      <c r="R5">
        <v>12830</v>
      </c>
      <c r="S5">
        <v>13336</v>
      </c>
      <c r="T5">
        <v>14531</v>
      </c>
      <c r="U5">
        <v>15248.49</v>
      </c>
      <c r="V5">
        <v>15949</v>
      </c>
      <c r="W5">
        <v>15962</v>
      </c>
    </row>
    <row r="6" spans="1:23">
      <c r="A6" t="s">
        <v>249</v>
      </c>
      <c r="B6">
        <v>716.3</v>
      </c>
      <c r="C6">
        <v>1242.9000000000001</v>
      </c>
      <c r="D6">
        <v>1651.4</v>
      </c>
      <c r="E6">
        <v>2677.4</v>
      </c>
      <c r="F6">
        <v>3913.5</v>
      </c>
      <c r="G6">
        <v>4170.16</v>
      </c>
      <c r="H6">
        <v>5450.16</v>
      </c>
      <c r="I6">
        <v>6166.02</v>
      </c>
      <c r="J6">
        <v>6088.2</v>
      </c>
      <c r="K6">
        <v>5953.09</v>
      </c>
      <c r="L6">
        <v>5949.04</v>
      </c>
      <c r="M6">
        <v>5761.42</v>
      </c>
      <c r="N6">
        <v>5740.14</v>
      </c>
      <c r="O6">
        <v>5485.23</v>
      </c>
      <c r="P6">
        <v>5281.47</v>
      </c>
      <c r="Q6">
        <v>5100.62</v>
      </c>
      <c r="R6">
        <v>5009.22</v>
      </c>
      <c r="S6">
        <v>4795.46</v>
      </c>
      <c r="T6">
        <v>4649.09</v>
      </c>
      <c r="U6">
        <v>4295.0600000000004</v>
      </c>
      <c r="V6">
        <v>4013.87</v>
      </c>
      <c r="W6">
        <v>3617.3300000000004</v>
      </c>
    </row>
    <row r="7" spans="1:23">
      <c r="A7" t="s">
        <v>250</v>
      </c>
      <c r="F7">
        <v>305</v>
      </c>
      <c r="G7">
        <v>869.24300000000005</v>
      </c>
      <c r="H7">
        <v>1503.3420000000001</v>
      </c>
      <c r="I7">
        <v>1963.877</v>
      </c>
      <c r="J7">
        <v>2370.902</v>
      </c>
      <c r="K7">
        <v>2607.7130000000002</v>
      </c>
      <c r="L7">
        <v>2844.8589999999999</v>
      </c>
      <c r="M7">
        <v>3180.9769999999999</v>
      </c>
      <c r="N7">
        <v>3195.857</v>
      </c>
      <c r="O7">
        <v>3293.8739999999998</v>
      </c>
      <c r="P7">
        <v>3299.6289999999999</v>
      </c>
      <c r="Q7">
        <v>3323.7809999999999</v>
      </c>
      <c r="R7">
        <v>3354.9760000000001</v>
      </c>
      <c r="S7">
        <v>3303.9839999999999</v>
      </c>
      <c r="T7">
        <v>3190.0010000000002</v>
      </c>
      <c r="U7">
        <v>3126.4290000000001</v>
      </c>
      <c r="V7">
        <v>3010.1030000000001</v>
      </c>
      <c r="W7">
        <v>2826.5279999999998</v>
      </c>
    </row>
    <row r="8" spans="1:23">
      <c r="A8" t="s">
        <v>251</v>
      </c>
      <c r="B8">
        <v>13824.3</v>
      </c>
      <c r="C8">
        <v>15815.1</v>
      </c>
      <c r="D8">
        <v>17386.7</v>
      </c>
      <c r="E8">
        <v>23006.7</v>
      </c>
      <c r="F8">
        <v>32624.7</v>
      </c>
      <c r="G8">
        <v>38236.002999999997</v>
      </c>
      <c r="H8">
        <v>47386.601999999992</v>
      </c>
      <c r="I8">
        <v>49218.430711910281</v>
      </c>
      <c r="J8">
        <v>50682.355710253789</v>
      </c>
      <c r="K8">
        <v>51857.9890659917</v>
      </c>
      <c r="L8">
        <v>52799.840569953165</v>
      </c>
      <c r="M8">
        <v>56272.913882510824</v>
      </c>
      <c r="N8">
        <v>56293.590661998212</v>
      </c>
      <c r="O8">
        <v>57144.900510219493</v>
      </c>
      <c r="P8">
        <v>58201.962235645828</v>
      </c>
      <c r="Q8">
        <v>61798.39596564418</v>
      </c>
      <c r="R8">
        <v>63076.731370752539</v>
      </c>
      <c r="S8">
        <v>61193.809587963791</v>
      </c>
      <c r="T8">
        <v>63879.900662184446</v>
      </c>
      <c r="U8">
        <v>65354.889058160712</v>
      </c>
      <c r="V8">
        <v>67866.217811062335</v>
      </c>
      <c r="W8">
        <v>69458.007947134683</v>
      </c>
    </row>
  </sheetData>
  <mergeCells count="1">
    <mergeCell ref="A1:J1"/>
  </mergeCells>
  <pageMargins left="0.7" right="0.7" top="0.75" bottom="0.75" header="0.3" footer="0.3"/>
  <pageSetup orientation="portrait" horizontalDpi="0" verticalDpi="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F3F340-AD89-BC4A-9AB1-0B5AFC486805}">
  <dimension ref="A1:K32"/>
  <sheetViews>
    <sheetView zoomScale="120" zoomScaleNormal="120" workbookViewId="0">
      <selection activeCell="H19" sqref="H19"/>
    </sheetView>
  </sheetViews>
  <sheetFormatPr baseColWidth="10" defaultColWidth="11" defaultRowHeight="16"/>
  <cols>
    <col min="1" max="1" width="25.83203125" customWidth="1"/>
    <col min="12" max="12" width="12" customWidth="1"/>
  </cols>
  <sheetData>
    <row r="1" spans="1:11">
      <c r="A1" s="627" t="s">
        <v>1036</v>
      </c>
      <c r="B1" s="627"/>
      <c r="C1" s="627"/>
      <c r="D1" s="627"/>
      <c r="E1" s="627"/>
      <c r="F1" s="627"/>
      <c r="G1" s="627"/>
    </row>
    <row r="2" spans="1:11">
      <c r="B2" t="s">
        <v>264</v>
      </c>
      <c r="C2" t="s">
        <v>89</v>
      </c>
      <c r="D2" t="s">
        <v>90</v>
      </c>
      <c r="E2" t="s">
        <v>265</v>
      </c>
      <c r="F2" t="s">
        <v>266</v>
      </c>
      <c r="G2" t="s">
        <v>244</v>
      </c>
      <c r="H2" t="s">
        <v>267</v>
      </c>
    </row>
    <row r="3" spans="1:11">
      <c r="A3" t="s">
        <v>254</v>
      </c>
      <c r="B3">
        <v>1834.191</v>
      </c>
      <c r="C3">
        <v>1568</v>
      </c>
      <c r="D3">
        <v>1047.5</v>
      </c>
      <c r="E3">
        <v>641.79999999999995</v>
      </c>
      <c r="F3">
        <v>5091.491</v>
      </c>
      <c r="G3">
        <v>10791.5</v>
      </c>
      <c r="H3">
        <v>0.47180568039660842</v>
      </c>
    </row>
    <row r="4" spans="1:11">
      <c r="A4" t="s">
        <v>255</v>
      </c>
      <c r="B4">
        <v>10287.810000000001</v>
      </c>
      <c r="C4">
        <v>11741.5</v>
      </c>
      <c r="D4">
        <v>10115.5</v>
      </c>
      <c r="E4">
        <v>3951.55</v>
      </c>
      <c r="F4">
        <v>36096.36</v>
      </c>
      <c r="G4">
        <v>37208.1</v>
      </c>
      <c r="H4">
        <v>0.97012102203552453</v>
      </c>
    </row>
    <row r="5" spans="1:11">
      <c r="A5" t="s">
        <v>256</v>
      </c>
      <c r="B5">
        <v>4443.8985000000002</v>
      </c>
      <c r="C5">
        <v>4217.5</v>
      </c>
      <c r="D5">
        <v>2693</v>
      </c>
      <c r="E5">
        <v>1730.1</v>
      </c>
      <c r="F5">
        <v>13084.4985</v>
      </c>
      <c r="G5">
        <v>15442.805069999999</v>
      </c>
      <c r="H5">
        <v>0.84728768126579745</v>
      </c>
    </row>
    <row r="6" spans="1:11">
      <c r="A6" t="s">
        <v>257</v>
      </c>
      <c r="B6">
        <v>2721.4059999999999</v>
      </c>
      <c r="C6">
        <v>2684.0014999999999</v>
      </c>
      <c r="D6">
        <v>1391.5</v>
      </c>
      <c r="E6">
        <v>1325</v>
      </c>
      <c r="F6">
        <v>8121.9074999999993</v>
      </c>
      <c r="G6">
        <v>9050.6790000000001</v>
      </c>
      <c r="H6">
        <v>0.89738101417584237</v>
      </c>
    </row>
    <row r="7" spans="1:11">
      <c r="A7" t="s">
        <v>258</v>
      </c>
      <c r="B7">
        <v>19287.305500000002</v>
      </c>
      <c r="C7">
        <v>20211.001499999998</v>
      </c>
      <c r="D7">
        <v>15247.5</v>
      </c>
      <c r="E7">
        <v>7648.4500000000007</v>
      </c>
      <c r="F7">
        <v>62394.256999999998</v>
      </c>
      <c r="G7">
        <v>72493.084069999997</v>
      </c>
      <c r="H7">
        <v>0.86069254468124878</v>
      </c>
    </row>
    <row r="8" spans="1:11">
      <c r="A8" t="s">
        <v>259</v>
      </c>
      <c r="B8">
        <v>0.16996626974933976</v>
      </c>
      <c r="C8">
        <v>0.14529954130565723</v>
      </c>
      <c r="D8">
        <v>9.7067136171987214E-2</v>
      </c>
      <c r="E8">
        <v>5.9472733169624238E-2</v>
      </c>
      <c r="H8">
        <v>0.47180568039660842</v>
      </c>
    </row>
    <row r="9" spans="1:11">
      <c r="A9" t="s">
        <v>260</v>
      </c>
      <c r="B9">
        <v>0.27649382795681587</v>
      </c>
      <c r="C9">
        <v>0.31556300912973251</v>
      </c>
      <c r="D9">
        <v>0.27186284706824593</v>
      </c>
      <c r="E9">
        <v>0.10620133788073027</v>
      </c>
      <c r="H9">
        <v>0.97012102203552464</v>
      </c>
    </row>
    <row r="10" spans="1:11">
      <c r="A10" t="s">
        <v>261</v>
      </c>
      <c r="B10">
        <v>0.28776498051075905</v>
      </c>
      <c r="C10">
        <v>0.27310452867096902</v>
      </c>
      <c r="D10">
        <v>0.17438541688462822</v>
      </c>
      <c r="E10">
        <v>0.11203275519944124</v>
      </c>
      <c r="H10">
        <v>0.84728768126579757</v>
      </c>
    </row>
    <row r="11" spans="1:11" ht="16.25" customHeight="1">
      <c r="A11" t="s">
        <v>262</v>
      </c>
      <c r="B11">
        <v>0.30068528560122393</v>
      </c>
      <c r="C11">
        <v>0.29655250175152603</v>
      </c>
      <c r="D11">
        <v>0.1537453709274188</v>
      </c>
      <c r="E11">
        <v>0.1463978558956737</v>
      </c>
      <c r="H11">
        <v>0.89738101417584237</v>
      </c>
    </row>
    <row r="12" spans="1:11" ht="16.25" customHeight="1">
      <c r="A12" t="s">
        <v>263</v>
      </c>
      <c r="B12">
        <v>0.26605717976318954</v>
      </c>
      <c r="C12">
        <v>0.27879902971825654</v>
      </c>
      <c r="D12">
        <v>0.21033040869494354</v>
      </c>
      <c r="E12">
        <v>0.10550592650485922</v>
      </c>
      <c r="H12">
        <v>0.86069254468124889</v>
      </c>
    </row>
    <row r="15" spans="1:11" ht="29.75" customHeight="1">
      <c r="A15" s="627" t="s">
        <v>1154</v>
      </c>
      <c r="B15" s="627"/>
      <c r="C15" s="627"/>
      <c r="D15" s="627"/>
      <c r="E15" s="627"/>
      <c r="F15" s="627"/>
      <c r="G15" s="627"/>
      <c r="H15" s="627"/>
      <c r="I15" s="627"/>
      <c r="J15" s="627"/>
      <c r="K15" s="627"/>
    </row>
    <row r="18" spans="1:11">
      <c r="A18" s="627"/>
      <c r="B18" s="627"/>
      <c r="C18" s="627"/>
      <c r="D18" s="627"/>
      <c r="E18" s="627"/>
      <c r="F18" s="627"/>
      <c r="G18" s="627"/>
    </row>
    <row r="28" spans="1:11" ht="16.25" customHeight="1"/>
    <row r="29" spans="1:11" ht="16.25" customHeight="1"/>
    <row r="32" spans="1:11">
      <c r="A32" s="627"/>
      <c r="B32" s="627"/>
      <c r="C32" s="627"/>
      <c r="D32" s="627"/>
      <c r="E32" s="627"/>
      <c r="F32" s="627"/>
      <c r="G32" s="627"/>
      <c r="H32" s="627"/>
      <c r="I32" s="627"/>
      <c r="J32" s="627"/>
      <c r="K32" s="627"/>
    </row>
  </sheetData>
  <mergeCells count="4">
    <mergeCell ref="A18:G18"/>
    <mergeCell ref="A32:K32"/>
    <mergeCell ref="A1:G1"/>
    <mergeCell ref="A15:K15"/>
  </mergeCells>
  <pageMargins left="0.7" right="0.7" top="0.75" bottom="0.75" header="0.3" footer="0.3"/>
  <pageSetup orientation="portrait" horizontalDpi="0"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EF4D5-28FC-254E-B3B8-529FB30971E5}">
  <dimension ref="A1:M42"/>
  <sheetViews>
    <sheetView topLeftCell="A31" workbookViewId="0">
      <selection activeCell="H16" sqref="H16"/>
    </sheetView>
  </sheetViews>
  <sheetFormatPr baseColWidth="10" defaultColWidth="11" defaultRowHeight="16"/>
  <sheetData>
    <row r="1" spans="1:13" ht="19">
      <c r="A1" s="625" t="s">
        <v>1000</v>
      </c>
      <c r="B1" s="626"/>
      <c r="C1" s="626"/>
      <c r="D1" s="626"/>
      <c r="E1" s="626"/>
      <c r="F1" s="626"/>
      <c r="G1" s="626"/>
      <c r="H1" s="626"/>
      <c r="I1" s="626"/>
    </row>
    <row r="2" spans="1:13" ht="48">
      <c r="A2" s="500" t="s">
        <v>989</v>
      </c>
      <c r="B2" s="501" t="s">
        <v>990</v>
      </c>
      <c r="C2" s="501" t="s">
        <v>991</v>
      </c>
      <c r="D2" s="501" t="s">
        <v>992</v>
      </c>
      <c r="E2" s="501"/>
      <c r="F2" s="501" t="s">
        <v>993</v>
      </c>
      <c r="G2" s="501" t="s">
        <v>990</v>
      </c>
      <c r="H2" s="501" t="s">
        <v>991</v>
      </c>
      <c r="I2" s="501" t="s">
        <v>992</v>
      </c>
    </row>
    <row r="3" spans="1:13">
      <c r="A3" s="502" t="s">
        <v>282</v>
      </c>
      <c r="B3" s="503">
        <v>832510</v>
      </c>
      <c r="C3" s="504">
        <f t="shared" ref="C3:C33" si="0">B3/$B$36</f>
        <v>0.40667998710011038</v>
      </c>
      <c r="D3" s="504">
        <f t="shared" ref="D3:D33" si="1">B3/$B$38</f>
        <v>0.33036111111111111</v>
      </c>
      <c r="E3" s="502"/>
      <c r="F3" s="505" t="s">
        <v>282</v>
      </c>
      <c r="G3" s="503">
        <v>1313988</v>
      </c>
      <c r="H3" s="504">
        <f t="shared" ref="H3:H35" si="2">G3/$G$36</f>
        <v>0.39834103383921232</v>
      </c>
      <c r="I3" s="504">
        <f t="shared" ref="I3:I35" si="3">G3/$G$38</f>
        <v>0.32849699999999998</v>
      </c>
    </row>
    <row r="4" spans="1:13">
      <c r="A4" s="502" t="s">
        <v>284</v>
      </c>
      <c r="B4" s="503">
        <v>216338.66567553015</v>
      </c>
      <c r="C4" s="504">
        <f t="shared" si="0"/>
        <v>0.10568113988562264</v>
      </c>
      <c r="D4" s="504">
        <f t="shared" si="1"/>
        <v>8.5848676855369108E-2</v>
      </c>
      <c r="E4" s="502"/>
      <c r="F4" s="505" t="s">
        <v>283</v>
      </c>
      <c r="G4" s="503">
        <v>801870</v>
      </c>
      <c r="H4" s="504">
        <f t="shared" si="2"/>
        <v>0.24309029063024104</v>
      </c>
      <c r="I4" s="504">
        <f t="shared" si="3"/>
        <v>0.20046749999999999</v>
      </c>
    </row>
    <row r="5" spans="1:13">
      <c r="A5" s="506" t="s">
        <v>283</v>
      </c>
      <c r="B5" s="503">
        <v>174999.1</v>
      </c>
      <c r="C5" s="504">
        <f t="shared" si="0"/>
        <v>8.5486819053862337E-2</v>
      </c>
      <c r="D5" s="504">
        <f t="shared" si="1"/>
        <v>6.9444087301587298E-2</v>
      </c>
      <c r="E5" s="502"/>
      <c r="F5" s="502" t="s">
        <v>284</v>
      </c>
      <c r="G5" s="503">
        <v>201237.48276751477</v>
      </c>
      <c r="H5" s="504">
        <f t="shared" si="2"/>
        <v>6.1005996198452726E-2</v>
      </c>
      <c r="I5" s="504">
        <f t="shared" si="3"/>
        <v>5.0309370691878692E-2</v>
      </c>
    </row>
    <row r="6" spans="1:13">
      <c r="A6" s="505" t="s">
        <v>292</v>
      </c>
      <c r="B6" s="503">
        <v>89295.776661438722</v>
      </c>
      <c r="C6" s="504">
        <f t="shared" si="0"/>
        <v>4.3620863774330929E-2</v>
      </c>
      <c r="D6" s="504">
        <f t="shared" si="1"/>
        <v>3.543483200850743E-2</v>
      </c>
      <c r="E6" s="502"/>
      <c r="F6" s="505" t="s">
        <v>286</v>
      </c>
      <c r="G6" s="503">
        <v>128682.13617159051</v>
      </c>
      <c r="H6" s="504">
        <f t="shared" si="2"/>
        <v>3.9010535225001794E-2</v>
      </c>
      <c r="I6" s="504">
        <f t="shared" si="3"/>
        <v>3.2170534042897624E-2</v>
      </c>
    </row>
    <row r="7" spans="1:13">
      <c r="A7" s="502" t="s">
        <v>294</v>
      </c>
      <c r="B7" s="503">
        <v>75789.19</v>
      </c>
      <c r="C7" s="504">
        <f t="shared" si="0"/>
        <v>3.7022914813669289E-2</v>
      </c>
      <c r="D7" s="504">
        <f t="shared" si="1"/>
        <v>3.0075075396825399E-2</v>
      </c>
      <c r="E7" s="502"/>
      <c r="F7" s="505" t="s">
        <v>622</v>
      </c>
      <c r="G7" s="503">
        <v>94678.072851709585</v>
      </c>
      <c r="H7" s="504">
        <f t="shared" si="2"/>
        <v>2.8702059243809117E-2</v>
      </c>
      <c r="I7" s="504">
        <f t="shared" si="3"/>
        <v>2.3669518212927395E-2</v>
      </c>
    </row>
    <row r="8" spans="1:13">
      <c r="A8" s="502" t="s">
        <v>286</v>
      </c>
      <c r="B8" s="503">
        <v>74158.510425128916</v>
      </c>
      <c r="C8" s="504">
        <f t="shared" si="0"/>
        <v>3.6226330089794513E-2</v>
      </c>
      <c r="D8" s="504">
        <f t="shared" si="1"/>
        <v>2.9427980327432109E-2</v>
      </c>
      <c r="E8" s="502"/>
      <c r="F8" s="505" t="s">
        <v>292</v>
      </c>
      <c r="G8" s="503">
        <v>93218.478419010411</v>
      </c>
      <c r="H8" s="504">
        <f t="shared" si="2"/>
        <v>2.8259577002489298E-2</v>
      </c>
      <c r="I8" s="504">
        <f t="shared" si="3"/>
        <v>2.3304619604752604E-2</v>
      </c>
    </row>
    <row r="9" spans="1:13">
      <c r="A9" s="502" t="s">
        <v>287</v>
      </c>
      <c r="B9" s="503">
        <v>73567.930795699998</v>
      </c>
      <c r="C9" s="504">
        <f t="shared" si="0"/>
        <v>3.5937832755134583E-2</v>
      </c>
      <c r="D9" s="504">
        <f t="shared" si="1"/>
        <v>2.9193623331626985E-2</v>
      </c>
      <c r="E9" s="502"/>
      <c r="F9" s="505" t="s">
        <v>287</v>
      </c>
      <c r="G9" s="503">
        <v>83005.220552559127</v>
      </c>
      <c r="H9" s="504">
        <f t="shared" si="2"/>
        <v>2.5163384573495522E-2</v>
      </c>
      <c r="I9" s="504">
        <f t="shared" si="3"/>
        <v>2.0751305138139782E-2</v>
      </c>
      <c r="M9" s="517"/>
    </row>
    <row r="10" spans="1:13">
      <c r="A10" s="502" t="s">
        <v>622</v>
      </c>
      <c r="B10" s="503">
        <v>68171.164666948462</v>
      </c>
      <c r="C10" s="504">
        <f t="shared" si="0"/>
        <v>3.3301519942528141E-2</v>
      </c>
      <c r="D10" s="504">
        <f t="shared" si="1"/>
        <v>2.7052049471011294E-2</v>
      </c>
      <c r="E10" s="502"/>
      <c r="F10" s="502" t="s">
        <v>291</v>
      </c>
      <c r="G10" s="503">
        <v>68341.828138163444</v>
      </c>
      <c r="H10" s="504">
        <f t="shared" si="2"/>
        <v>2.0718114986603985E-2</v>
      </c>
      <c r="I10" s="504">
        <f t="shared" si="3"/>
        <v>1.7085457034540862E-2</v>
      </c>
    </row>
    <row r="11" spans="1:13">
      <c r="A11" s="502" t="s">
        <v>295</v>
      </c>
      <c r="B11" s="503">
        <v>67345</v>
      </c>
      <c r="C11" s="504">
        <f t="shared" si="0"/>
        <v>3.2897939641874492E-2</v>
      </c>
      <c r="D11" s="504">
        <f t="shared" si="1"/>
        <v>2.6724206349206348E-2</v>
      </c>
      <c r="E11" s="502"/>
      <c r="F11" s="505" t="s">
        <v>294</v>
      </c>
      <c r="G11" s="503">
        <v>63183.86</v>
      </c>
      <c r="H11" s="504">
        <f t="shared" si="2"/>
        <v>1.9154455074439077E-2</v>
      </c>
      <c r="I11" s="504">
        <f t="shared" si="3"/>
        <v>1.5795964999999999E-2</v>
      </c>
    </row>
    <row r="12" spans="1:13">
      <c r="A12" s="502" t="s">
        <v>291</v>
      </c>
      <c r="B12" s="503">
        <v>51805.526992287923</v>
      </c>
      <c r="C12" s="504">
        <f t="shared" si="0"/>
        <v>2.5306928504087729E-2</v>
      </c>
      <c r="D12" s="504">
        <f t="shared" si="1"/>
        <v>2.0557748806463463E-2</v>
      </c>
      <c r="E12" s="502"/>
      <c r="F12" s="505" t="s">
        <v>994</v>
      </c>
      <c r="G12" s="503">
        <v>56241.970068817856</v>
      </c>
      <c r="H12" s="504">
        <f t="shared" si="2"/>
        <v>1.7049991706444001E-2</v>
      </c>
      <c r="I12" s="504">
        <f t="shared" si="3"/>
        <v>1.4060492517204464E-2</v>
      </c>
    </row>
    <row r="13" spans="1:13">
      <c r="A13" s="505" t="s">
        <v>994</v>
      </c>
      <c r="B13" s="503">
        <v>45102</v>
      </c>
      <c r="C13" s="504">
        <f t="shared" si="0"/>
        <v>2.2032264811460738E-2</v>
      </c>
      <c r="D13" s="504">
        <f t="shared" si="1"/>
        <v>1.7897619047619048E-2</v>
      </c>
      <c r="E13" s="502"/>
      <c r="F13" s="505" t="s">
        <v>295</v>
      </c>
      <c r="G13" s="503">
        <v>56235.040378246798</v>
      </c>
      <c r="H13" s="504">
        <f t="shared" si="2"/>
        <v>1.7047890941363754E-2</v>
      </c>
      <c r="I13" s="504">
        <f t="shared" si="3"/>
        <v>1.4058760094561699E-2</v>
      </c>
    </row>
    <row r="14" spans="1:13">
      <c r="A14" s="506" t="s">
        <v>285</v>
      </c>
      <c r="B14" s="503">
        <v>44493</v>
      </c>
      <c r="C14" s="504">
        <f t="shared" si="0"/>
        <v>2.1734769151175618E-2</v>
      </c>
      <c r="D14" s="504">
        <f t="shared" si="1"/>
        <v>1.765595238095238E-2</v>
      </c>
      <c r="E14" s="502"/>
      <c r="F14" s="502" t="s">
        <v>293</v>
      </c>
      <c r="G14" s="503">
        <v>44108.509792138007</v>
      </c>
      <c r="H14" s="504">
        <f t="shared" si="2"/>
        <v>1.3371681774648835E-2</v>
      </c>
      <c r="I14" s="504">
        <f t="shared" si="3"/>
        <v>1.1027127448034501E-2</v>
      </c>
    </row>
    <row r="15" spans="1:13">
      <c r="A15" s="502" t="s">
        <v>293</v>
      </c>
      <c r="B15" s="507">
        <v>47457</v>
      </c>
      <c r="C15" s="504">
        <f t="shared" si="0"/>
        <v>2.3182679064287445E-2</v>
      </c>
      <c r="D15" s="504">
        <f t="shared" si="1"/>
        <v>1.8832142857142856E-2</v>
      </c>
      <c r="E15" s="502"/>
      <c r="F15" s="502" t="s">
        <v>624</v>
      </c>
      <c r="G15" s="503">
        <v>38781.302995257698</v>
      </c>
      <c r="H15" s="504">
        <f t="shared" si="2"/>
        <v>1.175671644547948E-2</v>
      </c>
      <c r="I15" s="504">
        <f t="shared" si="3"/>
        <v>9.6953257488144248E-3</v>
      </c>
    </row>
    <row r="16" spans="1:13">
      <c r="A16" s="502" t="s">
        <v>623</v>
      </c>
      <c r="B16" s="508">
        <v>28302</v>
      </c>
      <c r="C16" s="504">
        <f t="shared" si="0"/>
        <v>1.3825487976009087E-2</v>
      </c>
      <c r="D16" s="504">
        <f t="shared" si="1"/>
        <v>1.1230952380952381E-2</v>
      </c>
      <c r="E16" s="502"/>
      <c r="F16" s="505" t="s">
        <v>285</v>
      </c>
      <c r="G16" s="503">
        <v>30421.274497140781</v>
      </c>
      <c r="H16" s="504">
        <f t="shared" si="2"/>
        <v>9.2223383576543489E-3</v>
      </c>
      <c r="I16" s="504">
        <f t="shared" si="3"/>
        <v>7.6053186242851954E-3</v>
      </c>
    </row>
    <row r="17" spans="1:9">
      <c r="A17" s="502" t="s">
        <v>624</v>
      </c>
      <c r="B17" s="507">
        <v>20130.609765358</v>
      </c>
      <c r="C17" s="504">
        <f t="shared" si="0"/>
        <v>9.8337751134438597E-3</v>
      </c>
      <c r="D17" s="504">
        <f t="shared" si="1"/>
        <v>7.9883372084753965E-3</v>
      </c>
      <c r="E17" s="502"/>
      <c r="F17" s="502" t="s">
        <v>623</v>
      </c>
      <c r="G17" s="503">
        <v>24201.019297787141</v>
      </c>
      <c r="H17" s="504">
        <f t="shared" si="2"/>
        <v>7.3366416185256314E-3</v>
      </c>
      <c r="I17" s="504">
        <f t="shared" si="3"/>
        <v>6.0502548244467848E-3</v>
      </c>
    </row>
    <row r="18" spans="1:9">
      <c r="A18" s="505" t="s">
        <v>305</v>
      </c>
      <c r="B18" s="509">
        <v>19500</v>
      </c>
      <c r="C18" s="504">
        <f t="shared" si="0"/>
        <v>9.5257231125778098E-3</v>
      </c>
      <c r="D18" s="504">
        <f t="shared" si="1"/>
        <v>7.7380952380952384E-3</v>
      </c>
      <c r="E18" s="502"/>
      <c r="F18" s="502" t="s">
        <v>302</v>
      </c>
      <c r="G18" s="508">
        <v>22712.725880000002</v>
      </c>
      <c r="H18" s="504">
        <f t="shared" si="2"/>
        <v>6.8854591581854882E-3</v>
      </c>
      <c r="I18" s="504">
        <f t="shared" si="3"/>
        <v>5.6781814700000008E-3</v>
      </c>
    </row>
    <row r="19" spans="1:9">
      <c r="A19" s="502" t="s">
        <v>302</v>
      </c>
      <c r="B19" s="503">
        <v>18758.45191</v>
      </c>
      <c r="C19" s="504">
        <f t="shared" si="0"/>
        <v>9.1634778930905839E-3</v>
      </c>
      <c r="D19" s="504">
        <f t="shared" si="1"/>
        <v>7.4438301230158729E-3</v>
      </c>
      <c r="E19" s="502"/>
      <c r="F19" s="505" t="s">
        <v>304</v>
      </c>
      <c r="G19" s="503">
        <v>19812.200992860831</v>
      </c>
      <c r="H19" s="504">
        <f t="shared" si="2"/>
        <v>6.006152739695075E-3</v>
      </c>
      <c r="I19" s="504">
        <f t="shared" si="3"/>
        <v>4.9530502482152076E-3</v>
      </c>
    </row>
    <row r="20" spans="1:9">
      <c r="A20" s="502" t="s">
        <v>296</v>
      </c>
      <c r="B20" s="503">
        <v>10480.4</v>
      </c>
      <c r="C20" s="504">
        <f t="shared" si="0"/>
        <v>5.1196609491825891E-3</v>
      </c>
      <c r="D20" s="504">
        <f t="shared" si="1"/>
        <v>4.1588888888888891E-3</v>
      </c>
      <c r="E20" s="502"/>
      <c r="F20" s="505" t="s">
        <v>305</v>
      </c>
      <c r="G20" s="509">
        <v>17500</v>
      </c>
      <c r="H20" s="504">
        <f t="shared" si="2"/>
        <v>5.3051992043962465E-3</v>
      </c>
      <c r="I20" s="504">
        <f t="shared" si="3"/>
        <v>4.3750000000000004E-3</v>
      </c>
    </row>
    <row r="21" spans="1:9">
      <c r="A21" s="505" t="s">
        <v>306</v>
      </c>
      <c r="B21" s="507">
        <v>10184.753207978651</v>
      </c>
      <c r="C21" s="504">
        <f t="shared" si="0"/>
        <v>4.9752378989304218E-3</v>
      </c>
      <c r="D21" s="504">
        <f t="shared" si="1"/>
        <v>4.0415687333248615E-3</v>
      </c>
      <c r="E21" s="502"/>
      <c r="F21" s="502" t="s">
        <v>296</v>
      </c>
      <c r="G21" s="503">
        <v>15659.65</v>
      </c>
      <c r="H21" s="504">
        <f t="shared" si="2"/>
        <v>4.7472892983499246E-3</v>
      </c>
      <c r="I21" s="504">
        <f t="shared" si="3"/>
        <v>3.9149125000000002E-3</v>
      </c>
    </row>
    <row r="22" spans="1:9">
      <c r="A22" s="502" t="s">
        <v>301</v>
      </c>
      <c r="B22" s="507">
        <v>15274.894179894181</v>
      </c>
      <c r="C22" s="504">
        <f t="shared" si="0"/>
        <v>7.4617647452101688E-3</v>
      </c>
      <c r="D22" s="504">
        <f t="shared" si="1"/>
        <v>6.0614659444024532E-3</v>
      </c>
      <c r="E22" s="502"/>
      <c r="F22" s="502" t="s">
        <v>308</v>
      </c>
      <c r="G22" s="503">
        <v>14711.514020904733</v>
      </c>
      <c r="H22" s="504">
        <f t="shared" si="2"/>
        <v>4.4598578559524584E-3</v>
      </c>
      <c r="I22" s="504">
        <f t="shared" si="3"/>
        <v>3.6778785052261832E-3</v>
      </c>
    </row>
    <row r="23" spans="1:9">
      <c r="A23" s="502" t="s">
        <v>995</v>
      </c>
      <c r="B23" s="507">
        <v>12798.17</v>
      </c>
      <c r="C23" s="504">
        <f t="shared" si="0"/>
        <v>6.2518883983435879E-3</v>
      </c>
      <c r="D23" s="504">
        <f t="shared" si="1"/>
        <v>5.0786388888888886E-3</v>
      </c>
      <c r="E23" s="502"/>
      <c r="F23" s="505" t="s">
        <v>306</v>
      </c>
      <c r="G23" s="503">
        <v>13158.595875941408</v>
      </c>
      <c r="H23" s="504">
        <f t="shared" si="2"/>
        <v>3.9890841355437762E-3</v>
      </c>
      <c r="I23" s="504">
        <f t="shared" si="3"/>
        <v>3.2896489689853521E-3</v>
      </c>
    </row>
    <row r="24" spans="1:9">
      <c r="A24" s="502" t="s">
        <v>309</v>
      </c>
      <c r="B24" s="507">
        <v>10551.508997429306</v>
      </c>
      <c r="C24" s="504">
        <f t="shared" si="0"/>
        <v>5.1543975963787214E-3</v>
      </c>
      <c r="D24" s="504">
        <f t="shared" si="1"/>
        <v>4.1871067450116291E-3</v>
      </c>
      <c r="E24" s="502"/>
      <c r="F24" s="502" t="s">
        <v>301</v>
      </c>
      <c r="G24" s="503">
        <v>12853.25784095854</v>
      </c>
      <c r="H24" s="504">
        <f t="shared" si="2"/>
        <v>3.8965196155287467E-3</v>
      </c>
      <c r="I24" s="504">
        <f t="shared" si="3"/>
        <v>3.2133144602396351E-3</v>
      </c>
    </row>
    <row r="25" spans="1:9">
      <c r="A25" s="502" t="s">
        <v>312</v>
      </c>
      <c r="B25" s="503">
        <v>8328.7918691910509</v>
      </c>
      <c r="C25" s="504">
        <f t="shared" si="0"/>
        <v>4.0686033440104274E-3</v>
      </c>
      <c r="D25" s="504">
        <f t="shared" si="1"/>
        <v>3.3050761385678773E-3</v>
      </c>
      <c r="E25" s="502"/>
      <c r="F25" s="502" t="s">
        <v>312</v>
      </c>
      <c r="G25" s="503">
        <v>12317.019318181821</v>
      </c>
      <c r="H25" s="504">
        <f t="shared" si="2"/>
        <v>3.733956633562937E-3</v>
      </c>
      <c r="I25" s="504">
        <f t="shared" si="3"/>
        <v>3.0792548295454553E-3</v>
      </c>
    </row>
    <row r="26" spans="1:9">
      <c r="A26" s="502" t="s">
        <v>315</v>
      </c>
      <c r="B26" s="510">
        <v>7881.3226100000002</v>
      </c>
      <c r="C26" s="504">
        <f t="shared" si="0"/>
        <v>3.8500152278850806E-3</v>
      </c>
      <c r="D26" s="504">
        <f t="shared" si="1"/>
        <v>3.1275089722222222E-3</v>
      </c>
      <c r="E26" s="502"/>
      <c r="F26" s="505" t="s">
        <v>309</v>
      </c>
      <c r="G26" s="503">
        <v>11668.657383168289</v>
      </c>
      <c r="H26" s="504">
        <f t="shared" si="2"/>
        <v>3.5374029637461027E-3</v>
      </c>
      <c r="I26" s="504">
        <f t="shared" si="3"/>
        <v>2.9171643457920724E-3</v>
      </c>
    </row>
    <row r="27" spans="1:9">
      <c r="A27" s="502" t="s">
        <v>310</v>
      </c>
      <c r="B27" s="503">
        <v>6009</v>
      </c>
      <c r="C27" s="504">
        <f t="shared" si="0"/>
        <v>2.9353882145374392E-3</v>
      </c>
      <c r="D27" s="504">
        <f t="shared" si="1"/>
        <v>2.3845238095238095E-3</v>
      </c>
      <c r="E27" s="502"/>
      <c r="F27" s="505" t="s">
        <v>301</v>
      </c>
      <c r="G27" s="503">
        <v>11542.260320675106</v>
      </c>
      <c r="H27" s="504">
        <f t="shared" si="2"/>
        <v>3.4990851582959964E-3</v>
      </c>
      <c r="I27" s="504">
        <f t="shared" si="3"/>
        <v>2.8855650801687767E-3</v>
      </c>
    </row>
    <row r="28" spans="1:9">
      <c r="A28" s="502" t="s">
        <v>308</v>
      </c>
      <c r="B28" s="503">
        <v>5242.7347242921005</v>
      </c>
      <c r="C28" s="504">
        <f t="shared" si="0"/>
        <v>2.561068683913001E-3</v>
      </c>
      <c r="D28" s="504">
        <f t="shared" si="1"/>
        <v>2.0804502874175001E-3</v>
      </c>
      <c r="E28" s="502"/>
      <c r="F28" s="505" t="s">
        <v>995</v>
      </c>
      <c r="G28" s="503">
        <v>10341.29255367</v>
      </c>
      <c r="H28" s="504">
        <f t="shared" si="2"/>
        <v>3.1350066873233667E-3</v>
      </c>
      <c r="I28" s="504">
        <f t="shared" si="3"/>
        <v>2.5853231384175002E-3</v>
      </c>
    </row>
    <row r="29" spans="1:9">
      <c r="A29" s="502" t="s">
        <v>311</v>
      </c>
      <c r="B29" s="503">
        <v>4255.6945473119649</v>
      </c>
      <c r="C29" s="504">
        <f t="shared" si="0"/>
        <v>2.0789009184308178E-3</v>
      </c>
      <c r="D29" s="504">
        <f t="shared" si="1"/>
        <v>1.6887676775047479E-3</v>
      </c>
      <c r="E29" s="502"/>
      <c r="F29" s="502" t="s">
        <v>311</v>
      </c>
      <c r="G29" s="503">
        <v>8611.8743845528115</v>
      </c>
      <c r="H29" s="504">
        <f t="shared" si="2"/>
        <v>2.6107262361879996E-3</v>
      </c>
      <c r="I29" s="504">
        <f t="shared" si="3"/>
        <v>2.1529685961382029E-3</v>
      </c>
    </row>
    <row r="30" spans="1:9">
      <c r="A30" s="502" t="s">
        <v>316</v>
      </c>
      <c r="B30" s="503">
        <v>3400.4965122275285</v>
      </c>
      <c r="C30" s="504">
        <f t="shared" si="0"/>
        <v>1.6611378574751794E-3</v>
      </c>
      <c r="D30" s="504">
        <f t="shared" si="1"/>
        <v>1.3494033778680668E-3</v>
      </c>
      <c r="E30" s="502"/>
      <c r="F30" s="502" t="s">
        <v>316</v>
      </c>
      <c r="G30" s="503">
        <v>8330.9640192023926</v>
      </c>
      <c r="H30" s="504">
        <f t="shared" si="2"/>
        <v>2.5255670678015021E-3</v>
      </c>
      <c r="I30" s="504">
        <f t="shared" si="3"/>
        <v>2.0827410048005982E-3</v>
      </c>
    </row>
    <row r="31" spans="1:9">
      <c r="A31" s="502" t="s">
        <v>314</v>
      </c>
      <c r="B31" s="507">
        <v>2620.6013264180369</v>
      </c>
      <c r="C31" s="504">
        <f t="shared" si="0"/>
        <v>1.2801601345596083E-3</v>
      </c>
      <c r="D31" s="504">
        <f t="shared" si="1"/>
        <v>1.0399211612769988E-3</v>
      </c>
      <c r="E31" s="502"/>
      <c r="F31" s="502" t="s">
        <v>315</v>
      </c>
      <c r="G31" s="511">
        <v>8053.3097184999997</v>
      </c>
      <c r="H31" s="504">
        <f t="shared" si="2"/>
        <v>2.4413949892195864E-3</v>
      </c>
      <c r="I31" s="504">
        <f t="shared" si="3"/>
        <v>2.0133274296249997E-3</v>
      </c>
    </row>
    <row r="32" spans="1:9">
      <c r="A32" s="502" t="s">
        <v>304</v>
      </c>
      <c r="B32" s="503">
        <v>1263.0462769455366</v>
      </c>
      <c r="C32" s="504">
        <f t="shared" si="0"/>
        <v>6.1699636474643344E-4</v>
      </c>
      <c r="D32" s="504">
        <f t="shared" si="1"/>
        <v>5.0120884005775258E-4</v>
      </c>
      <c r="E32" s="502"/>
      <c r="F32" s="502" t="s">
        <v>310</v>
      </c>
      <c r="G32" s="502">
        <v>7407.56</v>
      </c>
      <c r="H32" s="504">
        <f t="shared" si="2"/>
        <v>2.2456332239152834E-3</v>
      </c>
      <c r="I32" s="504">
        <f t="shared" si="3"/>
        <v>1.8518900000000001E-3</v>
      </c>
    </row>
    <row r="33" spans="1:9">
      <c r="A33" s="502" t="s">
        <v>317</v>
      </c>
      <c r="B33" s="503">
        <v>1073.3438348171921</v>
      </c>
      <c r="C33" s="504">
        <f t="shared" si="0"/>
        <v>5.2432698333646291E-4</v>
      </c>
      <c r="D33" s="504">
        <f t="shared" si="1"/>
        <v>4.2593009318142545E-4</v>
      </c>
      <c r="E33" s="502"/>
      <c r="F33" s="502" t="s">
        <v>314</v>
      </c>
      <c r="G33" s="510">
        <v>3385.7898274134845</v>
      </c>
      <c r="H33" s="504">
        <f t="shared" si="2"/>
        <v>1.0264165427798242E-3</v>
      </c>
      <c r="I33" s="504">
        <f t="shared" si="3"/>
        <v>8.4644745685337117E-4</v>
      </c>
    </row>
    <row r="34" spans="1:9">
      <c r="A34" s="502"/>
      <c r="C34" s="506"/>
      <c r="D34" s="504"/>
      <c r="E34" s="502"/>
      <c r="F34" s="505" t="s">
        <v>317</v>
      </c>
      <c r="G34" s="503">
        <v>2390.0073805823163</v>
      </c>
      <c r="H34" s="504">
        <f t="shared" si="2"/>
        <v>7.2454087165522638E-4</v>
      </c>
      <c r="I34" s="504">
        <f t="shared" si="3"/>
        <v>5.9750184514557902E-4</v>
      </c>
    </row>
    <row r="35" spans="1:9">
      <c r="A35" s="506" t="s">
        <v>121</v>
      </c>
      <c r="B35" s="503">
        <f>B38-B36</f>
        <v>472911.31502110255</v>
      </c>
      <c r="C35" s="504">
        <f>B35/$B$36</f>
        <v>0.23101652531774783</v>
      </c>
      <c r="D35" s="504">
        <f>B35/$B$38</f>
        <v>0.18766322024646925</v>
      </c>
      <c r="E35" s="502"/>
      <c r="F35" s="502" t="s">
        <v>121</v>
      </c>
      <c r="G35" s="503">
        <f>G38-G36</f>
        <v>701349.12455345364</v>
      </c>
      <c r="H35" s="510">
        <f t="shared" si="2"/>
        <v>0.21261696100485636</v>
      </c>
      <c r="I35" s="510">
        <f t="shared" si="3"/>
        <v>0.17533728113836342</v>
      </c>
    </row>
    <row r="36" spans="1:9" ht="96">
      <c r="A36" s="512" t="s">
        <v>996</v>
      </c>
      <c r="B36" s="513">
        <f>SUM(B3:B33)</f>
        <v>2047088.6849788975</v>
      </c>
      <c r="C36" s="513">
        <f>SUM(C3:C33)</f>
        <v>1</v>
      </c>
      <c r="D36" s="513">
        <f>SUM(D3:D33)</f>
        <v>0.81233677975353091</v>
      </c>
      <c r="E36" s="502"/>
      <c r="F36" s="512" t="s">
        <v>996</v>
      </c>
      <c r="G36" s="513">
        <f>SUM(G3:G34)</f>
        <v>3298650.8754465464</v>
      </c>
      <c r="H36" s="513">
        <f>SUM(H3:H34)</f>
        <v>1.0000000000000002</v>
      </c>
      <c r="I36" s="513">
        <f>SUM(I3:I34)</f>
        <v>0.82466271886163678</v>
      </c>
    </row>
    <row r="37" spans="1:9" ht="64">
      <c r="A37" s="512" t="s">
        <v>997</v>
      </c>
      <c r="B37" s="513">
        <f>B36/B38</f>
        <v>0.81233677975353069</v>
      </c>
      <c r="C37" s="513"/>
      <c r="D37" s="513"/>
      <c r="E37" s="502"/>
      <c r="F37" s="512" t="s">
        <v>997</v>
      </c>
      <c r="G37" s="513">
        <f>G36/G38</f>
        <v>0.82466271886163656</v>
      </c>
      <c r="H37" s="513"/>
      <c r="I37" s="513"/>
    </row>
    <row r="38" spans="1:9" ht="64">
      <c r="A38" s="512" t="s">
        <v>998</v>
      </c>
      <c r="B38" s="513">
        <v>2520000</v>
      </c>
      <c r="C38" s="513"/>
      <c r="D38" s="513"/>
      <c r="E38" s="502"/>
      <c r="F38" s="512" t="s">
        <v>998</v>
      </c>
      <c r="G38" s="513">
        <v>4000000</v>
      </c>
      <c r="H38" s="513"/>
      <c r="I38" s="513"/>
    </row>
    <row r="39" spans="1:9">
      <c r="A39" s="512" t="s">
        <v>999</v>
      </c>
      <c r="B39" s="513">
        <f>B3+B4</f>
        <v>1048848.6656755302</v>
      </c>
      <c r="C39" s="513">
        <f>C3+C4</f>
        <v>0.512361126985733</v>
      </c>
      <c r="D39" s="513">
        <f>D3+D4</f>
        <v>0.41620978796648023</v>
      </c>
      <c r="E39" s="502"/>
      <c r="F39" s="512" t="s">
        <v>999</v>
      </c>
      <c r="G39" s="513">
        <f>G3+G4</f>
        <v>2115858</v>
      </c>
      <c r="H39" s="513">
        <f>H3+H4</f>
        <v>0.64143132446945339</v>
      </c>
      <c r="I39" s="513">
        <f>I3+I4</f>
        <v>0.52896449999999995</v>
      </c>
    </row>
    <row r="40" spans="1:9">
      <c r="A40" s="512" t="s">
        <v>124</v>
      </c>
      <c r="B40" s="513">
        <f>B3+B4+B5+B11</f>
        <v>1291192.7656755303</v>
      </c>
      <c r="C40" s="513">
        <f>C3+C4+C5+C6</f>
        <v>0.64146880981392629</v>
      </c>
      <c r="D40" s="513">
        <f>D3+D4+D5+D6</f>
        <v>0.52108870727657497</v>
      </c>
      <c r="E40" s="502"/>
      <c r="F40" s="512" t="s">
        <v>124</v>
      </c>
      <c r="G40" s="513">
        <f>G3+G4+G5+G6</f>
        <v>2445777.6189391054</v>
      </c>
      <c r="H40" s="513">
        <f>H3+H4+H5+H6</f>
        <v>0.74144785589290785</v>
      </c>
      <c r="I40" s="513">
        <f>I3+I4+I5+I6</f>
        <v>0.61144440473477624</v>
      </c>
    </row>
    <row r="41" spans="1:9">
      <c r="A41" s="512" t="s">
        <v>125</v>
      </c>
      <c r="B41" s="513">
        <f>B3+B4+B5+B11+B7+B8+B6+B9+B10+B12+B14</f>
        <v>1768473.8652170342</v>
      </c>
      <c r="C41" s="513">
        <f>C3+C4+C5+C6+C7+C8+C9+C10+C11+C12</f>
        <v>0.84216227556101508</v>
      </c>
      <c r="D41" s="513">
        <f>D3+D4+D5+D6+D7+D8+D9+D10+D11+D12</f>
        <v>0.68411939095914054</v>
      </c>
      <c r="E41" s="502"/>
      <c r="F41" s="512" t="s">
        <v>125</v>
      </c>
      <c r="G41" s="513">
        <f>G3+G4+G5+G6+G7+G8+G9+G10+G11+G12+G13</f>
        <v>2960682.0893476126</v>
      </c>
      <c r="H41" s="513">
        <f>H3+H4+H5+H6+H7+H8+H9+H10+H11+H12</f>
        <v>0.88049543848018885</v>
      </c>
      <c r="I41" s="513">
        <f>I3+I4+I5+I6+I7+I8+I9+I10+I11+I12+I13</f>
        <v>0.74017052233690317</v>
      </c>
    </row>
    <row r="42" spans="1:9">
      <c r="A42" s="512" t="s">
        <v>359</v>
      </c>
      <c r="B42" s="513"/>
      <c r="C42" s="514"/>
      <c r="D42" s="513">
        <f>SUMSQ(D3:D33)*10000</f>
        <v>1285.2051505450788</v>
      </c>
      <c r="F42" s="512" t="s">
        <v>359</v>
      </c>
      <c r="G42" s="513"/>
      <c r="H42" s="513"/>
      <c r="I42" s="513">
        <f>SUMSQ(I3:I34)*10000</f>
        <v>1546.2070370721883</v>
      </c>
    </row>
  </sheetData>
  <mergeCells count="1">
    <mergeCell ref="A1:I1"/>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B90EF-DCDE-B343-B1A9-0936223D6752}">
  <dimension ref="A1:H15"/>
  <sheetViews>
    <sheetView zoomScale="120" zoomScaleNormal="120" workbookViewId="0">
      <selection activeCell="J12" sqref="J12"/>
    </sheetView>
  </sheetViews>
  <sheetFormatPr baseColWidth="10" defaultColWidth="11" defaultRowHeight="16"/>
  <cols>
    <col min="7" max="7" width="13.1640625" customWidth="1"/>
  </cols>
  <sheetData>
    <row r="1" spans="1:8">
      <c r="A1" s="627" t="s">
        <v>1037</v>
      </c>
      <c r="B1" s="627"/>
      <c r="C1" s="627"/>
      <c r="D1" s="627"/>
      <c r="E1" s="627"/>
      <c r="F1" s="627"/>
      <c r="G1" s="627"/>
    </row>
    <row r="2" spans="1:8">
      <c r="B2" t="s">
        <v>264</v>
      </c>
      <c r="C2" t="s">
        <v>89</v>
      </c>
      <c r="D2" t="s">
        <v>90</v>
      </c>
      <c r="E2" t="s">
        <v>265</v>
      </c>
      <c r="F2" t="s">
        <v>266</v>
      </c>
      <c r="G2" t="s">
        <v>244</v>
      </c>
      <c r="H2" t="s">
        <v>267</v>
      </c>
    </row>
    <row r="3" spans="1:8">
      <c r="A3" t="s">
        <v>268</v>
      </c>
      <c r="B3">
        <v>5788.9065041591502</v>
      </c>
      <c r="C3">
        <v>1983.8966490984694</v>
      </c>
      <c r="D3">
        <v>4935.6859812737821</v>
      </c>
      <c r="E3">
        <v>248.9</v>
      </c>
      <c r="F3">
        <f>SUM(B3:E3)</f>
        <v>12957.389134531402</v>
      </c>
      <c r="G3">
        <v>13822.1499471347</v>
      </c>
      <c r="H3" s="617">
        <f>F3/G3</f>
        <v>0.93743659156421177</v>
      </c>
    </row>
    <row r="4" spans="1:8">
      <c r="A4" t="s">
        <v>269</v>
      </c>
      <c r="B4">
        <v>9864</v>
      </c>
      <c r="C4">
        <v>10595</v>
      </c>
      <c r="D4">
        <v>9355</v>
      </c>
      <c r="E4">
        <v>2355.1</v>
      </c>
      <c r="F4">
        <f t="shared" ref="F4:F6" si="0">SUM(B4:E4)</f>
        <v>32169.1</v>
      </c>
      <c r="G4">
        <v>33230</v>
      </c>
      <c r="H4" s="617">
        <f>F4/G4</f>
        <v>0.9680740294914234</v>
      </c>
    </row>
    <row r="5" spans="1:8">
      <c r="A5" t="s">
        <v>270</v>
      </c>
      <c r="B5">
        <v>4049.1984958408502</v>
      </c>
      <c r="C5">
        <v>3842.9083509015309</v>
      </c>
      <c r="D5">
        <v>2453.8120187262175</v>
      </c>
      <c r="E5">
        <v>1250</v>
      </c>
      <c r="F5">
        <f t="shared" si="0"/>
        <v>11595.918865468599</v>
      </c>
      <c r="G5">
        <v>15962</v>
      </c>
      <c r="H5" s="617">
        <f>F5/G5</f>
        <v>0.72647029604489399</v>
      </c>
    </row>
    <row r="6" spans="1:8">
      <c r="A6" t="s">
        <v>271</v>
      </c>
      <c r="B6">
        <v>1889.895</v>
      </c>
      <c r="C6">
        <v>2049.1949999999997</v>
      </c>
      <c r="D6">
        <v>838.50199999999995</v>
      </c>
      <c r="E6">
        <v>777.9</v>
      </c>
      <c r="F6">
        <f t="shared" si="0"/>
        <v>5555.4919999999993</v>
      </c>
      <c r="G6">
        <v>6443.8580000000002</v>
      </c>
      <c r="H6" s="617">
        <f>F6/G6</f>
        <v>0.86213755796605063</v>
      </c>
    </row>
    <row r="7" spans="1:8">
      <c r="A7" t="s">
        <v>272</v>
      </c>
      <c r="B7">
        <f>SUM(B3:B6)</f>
        <v>21592</v>
      </c>
      <c r="C7">
        <f>SUM(C3:C6)</f>
        <v>18471</v>
      </c>
      <c r="D7">
        <f t="shared" ref="D7:F7" si="1">SUM(D3:D6)</f>
        <v>17583</v>
      </c>
      <c r="E7">
        <f t="shared" si="1"/>
        <v>4631.8999999999996</v>
      </c>
      <c r="F7">
        <f t="shared" si="1"/>
        <v>62277.9</v>
      </c>
      <c r="G7">
        <f>SUM(G3:G6)</f>
        <v>69458.007947134698</v>
      </c>
      <c r="H7" s="617">
        <f>F7/G7</f>
        <v>0.89662663587185565</v>
      </c>
    </row>
    <row r="8" spans="1:8">
      <c r="A8" t="s">
        <v>840</v>
      </c>
      <c r="B8" s="617">
        <f>B3/G3</f>
        <v>0.4188137537430765</v>
      </c>
      <c r="C8" s="617">
        <f>C3/G3</f>
        <v>0.14353025084275886</v>
      </c>
      <c r="D8" s="617">
        <f>D3/G3</f>
        <v>0.35708525809307534</v>
      </c>
      <c r="E8" s="617">
        <f>E4/G3</f>
        <v>0.17038593916340827</v>
      </c>
      <c r="H8" s="617">
        <f>F3/G3</f>
        <v>0.93743659156421177</v>
      </c>
    </row>
    <row r="9" spans="1:8">
      <c r="A9" t="s">
        <v>273</v>
      </c>
      <c r="B9" s="617">
        <f>B4/G4</f>
        <v>0.29684020463436656</v>
      </c>
      <c r="C9" s="617">
        <f>C4/$G$4</f>
        <v>0.31883839903701472</v>
      </c>
      <c r="D9" s="617">
        <f t="shared" ref="D9:E9" si="2">D4/$G$4</f>
        <v>0.28152272043334337</v>
      </c>
      <c r="E9" s="617">
        <f t="shared" si="2"/>
        <v>7.0872705386698764E-2</v>
      </c>
      <c r="H9" s="617">
        <f t="shared" ref="H9:H11" si="3">F4/G4</f>
        <v>0.9680740294914234</v>
      </c>
    </row>
    <row r="10" spans="1:8">
      <c r="A10" t="s">
        <v>839</v>
      </c>
      <c r="B10" s="617">
        <f>B5/G5</f>
        <v>0.25367738979080628</v>
      </c>
      <c r="C10" s="617">
        <f>C5/G5</f>
        <v>0.24075356164024125</v>
      </c>
      <c r="D10" s="617">
        <f>D5/G5</f>
        <v>0.15372835601592641</v>
      </c>
      <c r="E10" s="617">
        <f>E5/G5</f>
        <v>7.8310988597920059E-2</v>
      </c>
      <c r="H10" s="617">
        <f t="shared" si="3"/>
        <v>0.72647029604489399</v>
      </c>
    </row>
    <row r="11" spans="1:8">
      <c r="A11" t="s">
        <v>274</v>
      </c>
      <c r="B11" s="617">
        <f>B6/G6</f>
        <v>0.29328625801499658</v>
      </c>
      <c r="C11" s="617">
        <f>C6/G6</f>
        <v>0.31800747316281636</v>
      </c>
      <c r="D11" s="617">
        <f>D6/G6</f>
        <v>0.13012422061442072</v>
      </c>
      <c r="E11" s="617">
        <f>E6/G6</f>
        <v>0.12071960617381698</v>
      </c>
      <c r="H11" s="617">
        <f t="shared" si="3"/>
        <v>0.86213755796605063</v>
      </c>
    </row>
    <row r="12" spans="1:8">
      <c r="A12" t="s">
        <v>275</v>
      </c>
      <c r="B12" s="617">
        <f>B7/G7</f>
        <v>0.31086408375595687</v>
      </c>
      <c r="C12" s="617">
        <f>C7/G7</f>
        <v>0.26593045994147274</v>
      </c>
      <c r="D12" s="617">
        <f>D7/G7</f>
        <v>0.2531457569785564</v>
      </c>
      <c r="E12" s="617">
        <f>E7/G7</f>
        <v>6.6686335195869612E-2</v>
      </c>
      <c r="H12" s="617">
        <f>SUM(B12:E12)</f>
        <v>0.89662663587185565</v>
      </c>
    </row>
    <row r="13" spans="1:8">
      <c r="H13" s="617"/>
    </row>
    <row r="15" spans="1:8">
      <c r="A15" s="627"/>
      <c r="B15" s="627"/>
      <c r="C15" s="627"/>
      <c r="D15" s="627"/>
      <c r="E15" s="627"/>
      <c r="F15" s="627"/>
      <c r="G15" s="627"/>
    </row>
  </sheetData>
  <mergeCells count="2">
    <mergeCell ref="A1:G1"/>
    <mergeCell ref="A15:G15"/>
  </mergeCells>
  <pageMargins left="0.7" right="0.7" top="0.75" bottom="0.75" header="0.3" footer="0.3"/>
  <pageSetup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93A431-89B2-F240-9151-0820A559DBAC}">
  <dimension ref="A1:W28"/>
  <sheetViews>
    <sheetView zoomScale="115" zoomScaleNormal="115" workbookViewId="0">
      <pane xSplit="1" ySplit="2" topLeftCell="I3" activePane="bottomRight" state="frozen"/>
      <selection pane="topRight" activeCell="B1" sqref="B1"/>
      <selection pane="bottomLeft" activeCell="A3" sqref="A3"/>
      <selection pane="bottomRight" activeCell="S27" sqref="S27"/>
    </sheetView>
  </sheetViews>
  <sheetFormatPr baseColWidth="10" defaultColWidth="11" defaultRowHeight="16"/>
  <cols>
    <col min="1" max="1" width="23.33203125" customWidth="1"/>
    <col min="11" max="11" width="10.6640625" customWidth="1"/>
    <col min="23" max="23" width="11.6640625" bestFit="1" customWidth="1"/>
  </cols>
  <sheetData>
    <row r="1" spans="1:23">
      <c r="A1" s="627" t="s">
        <v>1038</v>
      </c>
      <c r="B1" s="627"/>
      <c r="C1" s="627"/>
      <c r="D1" s="627"/>
      <c r="E1" s="627"/>
      <c r="F1" s="627"/>
      <c r="G1" s="627"/>
      <c r="H1" s="627"/>
      <c r="I1" s="627"/>
      <c r="J1" s="627"/>
      <c r="K1" s="627"/>
      <c r="L1" s="627"/>
      <c r="M1" s="627"/>
      <c r="N1" s="627"/>
    </row>
    <row r="2" spans="1:23">
      <c r="B2">
        <v>1984</v>
      </c>
      <c r="C2">
        <v>1988</v>
      </c>
      <c r="D2">
        <v>1992</v>
      </c>
      <c r="E2">
        <v>1996</v>
      </c>
      <c r="F2">
        <v>2000</v>
      </c>
      <c r="G2">
        <v>2004</v>
      </c>
      <c r="H2">
        <v>2008</v>
      </c>
      <c r="I2">
        <v>2010</v>
      </c>
      <c r="J2">
        <v>2011</v>
      </c>
      <c r="K2">
        <v>2012</v>
      </c>
      <c r="L2">
        <v>2013</v>
      </c>
      <c r="M2">
        <v>2014</v>
      </c>
      <c r="N2">
        <v>2015</v>
      </c>
      <c r="O2">
        <v>2016</v>
      </c>
      <c r="P2">
        <v>2017</v>
      </c>
      <c r="Q2">
        <v>2018</v>
      </c>
      <c r="R2">
        <v>2019</v>
      </c>
      <c r="S2">
        <v>2020</v>
      </c>
      <c r="T2">
        <v>2021</v>
      </c>
      <c r="U2">
        <v>2022</v>
      </c>
      <c r="V2">
        <v>2023</v>
      </c>
      <c r="W2">
        <v>2024</v>
      </c>
    </row>
    <row r="3" spans="1:23">
      <c r="A3" t="s">
        <v>76</v>
      </c>
      <c r="B3">
        <v>91.584421678266992</v>
      </c>
      <c r="C3">
        <v>89.346041265081737</v>
      </c>
      <c r="D3">
        <v>88.3</v>
      </c>
      <c r="E3">
        <v>82.066480446927372</v>
      </c>
      <c r="F3">
        <v>91.723066037735848</v>
      </c>
      <c r="G3">
        <v>81.161616161616152</v>
      </c>
      <c r="H3">
        <v>91.760222222222225</v>
      </c>
      <c r="I3">
        <v>88.475171517326473</v>
      </c>
      <c r="J3">
        <v>86.981424970061113</v>
      </c>
      <c r="K3">
        <v>85.339753059163385</v>
      </c>
      <c r="L3">
        <v>84.677319293154994</v>
      </c>
      <c r="M3">
        <v>85.554637975678276</v>
      </c>
      <c r="N3">
        <v>83.366084525569192</v>
      </c>
      <c r="O3">
        <v>85.351497042034268</v>
      </c>
      <c r="P3">
        <v>88.641767949417584</v>
      </c>
      <c r="Q3">
        <v>89.068643840327667</v>
      </c>
      <c r="R3">
        <v>90.601615345339795</v>
      </c>
      <c r="S3">
        <v>89.658566322942676</v>
      </c>
      <c r="T3">
        <v>90.872224010973937</v>
      </c>
      <c r="U3">
        <v>89.667577213833638</v>
      </c>
      <c r="V3">
        <v>92.747393409195936</v>
      </c>
      <c r="W3">
        <v>93.496901637816094</v>
      </c>
    </row>
    <row r="4" spans="1:23">
      <c r="A4" t="s">
        <v>77</v>
      </c>
      <c r="B4">
        <v>100</v>
      </c>
      <c r="C4">
        <v>100</v>
      </c>
      <c r="D4">
        <v>100</v>
      </c>
      <c r="E4">
        <v>100</v>
      </c>
      <c r="F4">
        <v>95.540305575080453</v>
      </c>
      <c r="G4">
        <v>98.022095122110358</v>
      </c>
      <c r="H4">
        <v>97.953564014267144</v>
      </c>
      <c r="I4">
        <v>97.068702990995931</v>
      </c>
      <c r="J4">
        <v>96.044803133090909</v>
      </c>
      <c r="K4">
        <v>95.295698606129989</v>
      </c>
      <c r="L4">
        <v>94.84501528684045</v>
      </c>
      <c r="M4">
        <v>94.786964657251929</v>
      </c>
      <c r="N4">
        <v>94.755668427905746</v>
      </c>
      <c r="O4">
        <v>93.92127018982751</v>
      </c>
      <c r="P4">
        <v>95.151196417716051</v>
      </c>
      <c r="Q4">
        <v>94.639478720276202</v>
      </c>
      <c r="R4">
        <v>94.257979835859857</v>
      </c>
      <c r="S4">
        <v>93.63286540649645</v>
      </c>
      <c r="T4">
        <v>93.378031639661344</v>
      </c>
      <c r="U4">
        <v>93.166494028087996</v>
      </c>
      <c r="V4">
        <v>96.919566566399709</v>
      </c>
      <c r="W4">
        <v>96.807402949142329</v>
      </c>
    </row>
    <row r="5" spans="1:23">
      <c r="A5" t="s">
        <v>276</v>
      </c>
      <c r="E5">
        <v>53.138075313807533</v>
      </c>
      <c r="F5">
        <v>40.278888888888886</v>
      </c>
      <c r="G5">
        <v>50.713809523809523</v>
      </c>
      <c r="H5">
        <v>51.523870967741935</v>
      </c>
      <c r="I5">
        <v>77.752766551628952</v>
      </c>
      <c r="J5">
        <v>76.546247614116595</v>
      </c>
      <c r="K5">
        <v>74.570940057738028</v>
      </c>
      <c r="L5">
        <v>81.020078394937201</v>
      </c>
      <c r="M5">
        <v>82.896016865420108</v>
      </c>
      <c r="N5">
        <v>74.494838173308509</v>
      </c>
      <c r="O5">
        <v>73.10868448523442</v>
      </c>
      <c r="P5">
        <v>72.209638177819485</v>
      </c>
      <c r="Q5">
        <v>74.462251005039391</v>
      </c>
      <c r="R5">
        <v>71.986264442375969</v>
      </c>
      <c r="S5">
        <v>72.386859718327827</v>
      </c>
      <c r="T5">
        <v>69.433205477225258</v>
      </c>
      <c r="U5">
        <v>70.310229111117536</v>
      </c>
      <c r="V5">
        <v>73.064899419146826</v>
      </c>
      <c r="W5">
        <v>72.860707052349611</v>
      </c>
    </row>
    <row r="6" spans="1:23">
      <c r="A6" t="s">
        <v>277</v>
      </c>
      <c r="B6">
        <v>41.114058355437663</v>
      </c>
      <c r="C6">
        <v>53.809638748089142</v>
      </c>
      <c r="D6">
        <v>69.171611965604939</v>
      </c>
      <c r="E6">
        <v>84.976171434974233</v>
      </c>
      <c r="F6">
        <v>72.122979700000641</v>
      </c>
      <c r="G6">
        <v>88.554332055515658</v>
      </c>
      <c r="H6">
        <v>83.329258646724668</v>
      </c>
      <c r="I6">
        <v>83.386019508235037</v>
      </c>
      <c r="J6">
        <v>84.946389095766676</v>
      </c>
      <c r="K6">
        <v>83.77955331277451</v>
      </c>
      <c r="L6">
        <v>82.213807298240823</v>
      </c>
      <c r="M6">
        <v>82.710502773304697</v>
      </c>
      <c r="N6">
        <v>80.53409803043867</v>
      </c>
      <c r="O6">
        <v>79.935300885056549</v>
      </c>
      <c r="P6">
        <v>80.699444127209787</v>
      </c>
      <c r="Q6">
        <v>80.222603390152415</v>
      </c>
      <c r="R6">
        <v>79.682001865091692</v>
      </c>
      <c r="S6">
        <v>78.323933506514038</v>
      </c>
      <c r="T6">
        <v>76.643258337383543</v>
      </c>
      <c r="U6">
        <v>76.684762763272616</v>
      </c>
      <c r="V6">
        <v>86.612599427389355</v>
      </c>
      <c r="W6">
        <v>85.4</v>
      </c>
    </row>
    <row r="7" spans="1:23">
      <c r="A7" t="s">
        <v>909</v>
      </c>
      <c r="B7">
        <v>86.726207667755304</v>
      </c>
      <c r="C7">
        <v>81.780703251955401</v>
      </c>
      <c r="D7">
        <v>80.241218862693913</v>
      </c>
      <c r="E7">
        <v>74.724319437381297</v>
      </c>
      <c r="F7">
        <v>77.521938899055002</v>
      </c>
      <c r="G7">
        <v>75.138578851359071</v>
      </c>
      <c r="H7">
        <v>82.920914688962711</v>
      </c>
      <c r="I7">
        <v>86.206386346363004</v>
      </c>
      <c r="J7">
        <v>85.896253679554007</v>
      </c>
      <c r="K7">
        <v>85.242656261654645</v>
      </c>
      <c r="L7">
        <v>85.624681782102911</v>
      </c>
      <c r="M7">
        <v>86.51667441950579</v>
      </c>
      <c r="N7">
        <v>84.473364642820627</v>
      </c>
      <c r="O7">
        <v>85.205354843902555</v>
      </c>
      <c r="P7">
        <v>86.623590343647166</v>
      </c>
      <c r="Q7">
        <v>87.256797077608354</v>
      </c>
      <c r="R7">
        <v>86.609407585225853</v>
      </c>
      <c r="S7">
        <v>86.030055974088256</v>
      </c>
      <c r="T7">
        <v>85.353274846104455</v>
      </c>
      <c r="U7">
        <v>85.328727627754816</v>
      </c>
      <c r="V7">
        <v>89.483574660923949</v>
      </c>
      <c r="W7">
        <v>89.583448818973579</v>
      </c>
    </row>
    <row r="8" spans="1:23">
      <c r="A8" t="s">
        <v>278</v>
      </c>
      <c r="B8">
        <v>88.907156028526359</v>
      </c>
      <c r="C8">
        <v>86.934006108086564</v>
      </c>
      <c r="D8">
        <v>87.17985586684074</v>
      </c>
      <c r="E8">
        <v>83.811898333963569</v>
      </c>
      <c r="F8">
        <v>86.593310892190658</v>
      </c>
      <c r="G8">
        <v>82.846759623406356</v>
      </c>
      <c r="H8">
        <v>87.380229854009357</v>
      </c>
      <c r="I8">
        <v>89.366828243203742</v>
      </c>
      <c r="J8">
        <v>88.664140127803506</v>
      </c>
      <c r="K8">
        <v>87.475529201654567</v>
      </c>
      <c r="L8">
        <v>87.765248811082728</v>
      </c>
      <c r="M8">
        <v>88.314740089555457</v>
      </c>
      <c r="N8">
        <v>86.159354003703641</v>
      </c>
      <c r="O8">
        <v>85.961331363910332</v>
      </c>
      <c r="P8">
        <v>87.229733127133088</v>
      </c>
      <c r="Q8">
        <v>87.663618322949375</v>
      </c>
      <c r="R8">
        <v>87.055156716577301</v>
      </c>
      <c r="S8">
        <v>86.217437685191612</v>
      </c>
      <c r="T8">
        <v>85.399400466457365</v>
      </c>
      <c r="U8">
        <v>85.328727627754816</v>
      </c>
      <c r="V8">
        <v>89.483574660923964</v>
      </c>
      <c r="W8">
        <v>89.587168666513662</v>
      </c>
    </row>
    <row r="28" spans="5:5">
      <c r="E28" t="e">
        <f>'Figure 21 HHI Telecom+Internet'!#REF!+'Figure 21 HHI Telecom+Internet'!#REF!+'Figure 21 HHI Telecom+Internet'!E9+'Figure 21 HHI Telecom+Internet'!E10</f>
        <v>#REF!</v>
      </c>
    </row>
  </sheetData>
  <mergeCells count="1">
    <mergeCell ref="A1:N1"/>
  </mergeCells>
  <pageMargins left="0.7" right="0.7" top="0.75" bottom="0.75" header="0.3" footer="0.3"/>
  <pageSetup orientation="portrait" horizontalDpi="0" verticalDpi="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4A437-DFFD-B54A-9277-C0FCD9629BD5}">
  <dimension ref="A1:Z8"/>
  <sheetViews>
    <sheetView zoomScale="120" zoomScaleNormal="120" workbookViewId="0">
      <pane xSplit="1" ySplit="2" topLeftCell="B3" activePane="bottomRight" state="frozen"/>
      <selection pane="topRight" activeCell="B1" sqref="B1"/>
      <selection pane="bottomLeft" activeCell="A3" sqref="A3"/>
      <selection pane="bottomRight" activeCell="H13" sqref="H13"/>
    </sheetView>
  </sheetViews>
  <sheetFormatPr baseColWidth="10" defaultColWidth="11" defaultRowHeight="16"/>
  <cols>
    <col min="1" max="1" width="18.5" customWidth="1"/>
    <col min="2" max="2" width="9" bestFit="1" customWidth="1"/>
  </cols>
  <sheetData>
    <row r="1" spans="1:26" ht="24" customHeight="1">
      <c r="A1" s="627" t="s">
        <v>1039</v>
      </c>
      <c r="B1" s="627"/>
      <c r="C1" s="627"/>
      <c r="D1" s="627"/>
      <c r="E1" s="627"/>
      <c r="F1" s="627"/>
      <c r="G1" s="627"/>
      <c r="H1" s="627"/>
      <c r="I1" s="627"/>
      <c r="J1" s="627"/>
      <c r="K1" s="627"/>
      <c r="L1" s="627"/>
      <c r="M1" s="627"/>
      <c r="N1" s="627"/>
    </row>
    <row r="2" spans="1:26">
      <c r="B2">
        <v>1984</v>
      </c>
      <c r="C2">
        <v>1988</v>
      </c>
      <c r="D2">
        <v>1992</v>
      </c>
      <c r="E2">
        <v>1996</v>
      </c>
      <c r="F2">
        <v>2000</v>
      </c>
      <c r="G2">
        <v>2004</v>
      </c>
      <c r="H2">
        <v>2008</v>
      </c>
      <c r="I2">
        <v>2010</v>
      </c>
      <c r="J2">
        <v>2011</v>
      </c>
      <c r="K2">
        <v>2012</v>
      </c>
      <c r="L2">
        <v>2013</v>
      </c>
      <c r="M2">
        <v>2014</v>
      </c>
      <c r="N2">
        <v>2015</v>
      </c>
      <c r="O2">
        <v>2016</v>
      </c>
      <c r="P2">
        <v>2017</v>
      </c>
      <c r="Q2">
        <v>2018</v>
      </c>
      <c r="R2">
        <v>2019</v>
      </c>
      <c r="S2">
        <v>2020</v>
      </c>
      <c r="T2">
        <v>2021</v>
      </c>
      <c r="U2">
        <v>2022</v>
      </c>
      <c r="V2">
        <v>2023</v>
      </c>
      <c r="W2">
        <v>2024</v>
      </c>
    </row>
    <row r="3" spans="1:26">
      <c r="A3" t="s">
        <v>76</v>
      </c>
      <c r="B3">
        <v>5031.5880111800952</v>
      </c>
      <c r="C3">
        <v>4427.1752164591235</v>
      </c>
      <c r="D3">
        <v>4189.2971456337646</v>
      </c>
      <c r="E3">
        <v>3360.4493907805631</v>
      </c>
      <c r="F3">
        <v>4131.8372021226396</v>
      </c>
      <c r="G3">
        <v>2961.4689368967452</v>
      </c>
      <c r="H3">
        <v>3897.0515005000002</v>
      </c>
      <c r="I3">
        <v>4097.9286359741345</v>
      </c>
      <c r="J3">
        <v>3889.3921620271681</v>
      </c>
      <c r="K3">
        <v>2982.0933534376527</v>
      </c>
      <c r="L3">
        <v>3465.0540607171279</v>
      </c>
      <c r="M3">
        <v>3747.0134281542159</v>
      </c>
      <c r="N3">
        <v>3063.3733794415743</v>
      </c>
      <c r="O3">
        <v>3104.6670456775287</v>
      </c>
      <c r="P3">
        <v>3543.4302307504813</v>
      </c>
      <c r="Q3">
        <v>3526.8987952853831</v>
      </c>
      <c r="R3">
        <v>3669.1601531424817</v>
      </c>
      <c r="S3">
        <v>3781.7330192159261</v>
      </c>
      <c r="T3">
        <v>3703.9298037478497</v>
      </c>
      <c r="U3">
        <v>3385.572016046794</v>
      </c>
      <c r="V3">
        <v>3623.1691387399751</v>
      </c>
      <c r="W3">
        <v>3225.2288758069626</v>
      </c>
      <c r="X3">
        <f>V3-U3</f>
        <v>237.59712269318106</v>
      </c>
      <c r="Y3">
        <f>W3-U3</f>
        <v>-160.34314023983143</v>
      </c>
      <c r="Z3">
        <f>V3-U3</f>
        <v>237.59712269318106</v>
      </c>
    </row>
    <row r="4" spans="1:26">
      <c r="A4" t="s">
        <v>77</v>
      </c>
      <c r="B4">
        <v>5500.8957599402192</v>
      </c>
      <c r="C4">
        <v>6164.8082285160181</v>
      </c>
      <c r="D4">
        <v>6443.6293274158425</v>
      </c>
      <c r="E4">
        <v>4925.5244714554128</v>
      </c>
      <c r="F4">
        <v>2635.2553498819011</v>
      </c>
      <c r="G4">
        <v>3087.4170571899422</v>
      </c>
      <c r="H4">
        <v>3141.730504975937</v>
      </c>
      <c r="I4">
        <v>3083.4289240566768</v>
      </c>
      <c r="J4">
        <v>3001.7807478888681</v>
      </c>
      <c r="K4">
        <v>2934.2283295520151</v>
      </c>
      <c r="L4">
        <v>2891.6360513639911</v>
      </c>
      <c r="M4">
        <v>2877.6606724725702</v>
      </c>
      <c r="N4">
        <v>2879.2552855029635</v>
      </c>
      <c r="O4">
        <v>2828.2439921570094</v>
      </c>
      <c r="P4">
        <v>2889.2747700508844</v>
      </c>
      <c r="Q4">
        <v>2808.1562911263145</v>
      </c>
      <c r="R4">
        <v>2772.4235134620576</v>
      </c>
      <c r="S4">
        <v>2705.1372614659153</v>
      </c>
      <c r="T4">
        <v>2680.5414508901263</v>
      </c>
      <c r="U4">
        <v>2678.338483843067</v>
      </c>
      <c r="V4">
        <v>2788.6868165333863</v>
      </c>
      <c r="W4">
        <v>2745.3162537496305</v>
      </c>
      <c r="X4">
        <f t="shared" ref="X4:X8" si="0">V4-U4</f>
        <v>110.34833269031924</v>
      </c>
      <c r="Y4">
        <f t="shared" ref="Y4:Y8" si="1">W4-U4</f>
        <v>66.977769906563481</v>
      </c>
      <c r="Z4">
        <f t="shared" ref="Z4:Z8" si="2">V4-U4</f>
        <v>110.34833269031924</v>
      </c>
    </row>
    <row r="5" spans="1:26">
      <c r="A5" t="s">
        <v>279</v>
      </c>
      <c r="F5">
        <v>3340.2200000000007</v>
      </c>
      <c r="G5">
        <v>4140.59</v>
      </c>
      <c r="H5">
        <v>4552.78</v>
      </c>
      <c r="I5">
        <v>4587.46</v>
      </c>
      <c r="J5">
        <v>4608.5100000000011</v>
      </c>
      <c r="K5">
        <v>4558.7400000000007</v>
      </c>
      <c r="L5">
        <v>4465.1799999999994</v>
      </c>
      <c r="M5">
        <v>4294.38</v>
      </c>
      <c r="N5">
        <v>4127.7300000000005</v>
      </c>
      <c r="O5">
        <v>4074.9399999999996</v>
      </c>
      <c r="P5">
        <v>4034.8200000000006</v>
      </c>
      <c r="Q5">
        <v>3957.6800000000003</v>
      </c>
      <c r="R5">
        <v>3936.32</v>
      </c>
      <c r="S5">
        <v>3908.06</v>
      </c>
      <c r="T5">
        <v>3888.94</v>
      </c>
      <c r="U5">
        <v>3986.58</v>
      </c>
      <c r="V5">
        <v>3972.5400000000004</v>
      </c>
      <c r="W5">
        <v>3930.96</v>
      </c>
      <c r="X5">
        <f t="shared" si="0"/>
        <v>-14.039999999999509</v>
      </c>
      <c r="Y5">
        <f t="shared" si="1"/>
        <v>-55.619999999999891</v>
      </c>
      <c r="Z5">
        <f t="shared" si="2"/>
        <v>-14.039999999999509</v>
      </c>
    </row>
    <row r="6" spans="1:26">
      <c r="A6" t="s">
        <v>280</v>
      </c>
      <c r="E6">
        <v>10000</v>
      </c>
      <c r="F6">
        <v>8658.5358641053608</v>
      </c>
      <c r="G6">
        <v>7145.264076350255</v>
      </c>
      <c r="H6">
        <v>6610.8562118270338</v>
      </c>
      <c r="I6">
        <v>6335.8012339575762</v>
      </c>
      <c r="J6">
        <v>5962.2475442919213</v>
      </c>
      <c r="K6">
        <v>5763.5378757317394</v>
      </c>
      <c r="L6">
        <v>5613.5154639359598</v>
      </c>
      <c r="M6">
        <v>5416.3429604258372</v>
      </c>
      <c r="N6">
        <v>5443.8812823000026</v>
      </c>
      <c r="O6">
        <v>5311.5261658679037</v>
      </c>
      <c r="P6">
        <v>5291.3198574458984</v>
      </c>
      <c r="Q6">
        <v>5222.4271464252261</v>
      </c>
      <c r="R6">
        <v>5229.7669603575741</v>
      </c>
      <c r="S6">
        <v>5169.5470463580959</v>
      </c>
      <c r="T6">
        <v>5165.62</v>
      </c>
      <c r="U6">
        <v>5123.9776327194222</v>
      </c>
      <c r="V6">
        <v>5102.1099208747919</v>
      </c>
      <c r="W6">
        <v>4918.1484459106568</v>
      </c>
      <c r="X6">
        <f t="shared" si="0"/>
        <v>-21.867711844630321</v>
      </c>
      <c r="Y6">
        <f t="shared" si="1"/>
        <v>-205.82918680876537</v>
      </c>
      <c r="Z6">
        <f t="shared" si="2"/>
        <v>-21.867711844630321</v>
      </c>
    </row>
    <row r="7" spans="1:26">
      <c r="A7" t="s">
        <v>527</v>
      </c>
      <c r="B7">
        <v>4515.203251137229</v>
      </c>
      <c r="C7">
        <v>3792.2499580959857</v>
      </c>
      <c r="D7">
        <v>3522.2913107813843</v>
      </c>
      <c r="E7">
        <v>2577.4178797286777</v>
      </c>
      <c r="F7">
        <v>2565.5545907991127</v>
      </c>
      <c r="G7">
        <v>2070.2544214546674</v>
      </c>
      <c r="H7">
        <v>2212.3166468987288</v>
      </c>
      <c r="I7">
        <v>2344.7587418921707</v>
      </c>
      <c r="J7">
        <v>2304.2711598502442</v>
      </c>
      <c r="K7">
        <v>2235.1486616934139</v>
      </c>
      <c r="L7">
        <v>2256.1982965041561</v>
      </c>
      <c r="M7">
        <v>2384.6467615428724</v>
      </c>
      <c r="N7">
        <v>2230.2916765077089</v>
      </c>
      <c r="O7">
        <v>2159.7222057333884</v>
      </c>
      <c r="P7">
        <v>2263.5094589725081</v>
      </c>
      <c r="Q7">
        <v>2268.5789868408719</v>
      </c>
      <c r="R7">
        <v>2232.1178406338277</v>
      </c>
      <c r="S7">
        <v>2202.3506443938873</v>
      </c>
      <c r="T7">
        <v>2166.4015768278095</v>
      </c>
      <c r="U7">
        <v>2162.5826962375522</v>
      </c>
      <c r="V7">
        <v>2382.056420192137</v>
      </c>
      <c r="W7">
        <v>2366.5910101840113</v>
      </c>
      <c r="X7">
        <f t="shared" si="0"/>
        <v>219.47372395458478</v>
      </c>
      <c r="Y7">
        <f t="shared" si="1"/>
        <v>204.00831394645911</v>
      </c>
      <c r="Z7">
        <f t="shared" si="2"/>
        <v>219.47372395458478</v>
      </c>
    </row>
    <row r="8" spans="1:26">
      <c r="A8" t="s">
        <v>281</v>
      </c>
      <c r="B8">
        <v>4805.0309227336065</v>
      </c>
      <c r="C8">
        <v>4220.7959357764275</v>
      </c>
      <c r="D8">
        <v>4077.5153511667745</v>
      </c>
      <c r="E8">
        <v>3363.8209467133424</v>
      </c>
      <c r="F8">
        <v>3353.7637923026455</v>
      </c>
      <c r="G8">
        <v>2669.8522076052045</v>
      </c>
      <c r="H8">
        <v>2950.1565441191592</v>
      </c>
      <c r="I8">
        <v>3079.9443087105647</v>
      </c>
      <c r="J8">
        <v>2963.9991659873731</v>
      </c>
      <c r="K8">
        <v>2617.6353663198392</v>
      </c>
      <c r="L8">
        <v>2763.2752996255294</v>
      </c>
      <c r="M8">
        <v>2891.1851041674709</v>
      </c>
      <c r="N8">
        <v>2811.128737857443</v>
      </c>
      <c r="O8">
        <v>2534.012270308288</v>
      </c>
      <c r="P8">
        <v>2648.2199842289697</v>
      </c>
      <c r="Q8">
        <v>2615.1242544328529</v>
      </c>
      <c r="R8">
        <v>2581.9578472590797</v>
      </c>
      <c r="S8">
        <v>2541.5159045004239</v>
      </c>
      <c r="T8">
        <v>2481.1353733954779</v>
      </c>
      <c r="U8">
        <v>2423.9191107549636</v>
      </c>
      <c r="V8">
        <v>2615.2074120848652</v>
      </c>
      <c r="W8">
        <v>2528.3538396214758</v>
      </c>
      <c r="X8">
        <f t="shared" si="0"/>
        <v>191.28830132990151</v>
      </c>
      <c r="Y8">
        <f t="shared" si="1"/>
        <v>104.43472886651216</v>
      </c>
      <c r="Z8">
        <f t="shared" si="2"/>
        <v>191.28830132990151</v>
      </c>
    </row>
  </sheetData>
  <mergeCells count="1">
    <mergeCell ref="A1:N1"/>
  </mergeCells>
  <pageMargins left="0.7" right="0.7" top="0.75" bottom="0.75" header="0.3" footer="0.3"/>
  <pageSetup orientation="portrait" horizontalDpi="0" verticalDpi="0"/>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174807-A59A-5548-9B39-03CFFE0B33A9}">
  <dimension ref="A1:F40"/>
  <sheetViews>
    <sheetView zoomScale="130" zoomScaleNormal="130" workbookViewId="0">
      <selection activeCell="K18" sqref="K18"/>
    </sheetView>
  </sheetViews>
  <sheetFormatPr baseColWidth="10" defaultColWidth="11" defaultRowHeight="16"/>
  <cols>
    <col min="9" max="9" width="24" customWidth="1"/>
    <col min="12" max="12" width="12.6640625" bestFit="1" customWidth="1"/>
  </cols>
  <sheetData>
    <row r="1" spans="1:6">
      <c r="A1" s="627" t="s">
        <v>1040</v>
      </c>
      <c r="B1" s="627"/>
      <c r="C1" s="627"/>
      <c r="D1" s="627"/>
      <c r="E1" s="627"/>
    </row>
    <row r="2" spans="1:6">
      <c r="C2">
        <v>2021</v>
      </c>
      <c r="D2">
        <v>2022</v>
      </c>
      <c r="E2">
        <v>2023</v>
      </c>
      <c r="F2">
        <v>2024</v>
      </c>
    </row>
    <row r="3" spans="1:6">
      <c r="A3">
        <v>1</v>
      </c>
      <c r="B3" t="s">
        <v>282</v>
      </c>
      <c r="C3">
        <v>390606.9</v>
      </c>
      <c r="D3">
        <v>420029.71</v>
      </c>
      <c r="E3">
        <v>422470.946</v>
      </c>
      <c r="F3">
        <v>466143.15100000001</v>
      </c>
    </row>
    <row r="4" spans="1:6">
      <c r="A4">
        <v>2</v>
      </c>
      <c r="B4" t="s">
        <v>283</v>
      </c>
      <c r="C4">
        <v>146890.79999999999</v>
      </c>
      <c r="D4">
        <v>168390.43</v>
      </c>
      <c r="E4">
        <v>166313.39799999999</v>
      </c>
      <c r="F4">
        <v>164192.74299999999</v>
      </c>
    </row>
    <row r="5" spans="1:6">
      <c r="A5">
        <v>3</v>
      </c>
      <c r="B5" t="s">
        <v>284</v>
      </c>
      <c r="C5">
        <v>107628.01700000001</v>
      </c>
      <c r="D5">
        <v>112514.302</v>
      </c>
      <c r="E5">
        <v>99182.704500000007</v>
      </c>
      <c r="F5">
        <v>95469.58</v>
      </c>
    </row>
    <row r="6" spans="1:6">
      <c r="A6">
        <v>4</v>
      </c>
      <c r="B6" t="s">
        <v>286</v>
      </c>
      <c r="C6">
        <v>39294.199999999997</v>
      </c>
      <c r="D6">
        <v>37705.088000000003</v>
      </c>
      <c r="E6">
        <v>40287.72</v>
      </c>
      <c r="F6">
        <v>40690.228000000003</v>
      </c>
    </row>
    <row r="7" spans="1:6">
      <c r="A7">
        <v>5</v>
      </c>
      <c r="B7" t="s">
        <v>288</v>
      </c>
      <c r="C7">
        <v>25472.727644160001</v>
      </c>
      <c r="D7">
        <v>25181.599999999999</v>
      </c>
      <c r="E7">
        <v>29000</v>
      </c>
      <c r="F7">
        <v>39100</v>
      </c>
    </row>
    <row r="8" spans="1:6">
      <c r="A8">
        <v>6</v>
      </c>
      <c r="B8" t="s">
        <v>287</v>
      </c>
      <c r="C8">
        <v>29268</v>
      </c>
      <c r="D8">
        <v>30868.080000000002</v>
      </c>
      <c r="E8">
        <v>32477.96</v>
      </c>
      <c r="F8">
        <v>33230</v>
      </c>
    </row>
    <row r="9" spans="1:6">
      <c r="A9">
        <v>7</v>
      </c>
      <c r="B9" t="s">
        <v>290</v>
      </c>
      <c r="C9">
        <v>27567.15</v>
      </c>
      <c r="D9">
        <v>25922.02</v>
      </c>
      <c r="E9">
        <v>26691.89</v>
      </c>
      <c r="F9">
        <v>25707.165000000001</v>
      </c>
    </row>
    <row r="10" spans="1:6">
      <c r="A10">
        <v>8</v>
      </c>
      <c r="B10" t="s">
        <v>291</v>
      </c>
      <c r="C10">
        <v>22032.924999999999</v>
      </c>
      <c r="D10">
        <v>21141.1456</v>
      </c>
      <c r="E10">
        <v>23140.624100000001</v>
      </c>
      <c r="F10">
        <v>23539.874800000001</v>
      </c>
    </row>
    <row r="11" spans="1:6">
      <c r="A11">
        <v>9</v>
      </c>
      <c r="B11" t="s">
        <v>292</v>
      </c>
      <c r="C11">
        <v>21178.088</v>
      </c>
      <c r="D11">
        <v>20749.29</v>
      </c>
      <c r="E11">
        <v>22775.88</v>
      </c>
      <c r="F11">
        <v>24698.14</v>
      </c>
    </row>
    <row r="12" spans="1:6">
      <c r="A12">
        <v>10</v>
      </c>
      <c r="B12" t="s">
        <v>293</v>
      </c>
      <c r="C12">
        <v>19371.288</v>
      </c>
      <c r="D12">
        <v>20687.86</v>
      </c>
      <c r="E12">
        <v>19890.599400000003</v>
      </c>
      <c r="F12">
        <v>25298</v>
      </c>
    </row>
    <row r="13" spans="1:6">
      <c r="A13">
        <v>11</v>
      </c>
      <c r="B13" t="s">
        <v>294</v>
      </c>
      <c r="C13">
        <v>15554.25</v>
      </c>
      <c r="D13">
        <v>19901.29</v>
      </c>
      <c r="E13">
        <v>23288</v>
      </c>
      <c r="F13">
        <v>23709.200000000001</v>
      </c>
    </row>
    <row r="14" spans="1:6">
      <c r="A14">
        <v>12</v>
      </c>
      <c r="B14" t="s">
        <v>289</v>
      </c>
      <c r="C14">
        <v>14013.19234</v>
      </c>
      <c r="D14">
        <v>15657.77432</v>
      </c>
      <c r="E14">
        <v>17967.4339</v>
      </c>
      <c r="F14">
        <v>19640.510399999999</v>
      </c>
    </row>
    <row r="15" spans="1:6">
      <c r="A15">
        <v>13</v>
      </c>
      <c r="B15" t="s">
        <v>285</v>
      </c>
      <c r="C15">
        <v>17809.47</v>
      </c>
      <c r="D15">
        <v>20609.679999999997</v>
      </c>
      <c r="E15">
        <v>18672</v>
      </c>
      <c r="F15">
        <v>18502.29</v>
      </c>
    </row>
    <row r="16" spans="1:6">
      <c r="A16">
        <v>14</v>
      </c>
      <c r="B16" t="s">
        <v>295</v>
      </c>
      <c r="C16">
        <v>15453.74</v>
      </c>
      <c r="D16">
        <v>13676.825999999999</v>
      </c>
      <c r="E16">
        <v>14497.74</v>
      </c>
      <c r="F16">
        <v>14358.642</v>
      </c>
    </row>
    <row r="17" spans="1:6">
      <c r="A17">
        <v>15</v>
      </c>
      <c r="B17" t="s">
        <v>296</v>
      </c>
      <c r="C17">
        <v>9668.3053724999991</v>
      </c>
      <c r="D17">
        <v>9728.11</v>
      </c>
      <c r="E17">
        <v>8795.91</v>
      </c>
      <c r="F17">
        <v>9898.1859999999997</v>
      </c>
    </row>
    <row r="18" spans="1:6">
      <c r="A18">
        <v>16</v>
      </c>
      <c r="B18" t="s">
        <v>297</v>
      </c>
      <c r="C18">
        <v>12536.45</v>
      </c>
      <c r="D18">
        <v>11237.62</v>
      </c>
      <c r="E18">
        <v>12003.9</v>
      </c>
      <c r="F18">
        <v>11939.44</v>
      </c>
    </row>
    <row r="19" spans="1:6">
      <c r="A19">
        <v>17</v>
      </c>
      <c r="B19" t="s">
        <v>298</v>
      </c>
      <c r="C19">
        <v>8587</v>
      </c>
      <c r="D19">
        <v>5909.22</v>
      </c>
      <c r="E19">
        <v>11446.92</v>
      </c>
      <c r="F19">
        <v>16934.8374</v>
      </c>
    </row>
    <row r="20" spans="1:6">
      <c r="A20">
        <v>18</v>
      </c>
      <c r="B20" t="s">
        <v>299</v>
      </c>
      <c r="C20">
        <v>7272.04</v>
      </c>
      <c r="D20">
        <v>7264.5</v>
      </c>
      <c r="E20">
        <v>7916.86</v>
      </c>
      <c r="F20">
        <v>7916.86</v>
      </c>
    </row>
    <row r="21" spans="1:6">
      <c r="A21">
        <v>19</v>
      </c>
      <c r="B21" t="s">
        <v>300</v>
      </c>
      <c r="C21">
        <v>6399.88</v>
      </c>
      <c r="D21">
        <v>5716.23</v>
      </c>
      <c r="E21">
        <v>6470.4</v>
      </c>
      <c r="F21">
        <v>6909.63</v>
      </c>
    </row>
    <row r="22" spans="1:6">
      <c r="A22">
        <v>20</v>
      </c>
      <c r="B22" t="s">
        <v>301</v>
      </c>
      <c r="C22">
        <v>5135.75</v>
      </c>
      <c r="D22">
        <v>4747</v>
      </c>
      <c r="E22">
        <v>6426</v>
      </c>
      <c r="F22">
        <v>7635.9826800000001</v>
      </c>
    </row>
    <row r="23" spans="1:6">
      <c r="A23">
        <v>21</v>
      </c>
      <c r="B23" t="s">
        <v>302</v>
      </c>
      <c r="C23">
        <v>6351.7793219999994</v>
      </c>
      <c r="D23">
        <v>6190.3463160000001</v>
      </c>
      <c r="E23">
        <v>6784.8534239999999</v>
      </c>
      <c r="F23">
        <v>7566.1665599999997</v>
      </c>
    </row>
    <row r="24" spans="1:6">
      <c r="A24">
        <v>22</v>
      </c>
      <c r="B24" t="s">
        <v>303</v>
      </c>
      <c r="C24">
        <v>4353.66</v>
      </c>
      <c r="D24">
        <v>4214.8999999999996</v>
      </c>
      <c r="E24">
        <v>4925.2</v>
      </c>
      <c r="F24">
        <v>5511</v>
      </c>
    </row>
    <row r="25" spans="1:6">
      <c r="A25">
        <v>23</v>
      </c>
      <c r="B25" t="s">
        <v>304</v>
      </c>
      <c r="C25">
        <v>5037.826345200001</v>
      </c>
      <c r="D25">
        <v>4677.5798144</v>
      </c>
      <c r="E25">
        <v>5087.7639141999998</v>
      </c>
      <c r="F25">
        <v>5230.7539999999999</v>
      </c>
    </row>
    <row r="26" spans="1:6">
      <c r="A26">
        <v>24</v>
      </c>
      <c r="B26" t="s">
        <v>316</v>
      </c>
      <c r="C26">
        <v>3509.1</v>
      </c>
      <c r="D26">
        <v>3622.4</v>
      </c>
      <c r="E26">
        <v>3833.6</v>
      </c>
      <c r="F26">
        <v>4087</v>
      </c>
    </row>
    <row r="27" spans="1:6">
      <c r="A27">
        <v>25</v>
      </c>
      <c r="B27" t="s">
        <v>305</v>
      </c>
      <c r="C27">
        <v>4304</v>
      </c>
      <c r="D27">
        <v>3860.9409999999998</v>
      </c>
      <c r="E27">
        <v>3918.5</v>
      </c>
      <c r="F27">
        <v>4045.85</v>
      </c>
    </row>
    <row r="28" spans="1:6">
      <c r="A28">
        <v>26</v>
      </c>
      <c r="B28" t="s">
        <v>306</v>
      </c>
      <c r="C28">
        <v>3748.52</v>
      </c>
      <c r="D28">
        <v>3618.48</v>
      </c>
      <c r="E28">
        <v>4100.3</v>
      </c>
      <c r="F28">
        <v>4298.7</v>
      </c>
    </row>
    <row r="29" spans="1:6">
      <c r="A29">
        <v>27</v>
      </c>
      <c r="B29" t="s">
        <v>307</v>
      </c>
      <c r="C29">
        <v>4080</v>
      </c>
      <c r="D29">
        <v>3135.38</v>
      </c>
      <c r="E29">
        <v>3275.13</v>
      </c>
      <c r="F29">
        <v>4340.1000000000004</v>
      </c>
    </row>
    <row r="30" spans="1:6">
      <c r="A30">
        <v>28</v>
      </c>
      <c r="B30" t="s">
        <v>308</v>
      </c>
      <c r="C30">
        <v>3151.5169999999998</v>
      </c>
      <c r="D30">
        <v>3046.3</v>
      </c>
      <c r="E30">
        <v>3258.6959999999999</v>
      </c>
      <c r="F30">
        <v>3335.6</v>
      </c>
    </row>
    <row r="31" spans="1:6">
      <c r="A31">
        <v>29</v>
      </c>
      <c r="B31" t="s">
        <v>309</v>
      </c>
      <c r="C31">
        <v>3027.8775999999998</v>
      </c>
      <c r="D31">
        <v>2906.29</v>
      </c>
      <c r="E31">
        <v>3208.42</v>
      </c>
      <c r="F31">
        <v>3436.29</v>
      </c>
    </row>
    <row r="32" spans="1:6">
      <c r="A32">
        <v>30</v>
      </c>
      <c r="B32" t="s">
        <v>310</v>
      </c>
      <c r="C32">
        <v>2301.6367659999996</v>
      </c>
      <c r="D32">
        <v>2799.1</v>
      </c>
      <c r="E32">
        <v>3120.51</v>
      </c>
      <c r="F32">
        <v>4264.18</v>
      </c>
    </row>
    <row r="33" spans="1:6">
      <c r="A33">
        <v>31</v>
      </c>
      <c r="B33" t="s">
        <v>311</v>
      </c>
      <c r="C33">
        <v>2878.44</v>
      </c>
      <c r="D33">
        <v>2622.6</v>
      </c>
      <c r="E33">
        <v>2968.25</v>
      </c>
      <c r="F33">
        <v>3095.37</v>
      </c>
    </row>
    <row r="34" spans="1:6">
      <c r="A34">
        <v>32</v>
      </c>
      <c r="B34" t="s">
        <v>312</v>
      </c>
      <c r="C34">
        <v>2983.6550000000002</v>
      </c>
      <c r="D34">
        <v>2524.06</v>
      </c>
      <c r="E34">
        <v>2760.4</v>
      </c>
      <c r="F34">
        <v>2802.8000000000006</v>
      </c>
    </row>
    <row r="35" spans="1:6">
      <c r="A35">
        <v>33</v>
      </c>
      <c r="B35" t="s">
        <v>313</v>
      </c>
      <c r="C35">
        <v>2860.33</v>
      </c>
      <c r="D35">
        <v>2820.74</v>
      </c>
      <c r="E35">
        <v>2745.45</v>
      </c>
      <c r="F35">
        <v>3035.7959784677996</v>
      </c>
    </row>
    <row r="36" spans="1:6">
      <c r="A36">
        <v>34</v>
      </c>
      <c r="B36" t="s">
        <v>315</v>
      </c>
      <c r="C36">
        <v>2318.7581559999999</v>
      </c>
      <c r="D36">
        <v>2461.9830000000002</v>
      </c>
      <c r="E36">
        <v>2522.41</v>
      </c>
      <c r="F36">
        <v>2998.32</v>
      </c>
    </row>
    <row r="37" spans="1:6">
      <c r="A37">
        <v>35</v>
      </c>
      <c r="B37" t="s">
        <v>314</v>
      </c>
      <c r="C37">
        <v>2569.1799999999998</v>
      </c>
      <c r="D37">
        <v>2727.877</v>
      </c>
      <c r="E37">
        <v>2794.83</v>
      </c>
      <c r="F37">
        <v>2742.6660000000002</v>
      </c>
    </row>
    <row r="38" spans="1:6">
      <c r="A38">
        <v>36</v>
      </c>
      <c r="B38" t="s">
        <v>317</v>
      </c>
      <c r="C38">
        <v>1461.74</v>
      </c>
      <c r="D38">
        <v>1444.9280000000001</v>
      </c>
      <c r="E38">
        <v>1122.51</v>
      </c>
      <c r="F38">
        <v>1186.02</v>
      </c>
    </row>
    <row r="40" spans="1:6">
      <c r="A40" s="627" t="s">
        <v>1155</v>
      </c>
      <c r="B40" s="627"/>
      <c r="C40" s="627"/>
      <c r="D40" s="627"/>
    </row>
  </sheetData>
  <mergeCells count="2">
    <mergeCell ref="A1:E1"/>
    <mergeCell ref="A40:D40"/>
  </mergeCells>
  <pageMargins left="0.7" right="0.7" top="0.75" bottom="0.75" header="0.3" footer="0.3"/>
  <pageSetup orientation="portrait" horizontalDpi="0" verticalDpi="0"/>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59BB0F-ADB3-BC46-9001-E4BAF7F69D8E}">
  <dimension ref="A1:Y10"/>
  <sheetViews>
    <sheetView zoomScale="115" zoomScaleNormal="115" workbookViewId="0">
      <pane xSplit="1" ySplit="2" topLeftCell="B3" activePane="bottomRight" state="frozen"/>
      <selection pane="topRight" activeCell="B1" sqref="B1"/>
      <selection pane="bottomLeft" activeCell="A3" sqref="A3"/>
      <selection pane="bottomRight" activeCell="E16" sqref="E16"/>
    </sheetView>
  </sheetViews>
  <sheetFormatPr baseColWidth="10" defaultColWidth="11" defaultRowHeight="16"/>
  <cols>
    <col min="1" max="1" width="40.33203125" customWidth="1"/>
  </cols>
  <sheetData>
    <row r="1" spans="1:25">
      <c r="A1" s="627" t="s">
        <v>1041</v>
      </c>
      <c r="B1" s="627"/>
      <c r="C1" s="627"/>
      <c r="D1" s="627"/>
      <c r="E1" s="627"/>
      <c r="F1" s="627"/>
      <c r="G1" s="627"/>
      <c r="H1" s="627"/>
      <c r="I1" s="627"/>
      <c r="J1" s="627"/>
      <c r="K1" s="627"/>
      <c r="L1" s="627"/>
      <c r="M1" s="627"/>
      <c r="N1" s="627"/>
    </row>
    <row r="2" spans="1:25">
      <c r="B2">
        <v>2002</v>
      </c>
      <c r="C2">
        <v>2003</v>
      </c>
      <c r="D2">
        <v>2004</v>
      </c>
      <c r="E2">
        <v>2005</v>
      </c>
      <c r="F2">
        <v>2006</v>
      </c>
      <c r="G2">
        <v>2007</v>
      </c>
      <c r="H2">
        <v>2008</v>
      </c>
      <c r="I2">
        <v>2009</v>
      </c>
      <c r="J2">
        <v>2010</v>
      </c>
      <c r="K2">
        <v>2011</v>
      </c>
      <c r="L2">
        <v>2012</v>
      </c>
      <c r="M2">
        <v>2013</v>
      </c>
      <c r="N2">
        <v>2014</v>
      </c>
      <c r="O2">
        <v>2015</v>
      </c>
      <c r="P2">
        <v>2016</v>
      </c>
      <c r="Q2">
        <v>2017</v>
      </c>
      <c r="R2">
        <v>2018</v>
      </c>
      <c r="S2">
        <v>2019</v>
      </c>
      <c r="T2">
        <v>2020</v>
      </c>
      <c r="U2">
        <v>2021</v>
      </c>
      <c r="V2">
        <v>2022</v>
      </c>
      <c r="W2">
        <v>2023</v>
      </c>
      <c r="X2">
        <v>2024</v>
      </c>
    </row>
    <row r="3" spans="1:25">
      <c r="A3" t="s">
        <v>318</v>
      </c>
      <c r="B3">
        <v>100</v>
      </c>
      <c r="C3">
        <v>102.2</v>
      </c>
      <c r="D3">
        <v>103.8</v>
      </c>
      <c r="E3">
        <v>105.5</v>
      </c>
      <c r="F3">
        <v>107.5</v>
      </c>
      <c r="G3">
        <v>109.8</v>
      </c>
      <c r="H3">
        <v>111.7</v>
      </c>
      <c r="I3">
        <v>113.6</v>
      </c>
      <c r="J3">
        <v>115.6</v>
      </c>
      <c r="K3">
        <v>117.5</v>
      </c>
      <c r="L3">
        <v>119.5</v>
      </c>
      <c r="M3">
        <v>121</v>
      </c>
      <c r="N3">
        <v>123.2</v>
      </c>
      <c r="O3">
        <v>125.9</v>
      </c>
      <c r="P3">
        <v>128.19999999999999</v>
      </c>
      <c r="Q3">
        <v>130.4</v>
      </c>
      <c r="R3">
        <v>133.4</v>
      </c>
      <c r="S3">
        <v>136</v>
      </c>
      <c r="T3">
        <v>137</v>
      </c>
      <c r="U3">
        <v>141.6</v>
      </c>
      <c r="V3">
        <v>151.19999999999999</v>
      </c>
      <c r="W3">
        <v>157.1</v>
      </c>
      <c r="X3">
        <v>160.9</v>
      </c>
    </row>
    <row r="4" spans="1:25">
      <c r="A4" t="s">
        <v>319</v>
      </c>
      <c r="B4">
        <v>100</v>
      </c>
      <c r="C4">
        <v>104.8</v>
      </c>
      <c r="D4">
        <v>108.8</v>
      </c>
      <c r="E4">
        <v>112.5</v>
      </c>
      <c r="F4">
        <v>116.8</v>
      </c>
      <c r="G4">
        <v>122.7</v>
      </c>
      <c r="H4">
        <v>128.69999999999999</v>
      </c>
      <c r="I4">
        <v>135.80000000000001</v>
      </c>
      <c r="J4">
        <v>143.4</v>
      </c>
      <c r="K4">
        <v>151.4</v>
      </c>
      <c r="L4">
        <v>159</v>
      </c>
      <c r="M4">
        <v>162.80000000000001</v>
      </c>
      <c r="N4">
        <v>166.6</v>
      </c>
      <c r="O4">
        <v>170.7</v>
      </c>
      <c r="P4">
        <v>178.3</v>
      </c>
      <c r="Q4">
        <v>185.5</v>
      </c>
      <c r="R4">
        <v>195.4</v>
      </c>
      <c r="S4">
        <v>210.3</v>
      </c>
      <c r="T4">
        <v>216.2</v>
      </c>
      <c r="U4">
        <v>225.6</v>
      </c>
      <c r="V4">
        <v>240.6</v>
      </c>
      <c r="W4">
        <v>249</v>
      </c>
      <c r="X4">
        <v>254.4</v>
      </c>
    </row>
    <row r="5" spans="1:25">
      <c r="A5" t="s">
        <v>320</v>
      </c>
      <c r="P5">
        <v>102.4</v>
      </c>
      <c r="Q5">
        <v>100</v>
      </c>
      <c r="R5">
        <v>95.1</v>
      </c>
      <c r="S5">
        <v>93.2</v>
      </c>
      <c r="T5">
        <v>83</v>
      </c>
      <c r="U5">
        <v>69</v>
      </c>
      <c r="V5">
        <v>65.400000000000006</v>
      </c>
      <c r="W5">
        <v>57.6</v>
      </c>
      <c r="X5">
        <v>48</v>
      </c>
    </row>
    <row r="6" spans="1:25">
      <c r="A6" t="s">
        <v>321</v>
      </c>
      <c r="B6">
        <v>100</v>
      </c>
      <c r="C6">
        <v>100.2</v>
      </c>
      <c r="D6">
        <v>100.6</v>
      </c>
      <c r="E6">
        <v>101</v>
      </c>
      <c r="F6">
        <v>100.9</v>
      </c>
      <c r="G6">
        <v>101.6</v>
      </c>
      <c r="H6">
        <v>105.9</v>
      </c>
      <c r="I6">
        <v>106.5</v>
      </c>
      <c r="J6">
        <v>111.2</v>
      </c>
      <c r="K6">
        <v>112.3</v>
      </c>
      <c r="L6">
        <v>114.6</v>
      </c>
      <c r="M6">
        <v>116.4</v>
      </c>
      <c r="N6">
        <v>120.4</v>
      </c>
      <c r="O6">
        <v>123.7</v>
      </c>
      <c r="P6">
        <v>123.4</v>
      </c>
      <c r="Q6">
        <v>122.8</v>
      </c>
      <c r="R6">
        <v>119.9</v>
      </c>
      <c r="S6">
        <v>118.9</v>
      </c>
      <c r="T6">
        <v>109.2</v>
      </c>
      <c r="U6">
        <v>95.4</v>
      </c>
      <c r="V6">
        <v>92.3</v>
      </c>
      <c r="W6">
        <v>84.1</v>
      </c>
      <c r="X6">
        <v>73.599999999999994</v>
      </c>
    </row>
    <row r="7" spans="1:25">
      <c r="A7" t="s">
        <v>14</v>
      </c>
      <c r="C7">
        <v>99.1</v>
      </c>
      <c r="D7">
        <v>99</v>
      </c>
      <c r="E7">
        <v>97.1</v>
      </c>
      <c r="F7">
        <v>96.7</v>
      </c>
      <c r="G7">
        <v>97.5</v>
      </c>
      <c r="H7">
        <v>95.8</v>
      </c>
      <c r="I7">
        <v>94.8</v>
      </c>
      <c r="J7">
        <v>95.8</v>
      </c>
      <c r="K7">
        <v>100.9</v>
      </c>
      <c r="L7">
        <v>105.2</v>
      </c>
      <c r="M7">
        <v>109.1</v>
      </c>
      <c r="N7">
        <v>117.8</v>
      </c>
      <c r="O7">
        <v>123.7</v>
      </c>
      <c r="P7">
        <v>124.7</v>
      </c>
      <c r="Q7">
        <v>123.5</v>
      </c>
      <c r="R7">
        <v>130.30000000000001</v>
      </c>
      <c r="S7">
        <v>120.9</v>
      </c>
      <c r="T7">
        <v>123.5</v>
      </c>
      <c r="U7">
        <v>126.6</v>
      </c>
      <c r="V7">
        <v>125.2</v>
      </c>
      <c r="W7">
        <v>121.4</v>
      </c>
      <c r="X7">
        <v>114.3</v>
      </c>
      <c r="Y7">
        <f>(X7-U7)/U7</f>
        <v>-9.7156398104265379E-2</v>
      </c>
    </row>
    <row r="8" spans="1:25">
      <c r="A8" t="s">
        <v>322</v>
      </c>
      <c r="B8">
        <v>100</v>
      </c>
      <c r="C8">
        <v>98.9</v>
      </c>
      <c r="D8">
        <v>95.2</v>
      </c>
      <c r="E8">
        <v>92.7</v>
      </c>
      <c r="F8">
        <v>89</v>
      </c>
      <c r="G8">
        <v>86.1</v>
      </c>
      <c r="H8">
        <v>81.900000000000006</v>
      </c>
      <c r="I8">
        <v>78.3</v>
      </c>
      <c r="J8">
        <v>73.2</v>
      </c>
      <c r="K8">
        <v>69.3</v>
      </c>
      <c r="L8">
        <v>63.6</v>
      </c>
      <c r="M8">
        <v>60</v>
      </c>
      <c r="N8">
        <v>57.3</v>
      </c>
      <c r="O8">
        <v>55.4</v>
      </c>
      <c r="P8">
        <v>54.5</v>
      </c>
      <c r="Q8">
        <v>51.6</v>
      </c>
      <c r="R8">
        <v>49.7</v>
      </c>
      <c r="S8">
        <v>47.2</v>
      </c>
      <c r="T8">
        <v>44.9</v>
      </c>
      <c r="U8">
        <v>45.1</v>
      </c>
      <c r="V8">
        <v>43.9</v>
      </c>
      <c r="W8">
        <v>43.1</v>
      </c>
      <c r="X8">
        <v>40.9</v>
      </c>
    </row>
    <row r="9" spans="1:25">
      <c r="A9" t="s">
        <v>323</v>
      </c>
      <c r="B9">
        <v>100</v>
      </c>
      <c r="C9">
        <v>90.2</v>
      </c>
      <c r="D9">
        <v>75.099999999999994</v>
      </c>
      <c r="E9">
        <v>59.5</v>
      </c>
      <c r="F9">
        <v>49.1</v>
      </c>
      <c r="G9">
        <v>40.700000000000003</v>
      </c>
      <c r="H9">
        <v>35.299999999999997</v>
      </c>
      <c r="I9">
        <v>31.6</v>
      </c>
      <c r="J9">
        <v>27.5</v>
      </c>
      <c r="K9">
        <v>24.4</v>
      </c>
      <c r="L9">
        <v>22.9</v>
      </c>
      <c r="M9">
        <v>22.1</v>
      </c>
      <c r="N9">
        <v>21</v>
      </c>
      <c r="O9">
        <v>20.9</v>
      </c>
      <c r="P9">
        <v>20.6</v>
      </c>
      <c r="Q9">
        <v>19.899999999999999</v>
      </c>
      <c r="R9">
        <v>19</v>
      </c>
      <c r="S9">
        <v>18.5</v>
      </c>
      <c r="T9">
        <v>17.399999999999999</v>
      </c>
      <c r="U9">
        <v>16.399999999999999</v>
      </c>
      <c r="V9">
        <v>15.1</v>
      </c>
      <c r="W9">
        <v>14</v>
      </c>
      <c r="X9">
        <v>12.7</v>
      </c>
    </row>
    <row r="10" spans="1:25">
      <c r="Q10">
        <f>Q6*0.815</f>
        <v>100.08199999999999</v>
      </c>
      <c r="R10">
        <f t="shared" ref="R10:X10" si="0">R6*0.815</f>
        <v>97.718499999999992</v>
      </c>
      <c r="S10">
        <f t="shared" si="0"/>
        <v>96.903499999999994</v>
      </c>
      <c r="T10">
        <f t="shared" si="0"/>
        <v>88.99799999999999</v>
      </c>
      <c r="U10">
        <f t="shared" si="0"/>
        <v>77.751000000000005</v>
      </c>
      <c r="V10">
        <f t="shared" si="0"/>
        <v>75.224499999999992</v>
      </c>
      <c r="W10">
        <f t="shared" si="0"/>
        <v>68.541499999999985</v>
      </c>
      <c r="X10">
        <f t="shared" si="0"/>
        <v>59.983999999999995</v>
      </c>
    </row>
  </sheetData>
  <mergeCells count="1">
    <mergeCell ref="A1:N1"/>
  </mergeCells>
  <pageMargins left="0.7" right="0.7" top="0.75" bottom="0.75" header="0.3" footer="0.3"/>
  <pageSetup orientation="portrait" horizontalDpi="0" verticalDpi="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E33DF-E33E-D142-BA7E-7EC31C5187A6}">
  <dimension ref="A1:U24"/>
  <sheetViews>
    <sheetView zoomScale="130" zoomScaleNormal="130" workbookViewId="0">
      <selection activeCell="A10" sqref="A10"/>
    </sheetView>
  </sheetViews>
  <sheetFormatPr baseColWidth="10" defaultColWidth="11" defaultRowHeight="16"/>
  <cols>
    <col min="1" max="1" width="30.1640625" customWidth="1"/>
  </cols>
  <sheetData>
    <row r="1" spans="1:21" ht="16" customHeight="1">
      <c r="A1" s="627" t="s">
        <v>1042</v>
      </c>
      <c r="B1" s="627"/>
      <c r="C1" s="627"/>
      <c r="D1" s="627"/>
      <c r="E1" s="627"/>
      <c r="F1" s="627"/>
      <c r="G1" s="627"/>
      <c r="H1" s="627"/>
      <c r="I1" s="627"/>
    </row>
    <row r="2" spans="1:21">
      <c r="A2" s="578"/>
      <c r="B2" t="s">
        <v>921</v>
      </c>
      <c r="C2" t="s">
        <v>922</v>
      </c>
      <c r="D2" t="s">
        <v>923</v>
      </c>
      <c r="E2" t="s">
        <v>924</v>
      </c>
      <c r="F2" t="s">
        <v>925</v>
      </c>
      <c r="G2" t="s">
        <v>326</v>
      </c>
    </row>
    <row r="3" spans="1:21">
      <c r="A3" s="578" t="s">
        <v>905</v>
      </c>
      <c r="B3">
        <v>0.61457884553121278</v>
      </c>
      <c r="C3">
        <v>0.60334590260988585</v>
      </c>
      <c r="D3">
        <v>0.59144756968797352</v>
      </c>
      <c r="E3">
        <v>0.60740086988120656</v>
      </c>
      <c r="F3">
        <v>0.64827232764043918</v>
      </c>
      <c r="G3">
        <v>0.61300910307014367</v>
      </c>
    </row>
    <row r="4" spans="1:21">
      <c r="A4" s="578" t="s">
        <v>904</v>
      </c>
      <c r="B4">
        <v>0.82276104541506712</v>
      </c>
      <c r="C4">
        <v>0.90905256929359246</v>
      </c>
      <c r="D4">
        <v>0.96243846995996896</v>
      </c>
      <c r="E4">
        <v>0.96517583494812165</v>
      </c>
      <c r="F4">
        <v>1.0125003251446132</v>
      </c>
      <c r="G4">
        <f>AVERAGE(B4:F4)</f>
        <v>0.93438564895227272</v>
      </c>
    </row>
    <row r="5" spans="1:21">
      <c r="A5" t="s">
        <v>327</v>
      </c>
      <c r="B5">
        <v>0.85883144981832948</v>
      </c>
      <c r="C5">
        <v>0.94955920415526718</v>
      </c>
      <c r="D5">
        <v>0.98943197254202875</v>
      </c>
      <c r="E5">
        <v>0.99366336811808587</v>
      </c>
      <c r="F5">
        <v>0.99606005011562304</v>
      </c>
      <c r="G5">
        <f>AVERAGE(B5:F5)</f>
        <v>0.95750920894986691</v>
      </c>
    </row>
    <row r="6" spans="1:21">
      <c r="A6" s="578" t="s">
        <v>903</v>
      </c>
      <c r="B6">
        <v>0.99151711608927806</v>
      </c>
      <c r="C6">
        <v>0.98287329304033633</v>
      </c>
      <c r="D6">
        <v>0.98653908833004078</v>
      </c>
      <c r="E6">
        <v>0.98911732793467633</v>
      </c>
      <c r="F6">
        <v>0.98518560860167259</v>
      </c>
      <c r="G6">
        <f>AVERAGE(B6:F6)</f>
        <v>0.98704648679920071</v>
      </c>
      <c r="U6">
        <f>130/24</f>
        <v>5.416666666666667</v>
      </c>
    </row>
    <row r="17" spans="1:12">
      <c r="A17" s="578"/>
    </row>
    <row r="18" spans="1:12">
      <c r="A18" s="578"/>
    </row>
    <row r="19" spans="1:12">
      <c r="A19" s="578"/>
    </row>
    <row r="20" spans="1:12">
      <c r="A20" s="578"/>
      <c r="L20" s="578"/>
    </row>
    <row r="21" spans="1:12">
      <c r="A21" s="578"/>
      <c r="L21" s="578"/>
    </row>
    <row r="22" spans="1:12">
      <c r="L22" s="578"/>
    </row>
    <row r="24" spans="1:12">
      <c r="L24" s="578"/>
    </row>
  </sheetData>
  <mergeCells count="1">
    <mergeCell ref="A1:I1"/>
  </mergeCells>
  <pageMargins left="0.7" right="0.7" top="0.75" bottom="0.75" header="0.3" footer="0.3"/>
  <pageSetup orientation="portrait" horizontalDpi="0" verticalDpi="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330F7F-AA32-0E46-BAE5-2D499B61AAE0}">
  <dimension ref="A1:E20"/>
  <sheetViews>
    <sheetView zoomScale="140" zoomScaleNormal="140" workbookViewId="0">
      <selection activeCell="G11" sqref="G11"/>
    </sheetView>
  </sheetViews>
  <sheetFormatPr baseColWidth="10" defaultColWidth="11" defaultRowHeight="16"/>
  <cols>
    <col min="1" max="1" width="17.33203125" customWidth="1"/>
    <col min="2" max="3" width="12.6640625" bestFit="1" customWidth="1"/>
    <col min="5" max="5" width="15.1640625" customWidth="1"/>
    <col min="6" max="6" width="14.1640625" customWidth="1"/>
  </cols>
  <sheetData>
    <row r="1" spans="1:5" ht="19" customHeight="1">
      <c r="A1" s="627" t="s">
        <v>1043</v>
      </c>
      <c r="B1" s="627"/>
      <c r="C1" s="627"/>
      <c r="D1" s="627"/>
    </row>
    <row r="2" spans="1:5" ht="15" customHeight="1">
      <c r="A2" t="s">
        <v>324</v>
      </c>
      <c r="B2">
        <v>2020</v>
      </c>
      <c r="C2">
        <v>2024</v>
      </c>
      <c r="D2" t="s">
        <v>920</v>
      </c>
    </row>
    <row r="3" spans="1:5">
      <c r="A3" t="s">
        <v>264</v>
      </c>
      <c r="B3" s="16">
        <v>71.714178652135189</v>
      </c>
      <c r="C3" s="16">
        <v>79.900386962822978</v>
      </c>
      <c r="D3">
        <v>2.74</v>
      </c>
    </row>
    <row r="4" spans="1:5">
      <c r="A4" t="s">
        <v>89</v>
      </c>
      <c r="B4" s="16">
        <v>65.26496197340434</v>
      </c>
      <c r="C4" s="16">
        <v>75.196241252537291</v>
      </c>
      <c r="D4">
        <v>4.84</v>
      </c>
    </row>
    <row r="5" spans="1:5">
      <c r="A5" t="s">
        <v>90</v>
      </c>
      <c r="B5" s="16">
        <v>68.849289297658871</v>
      </c>
      <c r="C5" s="16">
        <v>77.068195673306633</v>
      </c>
      <c r="D5">
        <v>2.86</v>
      </c>
    </row>
    <row r="6" spans="1:5">
      <c r="A6" t="s">
        <v>265</v>
      </c>
      <c r="B6" s="16">
        <v>50.850049793711769</v>
      </c>
      <c r="C6" s="16">
        <v>60.208465791958076</v>
      </c>
      <c r="D6">
        <v>4.3099999999999996</v>
      </c>
    </row>
    <row r="8" spans="1:5">
      <c r="A8" t="s">
        <v>325</v>
      </c>
    </row>
    <row r="9" spans="1:5">
      <c r="A9" t="s">
        <v>264</v>
      </c>
      <c r="B9">
        <v>64.69</v>
      </c>
      <c r="C9">
        <v>57.9</v>
      </c>
      <c r="D9">
        <v>-2.74</v>
      </c>
    </row>
    <row r="10" spans="1:5">
      <c r="A10" t="s">
        <v>89</v>
      </c>
      <c r="B10">
        <v>50.75</v>
      </c>
      <c r="C10">
        <v>57.98</v>
      </c>
      <c r="D10">
        <v>3.39</v>
      </c>
    </row>
    <row r="11" spans="1:5">
      <c r="A11" t="s">
        <v>90</v>
      </c>
      <c r="B11">
        <v>57.41</v>
      </c>
      <c r="C11">
        <v>58.67</v>
      </c>
      <c r="D11">
        <v>0.54</v>
      </c>
    </row>
    <row r="12" spans="1:5">
      <c r="A12" t="s">
        <v>265</v>
      </c>
      <c r="B12">
        <v>38.65</v>
      </c>
      <c r="C12">
        <v>35.22</v>
      </c>
      <c r="D12">
        <v>-2.0299999999999998</v>
      </c>
    </row>
    <row r="15" spans="1:5">
      <c r="A15" t="s">
        <v>324</v>
      </c>
      <c r="D15" t="s">
        <v>325</v>
      </c>
    </row>
    <row r="16" spans="1:5">
      <c r="B16">
        <v>2020</v>
      </c>
      <c r="C16">
        <v>2023</v>
      </c>
      <c r="D16">
        <v>2020</v>
      </c>
      <c r="E16">
        <v>2024</v>
      </c>
    </row>
    <row r="17" spans="1:5">
      <c r="A17" t="s">
        <v>264</v>
      </c>
      <c r="B17" s="16">
        <v>71.714178652135189</v>
      </c>
      <c r="C17" s="16">
        <v>79.900386962822978</v>
      </c>
      <c r="D17">
        <v>59.08</v>
      </c>
      <c r="E17">
        <v>57.9</v>
      </c>
    </row>
    <row r="18" spans="1:5">
      <c r="A18" t="s">
        <v>89</v>
      </c>
      <c r="B18" s="16">
        <v>65.26496197340434</v>
      </c>
      <c r="C18" s="16">
        <v>75.196241252537291</v>
      </c>
      <c r="D18">
        <v>50.75</v>
      </c>
      <c r="E18">
        <v>57.98</v>
      </c>
    </row>
    <row r="19" spans="1:5">
      <c r="A19" t="s">
        <v>90</v>
      </c>
      <c r="B19" s="16">
        <v>68.849289297658871</v>
      </c>
      <c r="C19" s="16">
        <v>77.068195673306633</v>
      </c>
      <c r="D19">
        <v>57.41</v>
      </c>
      <c r="E19">
        <v>58.67</v>
      </c>
    </row>
    <row r="20" spans="1:5">
      <c r="A20" t="s">
        <v>265</v>
      </c>
      <c r="B20" s="16">
        <v>50.850049793711769</v>
      </c>
      <c r="C20" s="16">
        <v>60.208465791958076</v>
      </c>
      <c r="D20">
        <v>38.65</v>
      </c>
      <c r="E20">
        <v>35.22</v>
      </c>
    </row>
  </sheetData>
  <mergeCells count="1">
    <mergeCell ref="A1:D1"/>
  </mergeCells>
  <pageMargins left="0.7" right="0.7" top="0.75" bottom="0.75" header="0.3" footer="0.3"/>
  <pageSetup orientation="portrait" horizontalDpi="0" verticalDpi="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E32E50-2150-AA4C-9973-170772CE2BE1}">
  <dimension ref="A1:G42"/>
  <sheetViews>
    <sheetView zoomScale="140" zoomScaleNormal="140" workbookViewId="0">
      <pane xSplit="1" ySplit="2" topLeftCell="B3" activePane="bottomRight" state="frozen"/>
      <selection pane="topRight" activeCell="B1" sqref="B1"/>
      <selection pane="bottomLeft" activeCell="A3" sqref="A3"/>
      <selection pane="bottomRight" activeCell="C6" sqref="C6"/>
    </sheetView>
  </sheetViews>
  <sheetFormatPr baseColWidth="10" defaultColWidth="11" defaultRowHeight="16"/>
  <cols>
    <col min="1" max="7" width="10.83203125"/>
  </cols>
  <sheetData>
    <row r="1" spans="1:5" ht="16" customHeight="1">
      <c r="A1" s="627" t="s">
        <v>1044</v>
      </c>
      <c r="B1" s="627"/>
      <c r="C1" s="627"/>
      <c r="D1" s="627"/>
      <c r="E1" s="627"/>
    </row>
    <row r="2" spans="1:5">
      <c r="A2" t="s">
        <v>328</v>
      </c>
      <c r="C2" t="s">
        <v>329</v>
      </c>
      <c r="D2" t="s">
        <v>330</v>
      </c>
      <c r="E2" t="s">
        <v>67</v>
      </c>
    </row>
    <row r="3" spans="1:5">
      <c r="A3">
        <v>1</v>
      </c>
      <c r="B3" t="s">
        <v>284</v>
      </c>
      <c r="C3">
        <v>111.464</v>
      </c>
      <c r="D3">
        <v>98.634</v>
      </c>
      <c r="E3">
        <v>210.09800000000001</v>
      </c>
    </row>
    <row r="4" spans="1:5">
      <c r="A4">
        <v>3</v>
      </c>
      <c r="B4" t="s">
        <v>282</v>
      </c>
      <c r="C4">
        <v>199.79</v>
      </c>
      <c r="E4">
        <v>199.79</v>
      </c>
    </row>
    <row r="5" spans="1:5">
      <c r="A5">
        <v>2</v>
      </c>
      <c r="B5" t="s">
        <v>331</v>
      </c>
      <c r="C5">
        <v>149.57599999999999</v>
      </c>
      <c r="D5">
        <v>27.779</v>
      </c>
      <c r="E5">
        <v>177.35400000000001</v>
      </c>
    </row>
    <row r="6" spans="1:5">
      <c r="A6">
        <v>4</v>
      </c>
      <c r="B6" t="s">
        <v>313</v>
      </c>
      <c r="C6">
        <v>166.99199999999999</v>
      </c>
      <c r="E6">
        <v>166.99199999999999</v>
      </c>
    </row>
    <row r="7" spans="1:5">
      <c r="A7">
        <v>5</v>
      </c>
      <c r="B7" t="s">
        <v>309</v>
      </c>
      <c r="C7">
        <v>120.443</v>
      </c>
      <c r="D7">
        <v>36.826999999999998</v>
      </c>
      <c r="E7">
        <v>157.27000000000001</v>
      </c>
    </row>
    <row r="8" spans="1:5">
      <c r="A8">
        <v>6</v>
      </c>
      <c r="B8" t="s">
        <v>308</v>
      </c>
      <c r="C8">
        <v>126.431</v>
      </c>
      <c r="D8">
        <v>21.917999999999999</v>
      </c>
      <c r="E8">
        <v>148.34899999999999</v>
      </c>
    </row>
    <row r="9" spans="1:5">
      <c r="B9" t="s">
        <v>908</v>
      </c>
      <c r="E9">
        <v>139.85</v>
      </c>
    </row>
    <row r="10" spans="1:5">
      <c r="A10">
        <v>7</v>
      </c>
      <c r="B10" t="s">
        <v>303</v>
      </c>
      <c r="C10">
        <v>116.25700000000001</v>
      </c>
      <c r="D10">
        <v>22.97</v>
      </c>
      <c r="E10">
        <v>139.227</v>
      </c>
    </row>
    <row r="11" spans="1:5">
      <c r="A11">
        <v>8</v>
      </c>
      <c r="B11" t="s">
        <v>300</v>
      </c>
      <c r="C11">
        <v>130.21600000000001</v>
      </c>
      <c r="D11">
        <v>5.657</v>
      </c>
      <c r="E11">
        <v>135.87299999999999</v>
      </c>
    </row>
    <row r="12" spans="1:5">
      <c r="A12">
        <v>9</v>
      </c>
      <c r="B12" t="s">
        <v>336</v>
      </c>
      <c r="C12">
        <v>132.44399999999999</v>
      </c>
      <c r="D12">
        <v>2.6680000000000001</v>
      </c>
      <c r="E12">
        <v>135.11199999999999</v>
      </c>
    </row>
    <row r="13" spans="1:5">
      <c r="A13">
        <v>10</v>
      </c>
      <c r="B13" t="s">
        <v>306</v>
      </c>
      <c r="C13">
        <v>101.078</v>
      </c>
      <c r="D13">
        <v>30.183</v>
      </c>
      <c r="E13">
        <v>131.261</v>
      </c>
    </row>
    <row r="14" spans="1:5">
      <c r="A14">
        <v>11</v>
      </c>
      <c r="B14" t="s">
        <v>305</v>
      </c>
      <c r="C14">
        <v>119.59399999999999</v>
      </c>
      <c r="D14">
        <v>10.734999999999999</v>
      </c>
      <c r="E14">
        <v>130.32900000000001</v>
      </c>
    </row>
    <row r="15" spans="1:5">
      <c r="A15">
        <v>12</v>
      </c>
      <c r="B15" t="s">
        <v>333</v>
      </c>
      <c r="C15">
        <v>109.105</v>
      </c>
      <c r="D15">
        <v>19.347000000000001</v>
      </c>
      <c r="E15">
        <v>128.452</v>
      </c>
    </row>
    <row r="16" spans="1:5">
      <c r="A16">
        <v>13</v>
      </c>
      <c r="B16" t="s">
        <v>293</v>
      </c>
      <c r="C16">
        <v>111.696</v>
      </c>
      <c r="D16">
        <v>15.051</v>
      </c>
      <c r="E16">
        <v>126.747</v>
      </c>
    </row>
    <row r="17" spans="1:5">
      <c r="A17">
        <v>14</v>
      </c>
      <c r="B17" t="s">
        <v>290</v>
      </c>
      <c r="C17">
        <v>120.355</v>
      </c>
      <c r="D17">
        <v>5.3179999999999996</v>
      </c>
      <c r="E17">
        <v>125.672</v>
      </c>
    </row>
    <row r="18" spans="1:5">
      <c r="A18">
        <v>15</v>
      </c>
      <c r="B18" t="s">
        <v>335</v>
      </c>
      <c r="C18">
        <v>99.563000000000002</v>
      </c>
      <c r="D18">
        <v>22.725000000000001</v>
      </c>
      <c r="E18">
        <v>122.288</v>
      </c>
    </row>
    <row r="19" spans="1:5">
      <c r="A19">
        <v>16</v>
      </c>
      <c r="B19" t="s">
        <v>334</v>
      </c>
      <c r="C19">
        <v>97.176000000000002</v>
      </c>
      <c r="D19">
        <v>25.085000000000001</v>
      </c>
      <c r="E19">
        <v>122.262</v>
      </c>
    </row>
    <row r="20" spans="1:5">
      <c r="A20">
        <v>17</v>
      </c>
      <c r="B20" t="s">
        <v>292</v>
      </c>
      <c r="C20">
        <v>110.563</v>
      </c>
      <c r="D20">
        <v>6.9139999999999997</v>
      </c>
      <c r="E20">
        <v>117.476</v>
      </c>
    </row>
    <row r="21" spans="1:5">
      <c r="A21">
        <v>18</v>
      </c>
      <c r="B21" t="s">
        <v>315</v>
      </c>
      <c r="C21">
        <v>109.92</v>
      </c>
      <c r="D21">
        <v>7.266</v>
      </c>
      <c r="E21">
        <v>117.18600000000001</v>
      </c>
    </row>
    <row r="22" spans="1:5">
      <c r="A22">
        <v>19</v>
      </c>
      <c r="B22" t="s">
        <v>623</v>
      </c>
      <c r="C22">
        <v>112.724</v>
      </c>
      <c r="D22">
        <v>1.4690000000000001</v>
      </c>
      <c r="E22">
        <v>114.193</v>
      </c>
    </row>
    <row r="23" spans="1:5">
      <c r="A23">
        <v>20</v>
      </c>
      <c r="B23" t="s">
        <v>314</v>
      </c>
      <c r="C23">
        <v>106.718</v>
      </c>
      <c r="D23">
        <v>5.218</v>
      </c>
      <c r="E23">
        <v>111.935</v>
      </c>
    </row>
    <row r="24" spans="1:5">
      <c r="A24">
        <v>21</v>
      </c>
      <c r="B24" t="s">
        <v>302</v>
      </c>
      <c r="C24">
        <v>100.318</v>
      </c>
      <c r="D24">
        <v>9.8889999999999993</v>
      </c>
      <c r="E24">
        <v>110.20699999999999</v>
      </c>
    </row>
    <row r="25" spans="1:5">
      <c r="A25">
        <v>22</v>
      </c>
      <c r="B25" t="s">
        <v>291</v>
      </c>
      <c r="C25">
        <v>103.289</v>
      </c>
      <c r="D25">
        <v>6.0359999999999996</v>
      </c>
      <c r="E25">
        <v>109.32599999999999</v>
      </c>
    </row>
    <row r="26" spans="1:5">
      <c r="A26">
        <v>23</v>
      </c>
      <c r="B26" t="s">
        <v>312</v>
      </c>
      <c r="C26">
        <v>102.238</v>
      </c>
      <c r="D26">
        <v>4.1479999999999997</v>
      </c>
      <c r="E26">
        <v>106.387</v>
      </c>
    </row>
    <row r="27" spans="1:5">
      <c r="A27">
        <v>24</v>
      </c>
      <c r="B27" t="s">
        <v>337</v>
      </c>
      <c r="C27">
        <v>103.52800000000001</v>
      </c>
      <c r="D27">
        <v>2.7109999999999999</v>
      </c>
      <c r="E27">
        <v>106.238</v>
      </c>
    </row>
    <row r="28" spans="1:5">
      <c r="A28">
        <v>25</v>
      </c>
      <c r="B28" t="s">
        <v>624</v>
      </c>
      <c r="C28">
        <v>101.95399999999999</v>
      </c>
      <c r="D28">
        <v>2.4929999999999999</v>
      </c>
      <c r="E28">
        <v>104.44799999999999</v>
      </c>
    </row>
    <row r="29" spans="1:5">
      <c r="A29">
        <v>26</v>
      </c>
      <c r="B29" t="s">
        <v>310</v>
      </c>
      <c r="C29">
        <v>101.648</v>
      </c>
      <c r="D29">
        <v>2.4249999999999998</v>
      </c>
      <c r="E29">
        <v>104.07299999999999</v>
      </c>
    </row>
    <row r="30" spans="1:5">
      <c r="A30">
        <v>27</v>
      </c>
      <c r="B30" t="s">
        <v>339</v>
      </c>
      <c r="C30">
        <v>92.766000000000005</v>
      </c>
      <c r="D30">
        <v>8.9309999999999992</v>
      </c>
      <c r="E30">
        <v>101.697</v>
      </c>
    </row>
    <row r="31" spans="1:5">
      <c r="A31">
        <v>28</v>
      </c>
      <c r="B31" t="s">
        <v>286</v>
      </c>
      <c r="C31">
        <v>97.850999999999999</v>
      </c>
      <c r="D31">
        <v>3.7450000000000001</v>
      </c>
      <c r="E31">
        <v>101.596</v>
      </c>
    </row>
    <row r="32" spans="1:5">
      <c r="A32">
        <v>29</v>
      </c>
      <c r="B32" t="s">
        <v>316</v>
      </c>
      <c r="C32">
        <v>94.486999999999995</v>
      </c>
      <c r="D32">
        <v>5.899</v>
      </c>
      <c r="E32">
        <v>100.386</v>
      </c>
    </row>
    <row r="33" spans="1:7">
      <c r="A33">
        <v>30</v>
      </c>
      <c r="B33" t="s">
        <v>295</v>
      </c>
      <c r="C33">
        <v>90.766000000000005</v>
      </c>
      <c r="D33">
        <v>9.5280000000000005</v>
      </c>
      <c r="E33">
        <v>100.294</v>
      </c>
    </row>
    <row r="34" spans="1:7">
      <c r="A34">
        <v>31</v>
      </c>
      <c r="B34" t="s">
        <v>338</v>
      </c>
      <c r="C34">
        <v>97.528999999999996</v>
      </c>
      <c r="D34">
        <v>2.6179999999999999</v>
      </c>
      <c r="E34">
        <v>100.14700000000001</v>
      </c>
    </row>
    <row r="35" spans="1:7">
      <c r="A35">
        <v>32</v>
      </c>
      <c r="B35" t="s">
        <v>304</v>
      </c>
      <c r="C35">
        <v>90.450999999999993</v>
      </c>
      <c r="D35">
        <v>7.2990000000000004</v>
      </c>
      <c r="E35">
        <v>97.75</v>
      </c>
    </row>
    <row r="36" spans="1:7">
      <c r="A36">
        <v>33</v>
      </c>
      <c r="B36" t="s">
        <v>343</v>
      </c>
      <c r="C36">
        <v>94.515000000000001</v>
      </c>
      <c r="D36">
        <v>0.84799999999999998</v>
      </c>
      <c r="E36">
        <v>95.363</v>
      </c>
    </row>
    <row r="37" spans="1:7">
      <c r="A37">
        <v>34</v>
      </c>
      <c r="B37" t="s">
        <v>287</v>
      </c>
      <c r="E37">
        <v>94.3</v>
      </c>
    </row>
    <row r="38" spans="1:7">
      <c r="A38">
        <v>35</v>
      </c>
      <c r="B38" t="s">
        <v>341</v>
      </c>
      <c r="C38">
        <v>88.323999999999998</v>
      </c>
      <c r="D38">
        <v>4.5030000000000001</v>
      </c>
      <c r="E38">
        <v>92.826999999999998</v>
      </c>
    </row>
    <row r="39" spans="1:7">
      <c r="A39">
        <v>36</v>
      </c>
      <c r="B39" t="s">
        <v>342</v>
      </c>
      <c r="C39">
        <v>84.802999999999997</v>
      </c>
      <c r="D39">
        <v>6.6660000000000004</v>
      </c>
      <c r="E39">
        <v>91.468999999999994</v>
      </c>
    </row>
    <row r="40" spans="1:7">
      <c r="A40">
        <v>37</v>
      </c>
      <c r="B40" t="s">
        <v>340</v>
      </c>
      <c r="C40">
        <v>88.951999999999998</v>
      </c>
      <c r="D40">
        <v>2.1429999999999998</v>
      </c>
      <c r="E40">
        <v>91.094999999999999</v>
      </c>
    </row>
    <row r="41" spans="1:7">
      <c r="A41">
        <v>38</v>
      </c>
      <c r="B41" t="s">
        <v>344</v>
      </c>
      <c r="C41">
        <v>87.911000000000001</v>
      </c>
      <c r="D41">
        <v>0.82599999999999996</v>
      </c>
      <c r="E41">
        <v>88.736999999999995</v>
      </c>
    </row>
    <row r="42" spans="1:7" ht="64.25" customHeight="1">
      <c r="A42" s="627" t="s">
        <v>1156</v>
      </c>
      <c r="B42" s="627"/>
      <c r="C42" s="627"/>
      <c r="D42" s="627"/>
      <c r="E42" s="627"/>
      <c r="F42" s="627"/>
      <c r="G42" s="627"/>
    </row>
  </sheetData>
  <mergeCells count="2">
    <mergeCell ref="A42:G42"/>
    <mergeCell ref="A1:E1"/>
  </mergeCells>
  <pageMargins left="0.7" right="0.7" top="0.75" bottom="0.75" header="0.3" footer="0.3"/>
  <pageSetup orientation="portrait" horizontalDpi="0" verticalDpi="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896523-1162-4A43-BABD-CD26927CD975}">
  <dimension ref="A1:G42"/>
  <sheetViews>
    <sheetView zoomScale="120" zoomScaleNormal="120" workbookViewId="0">
      <pane xSplit="1" ySplit="2" topLeftCell="B3" activePane="bottomRight" state="frozen"/>
      <selection pane="topRight" activeCell="B1" sqref="B1"/>
      <selection pane="bottomLeft" activeCell="A3" sqref="A3"/>
      <selection pane="bottomRight" activeCell="K33" sqref="K33"/>
    </sheetView>
  </sheetViews>
  <sheetFormatPr baseColWidth="10" defaultColWidth="11" defaultRowHeight="16"/>
  <sheetData>
    <row r="1" spans="1:7" ht="38" customHeight="1">
      <c r="A1" s="627" t="s">
        <v>1045</v>
      </c>
      <c r="B1" s="627"/>
      <c r="C1" s="627"/>
      <c r="D1" s="627"/>
      <c r="E1" s="627"/>
    </row>
    <row r="2" spans="1:7">
      <c r="A2" t="s">
        <v>328</v>
      </c>
      <c r="C2" t="s">
        <v>345</v>
      </c>
      <c r="D2" t="s">
        <v>346</v>
      </c>
      <c r="E2">
        <v>2023</v>
      </c>
      <c r="F2">
        <v>2024</v>
      </c>
      <c r="G2" t="s">
        <v>347</v>
      </c>
    </row>
    <row r="3" spans="1:7">
      <c r="A3">
        <v>1</v>
      </c>
      <c r="B3" t="s">
        <v>335</v>
      </c>
      <c r="C3">
        <v>12.3</v>
      </c>
      <c r="D3">
        <v>23.006</v>
      </c>
      <c r="E3">
        <v>48</v>
      </c>
      <c r="F3">
        <v>57.195177426571</v>
      </c>
      <c r="G3">
        <f t="shared" ref="G3:G26" si="0">(F3/C3)/C3/7</f>
        <v>5.4007136177984569E-2</v>
      </c>
    </row>
    <row r="4" spans="1:7">
      <c r="A4">
        <v>2</v>
      </c>
      <c r="B4" t="s">
        <v>309</v>
      </c>
      <c r="C4">
        <v>15.58</v>
      </c>
      <c r="D4">
        <v>30.988</v>
      </c>
      <c r="E4">
        <v>45.1</v>
      </c>
      <c r="F4">
        <v>46.978228228228232</v>
      </c>
      <c r="G4">
        <f t="shared" si="0"/>
        <v>2.7647997832939197E-2</v>
      </c>
    </row>
    <row r="5" spans="1:7">
      <c r="A5">
        <v>3</v>
      </c>
      <c r="B5" t="s">
        <v>334</v>
      </c>
      <c r="C5">
        <v>6.92</v>
      </c>
      <c r="D5">
        <v>20.535</v>
      </c>
      <c r="E5">
        <v>33.299999999999997</v>
      </c>
      <c r="F5">
        <v>41.164498343024768</v>
      </c>
      <c r="G5">
        <f t="shared" si="0"/>
        <v>0.12280402411607701</v>
      </c>
    </row>
    <row r="6" spans="1:7">
      <c r="A6">
        <v>4</v>
      </c>
      <c r="B6" t="s">
        <v>306</v>
      </c>
      <c r="C6">
        <v>11.9</v>
      </c>
      <c r="D6">
        <v>22.738</v>
      </c>
      <c r="E6">
        <v>35.200000000000003</v>
      </c>
      <c r="F6">
        <v>36.735260194490969</v>
      </c>
      <c r="G6">
        <f t="shared" si="0"/>
        <v>3.7058783373340232E-2</v>
      </c>
    </row>
    <row r="7" spans="1:7">
      <c r="A7">
        <v>5</v>
      </c>
      <c r="B7" t="s">
        <v>331</v>
      </c>
      <c r="C7">
        <v>7.63</v>
      </c>
      <c r="D7">
        <v>15.997</v>
      </c>
      <c r="E7">
        <v>28.6</v>
      </c>
      <c r="F7">
        <v>36.711727061742508</v>
      </c>
      <c r="G7">
        <f t="shared" si="0"/>
        <v>9.0086082175309681E-2</v>
      </c>
    </row>
    <row r="8" spans="1:7">
      <c r="A8">
        <v>6</v>
      </c>
      <c r="B8" t="s">
        <v>333</v>
      </c>
      <c r="C8">
        <v>5.83</v>
      </c>
      <c r="D8">
        <v>16.7</v>
      </c>
      <c r="E8">
        <v>27.4</v>
      </c>
      <c r="F8">
        <v>31.449415812398801</v>
      </c>
      <c r="G8">
        <f t="shared" si="0"/>
        <v>0.13218355661658784</v>
      </c>
    </row>
    <row r="9" spans="1:7">
      <c r="A9">
        <v>7</v>
      </c>
      <c r="B9" t="s">
        <v>305</v>
      </c>
      <c r="C9">
        <v>5.84</v>
      </c>
      <c r="D9">
        <v>11.99</v>
      </c>
      <c r="E9">
        <v>22.5</v>
      </c>
      <c r="F9">
        <v>29.437568941983599</v>
      </c>
      <c r="G9">
        <f t="shared" si="0"/>
        <v>0.12330429582566919</v>
      </c>
    </row>
    <row r="10" spans="1:7">
      <c r="A10">
        <v>8</v>
      </c>
      <c r="B10" t="s">
        <v>308</v>
      </c>
      <c r="C10">
        <v>6.04</v>
      </c>
      <c r="D10">
        <v>13.05</v>
      </c>
      <c r="E10">
        <v>23.6</v>
      </c>
      <c r="F10">
        <v>26.941135463980469</v>
      </c>
      <c r="G10">
        <f t="shared" si="0"/>
        <v>0.10549793972061246</v>
      </c>
    </row>
    <row r="11" spans="1:7">
      <c r="A11">
        <v>9</v>
      </c>
      <c r="B11" t="s">
        <v>310</v>
      </c>
      <c r="C11">
        <v>3.8</v>
      </c>
      <c r="D11">
        <v>12.750999999999999</v>
      </c>
      <c r="E11">
        <v>22.9</v>
      </c>
      <c r="F11">
        <v>26.3</v>
      </c>
      <c r="G11">
        <f t="shared" si="0"/>
        <v>0.26018994855559957</v>
      </c>
    </row>
    <row r="12" spans="1:7">
      <c r="A12">
        <v>10</v>
      </c>
      <c r="B12" t="s">
        <v>295</v>
      </c>
      <c r="C12">
        <v>2.75</v>
      </c>
      <c r="D12">
        <v>9.9329999999999998</v>
      </c>
      <c r="E12">
        <v>21.3</v>
      </c>
      <c r="F12">
        <v>24.62984193698415</v>
      </c>
      <c r="G12">
        <f t="shared" si="0"/>
        <v>0.46526265760536767</v>
      </c>
    </row>
    <row r="13" spans="1:7">
      <c r="A13">
        <v>11</v>
      </c>
      <c r="B13" t="s">
        <v>315</v>
      </c>
      <c r="C13">
        <v>4.8499999999999996</v>
      </c>
      <c r="D13">
        <v>9.5890000000000004</v>
      </c>
      <c r="E13">
        <v>21.3</v>
      </c>
      <c r="F13">
        <v>24.423999999999999</v>
      </c>
      <c r="G13">
        <f t="shared" si="0"/>
        <v>0.14833214399587022</v>
      </c>
    </row>
    <row r="14" spans="1:7">
      <c r="A14">
        <v>12</v>
      </c>
      <c r="B14" t="s">
        <v>302</v>
      </c>
      <c r="C14">
        <v>4.33</v>
      </c>
      <c r="D14">
        <v>12.337</v>
      </c>
      <c r="E14">
        <v>19.600000000000001</v>
      </c>
      <c r="F14">
        <v>20.536486374423269</v>
      </c>
      <c r="G14">
        <f t="shared" si="0"/>
        <v>0.15647764763664815</v>
      </c>
    </row>
    <row r="15" spans="1:7">
      <c r="A15">
        <v>13</v>
      </c>
      <c r="B15" t="s">
        <v>303</v>
      </c>
      <c r="C15">
        <v>5.14</v>
      </c>
      <c r="D15">
        <v>9.3170000000000002</v>
      </c>
      <c r="E15">
        <v>14.9</v>
      </c>
      <c r="F15">
        <v>18.887151099543139</v>
      </c>
      <c r="G15">
        <f t="shared" si="0"/>
        <v>0.10212737675028681</v>
      </c>
    </row>
    <row r="16" spans="1:7">
      <c r="A16">
        <v>14</v>
      </c>
      <c r="B16" t="s">
        <v>291</v>
      </c>
      <c r="C16">
        <v>3.62</v>
      </c>
      <c r="D16">
        <v>9.9760000000000009</v>
      </c>
      <c r="E16">
        <v>16.7</v>
      </c>
      <c r="F16">
        <v>18.200069406193499</v>
      </c>
      <c r="G16">
        <f t="shared" si="0"/>
        <v>0.19840739867300297</v>
      </c>
    </row>
    <row r="17" spans="1:7">
      <c r="A17">
        <v>15</v>
      </c>
      <c r="B17" t="s">
        <v>339</v>
      </c>
      <c r="C17">
        <v>2.95</v>
      </c>
      <c r="D17">
        <v>8.9670000000000005</v>
      </c>
      <c r="E17">
        <v>17.899999999999999</v>
      </c>
      <c r="F17">
        <v>17.845975175517719</v>
      </c>
      <c r="G17">
        <f t="shared" si="0"/>
        <v>0.2929531772564159</v>
      </c>
    </row>
    <row r="18" spans="1:7">
      <c r="A18">
        <v>16</v>
      </c>
      <c r="B18" t="s">
        <v>344</v>
      </c>
      <c r="C18">
        <v>3.14</v>
      </c>
      <c r="D18">
        <v>8.9239999999999995</v>
      </c>
      <c r="E18">
        <v>16.600000000000001</v>
      </c>
      <c r="F18">
        <v>17.503300225090381</v>
      </c>
      <c r="G18">
        <f t="shared" si="0"/>
        <v>0.25360779957880614</v>
      </c>
    </row>
    <row r="19" spans="1:7">
      <c r="A19">
        <v>17</v>
      </c>
      <c r="B19" t="s">
        <v>290</v>
      </c>
      <c r="C19">
        <v>5.31</v>
      </c>
      <c r="D19">
        <v>11.048</v>
      </c>
      <c r="E19">
        <v>16.7</v>
      </c>
      <c r="F19">
        <v>17.424064030380119</v>
      </c>
      <c r="G19">
        <f t="shared" si="0"/>
        <v>8.8280010509964771E-2</v>
      </c>
    </row>
    <row r="20" spans="1:7">
      <c r="A20">
        <v>18</v>
      </c>
      <c r="B20" t="s">
        <v>282</v>
      </c>
      <c r="C20">
        <v>3.04</v>
      </c>
      <c r="D20">
        <v>7.12</v>
      </c>
      <c r="E20">
        <v>14</v>
      </c>
      <c r="F20">
        <v>16.522596904994071</v>
      </c>
      <c r="G20">
        <f t="shared" si="0"/>
        <v>0.25540717910618554</v>
      </c>
    </row>
    <row r="21" spans="1:7">
      <c r="A21">
        <v>19</v>
      </c>
      <c r="B21" t="s">
        <v>312</v>
      </c>
      <c r="C21">
        <v>3.95</v>
      </c>
      <c r="D21">
        <v>7.3310000000000004</v>
      </c>
      <c r="E21">
        <v>13.7</v>
      </c>
      <c r="F21">
        <v>16.174207633447899</v>
      </c>
      <c r="G21">
        <f t="shared" si="0"/>
        <v>0.14809172187101791</v>
      </c>
    </row>
    <row r="22" spans="1:7">
      <c r="A22">
        <v>20</v>
      </c>
      <c r="B22" t="s">
        <v>342</v>
      </c>
      <c r="C22">
        <v>2.34</v>
      </c>
      <c r="D22">
        <v>6.8869999999999996</v>
      </c>
      <c r="E22">
        <v>13.9</v>
      </c>
      <c r="F22">
        <v>16.103338003238541</v>
      </c>
      <c r="G22">
        <f t="shared" si="0"/>
        <v>0.42013237957584665</v>
      </c>
    </row>
    <row r="23" spans="1:7">
      <c r="A23">
        <v>21</v>
      </c>
      <c r="B23" t="s">
        <v>341</v>
      </c>
      <c r="C23">
        <v>1.25</v>
      </c>
      <c r="D23">
        <v>3.4380000000000002</v>
      </c>
      <c r="E23">
        <v>11</v>
      </c>
      <c r="F23">
        <v>14.89285340547355</v>
      </c>
      <c r="G23">
        <f t="shared" si="0"/>
        <v>1.3616323113575817</v>
      </c>
    </row>
    <row r="24" spans="1:7">
      <c r="B24" t="s">
        <v>332</v>
      </c>
      <c r="C24">
        <v>3.13</v>
      </c>
      <c r="D24">
        <v>7.2409999999999997</v>
      </c>
      <c r="E24">
        <v>13.1</v>
      </c>
      <c r="F24">
        <v>14.84</v>
      </c>
      <c r="G24">
        <f t="shared" si="0"/>
        <v>0.21639498208617011</v>
      </c>
    </row>
    <row r="25" spans="1:7">
      <c r="A25">
        <v>22</v>
      </c>
      <c r="B25" t="s">
        <v>297</v>
      </c>
      <c r="C25">
        <v>2.1</v>
      </c>
      <c r="D25">
        <v>5.4269999999999996</v>
      </c>
      <c r="E25">
        <v>12.5</v>
      </c>
      <c r="F25">
        <v>13.4769264418299</v>
      </c>
      <c r="G25">
        <f t="shared" si="0"/>
        <v>0.43657034149108837</v>
      </c>
    </row>
    <row r="26" spans="1:7">
      <c r="A26">
        <v>23</v>
      </c>
      <c r="B26" t="s">
        <v>336</v>
      </c>
      <c r="C26">
        <v>3.77</v>
      </c>
      <c r="D26">
        <v>6.7809999999999997</v>
      </c>
      <c r="E26">
        <v>11.2</v>
      </c>
      <c r="F26">
        <v>13.107514778907539</v>
      </c>
      <c r="G26">
        <f t="shared" si="0"/>
        <v>0.13174666051773429</v>
      </c>
    </row>
    <row r="27" spans="1:7">
      <c r="A27">
        <v>24</v>
      </c>
      <c r="B27" t="s">
        <v>313</v>
      </c>
      <c r="E27">
        <v>13.3</v>
      </c>
      <c r="F27">
        <v>12.90903503486064</v>
      </c>
    </row>
    <row r="28" spans="1:7">
      <c r="A28">
        <v>25</v>
      </c>
      <c r="B28" t="s">
        <v>311</v>
      </c>
      <c r="C28">
        <v>1.78</v>
      </c>
      <c r="D28">
        <v>3.17</v>
      </c>
      <c r="E28">
        <v>9.9</v>
      </c>
      <c r="F28">
        <v>12.53749706168211</v>
      </c>
      <c r="G28">
        <f t="shared" ref="G28:G41" si="1">(F28/C28)/C28/7</f>
        <v>0.5652919482425609</v>
      </c>
    </row>
    <row r="29" spans="1:7">
      <c r="A29">
        <v>26</v>
      </c>
      <c r="B29" t="s">
        <v>316</v>
      </c>
      <c r="C29">
        <v>2.46</v>
      </c>
      <c r="D29">
        <v>4.718</v>
      </c>
      <c r="E29">
        <v>10</v>
      </c>
      <c r="F29">
        <v>12.195214240143921</v>
      </c>
      <c r="G29">
        <f t="shared" si="1"/>
        <v>0.28788642059582636</v>
      </c>
    </row>
    <row r="30" spans="1:7">
      <c r="A30">
        <v>27</v>
      </c>
      <c r="B30" t="s">
        <v>343</v>
      </c>
      <c r="C30">
        <v>1.21</v>
      </c>
      <c r="D30">
        <v>2.8010000000000002</v>
      </c>
      <c r="E30">
        <v>8.4</v>
      </c>
      <c r="F30">
        <v>11.213733061813141</v>
      </c>
      <c r="G30">
        <f t="shared" si="1"/>
        <v>1.0941615094415038</v>
      </c>
    </row>
    <row r="31" spans="1:7">
      <c r="A31">
        <v>28</v>
      </c>
      <c r="B31" t="s">
        <v>284</v>
      </c>
      <c r="C31">
        <v>3.41</v>
      </c>
      <c r="D31">
        <v>6.1820000000000004</v>
      </c>
      <c r="E31">
        <v>9.9</v>
      </c>
      <c r="F31">
        <v>11.161717063713359</v>
      </c>
      <c r="G31">
        <f t="shared" si="1"/>
        <v>0.13712739046808234</v>
      </c>
    </row>
    <row r="32" spans="1:7">
      <c r="A32">
        <v>29</v>
      </c>
      <c r="B32" t="s">
        <v>292</v>
      </c>
      <c r="C32">
        <v>2.71</v>
      </c>
      <c r="D32">
        <v>5.2930000000000001</v>
      </c>
      <c r="E32">
        <v>10.4</v>
      </c>
      <c r="F32">
        <v>11.060898888758</v>
      </c>
      <c r="G32">
        <f t="shared" si="1"/>
        <v>0.21515616790072498</v>
      </c>
    </row>
    <row r="33" spans="1:7">
      <c r="A33">
        <v>30</v>
      </c>
      <c r="B33" t="s">
        <v>286</v>
      </c>
      <c r="C33">
        <v>1.84</v>
      </c>
      <c r="D33">
        <v>4.5730000000000004</v>
      </c>
      <c r="E33">
        <v>9.9</v>
      </c>
      <c r="F33">
        <v>10.269974566917799</v>
      </c>
      <c r="G33">
        <f t="shared" si="1"/>
        <v>0.4333468879505552</v>
      </c>
    </row>
    <row r="34" spans="1:7">
      <c r="A34">
        <v>31</v>
      </c>
      <c r="B34" t="s">
        <v>304</v>
      </c>
      <c r="C34">
        <v>1.36</v>
      </c>
      <c r="D34">
        <v>3.4140000000000001</v>
      </c>
      <c r="E34">
        <v>7.4</v>
      </c>
      <c r="F34">
        <v>8.99</v>
      </c>
      <c r="G34">
        <f t="shared" si="1"/>
        <v>0.69435862580326246</v>
      </c>
    </row>
    <row r="35" spans="1:7">
      <c r="A35">
        <v>32</v>
      </c>
      <c r="B35" t="s">
        <v>287</v>
      </c>
      <c r="C35">
        <v>2</v>
      </c>
      <c r="D35">
        <v>3.4169999999999998</v>
      </c>
      <c r="E35">
        <v>7</v>
      </c>
      <c r="F35">
        <v>8.75</v>
      </c>
      <c r="G35">
        <f t="shared" si="1"/>
        <v>0.3125</v>
      </c>
    </row>
    <row r="36" spans="1:7">
      <c r="A36">
        <v>33</v>
      </c>
      <c r="B36" t="s">
        <v>300</v>
      </c>
      <c r="C36">
        <v>1.83</v>
      </c>
      <c r="D36">
        <v>3.7109999999999999</v>
      </c>
      <c r="E36">
        <v>7.9</v>
      </c>
      <c r="F36">
        <v>8.2780376584405779</v>
      </c>
      <c r="G36">
        <f t="shared" si="1"/>
        <v>0.35312395364109228</v>
      </c>
    </row>
    <row r="37" spans="1:7">
      <c r="A37">
        <v>34</v>
      </c>
      <c r="B37" t="s">
        <v>338</v>
      </c>
      <c r="C37">
        <v>2.52</v>
      </c>
      <c r="D37">
        <v>4.0860000000000003</v>
      </c>
      <c r="E37">
        <v>7</v>
      </c>
      <c r="F37">
        <v>7.7603288373083581</v>
      </c>
      <c r="G37">
        <f t="shared" si="1"/>
        <v>0.17457457881862015</v>
      </c>
    </row>
    <row r="38" spans="1:7">
      <c r="A38">
        <v>35</v>
      </c>
      <c r="B38" t="s">
        <v>314</v>
      </c>
      <c r="C38">
        <v>1.59</v>
      </c>
      <c r="D38">
        <v>4.6020000000000003</v>
      </c>
      <c r="E38">
        <v>6.7</v>
      </c>
      <c r="F38">
        <v>7.7306722510598691</v>
      </c>
      <c r="G38">
        <f t="shared" si="1"/>
        <v>0.43684258935620018</v>
      </c>
    </row>
    <row r="39" spans="1:7">
      <c r="A39">
        <v>36</v>
      </c>
      <c r="B39" t="s">
        <v>293</v>
      </c>
      <c r="C39">
        <v>2.15</v>
      </c>
      <c r="D39">
        <v>9.2560000000000002</v>
      </c>
      <c r="E39">
        <v>12.2</v>
      </c>
      <c r="F39">
        <v>7.36</v>
      </c>
      <c r="G39">
        <f t="shared" si="1"/>
        <v>0.22745885806999927</v>
      </c>
    </row>
    <row r="40" spans="1:7">
      <c r="A40">
        <v>37</v>
      </c>
      <c r="B40" t="s">
        <v>317</v>
      </c>
      <c r="C40">
        <v>0.76</v>
      </c>
      <c r="D40">
        <v>2.31</v>
      </c>
      <c r="E40">
        <v>11.9</v>
      </c>
      <c r="F40">
        <v>6.6210626066359453</v>
      </c>
      <c r="G40">
        <f t="shared" si="1"/>
        <v>1.6375797899277664</v>
      </c>
    </row>
    <row r="41" spans="1:7">
      <c r="A41">
        <v>38</v>
      </c>
      <c r="B41" t="s">
        <v>289</v>
      </c>
      <c r="C41">
        <v>1.32</v>
      </c>
      <c r="D41">
        <v>4.5350000000000001</v>
      </c>
      <c r="E41">
        <v>4.5999999999999996</v>
      </c>
      <c r="F41">
        <v>6.0407138483706966</v>
      </c>
      <c r="G41">
        <f t="shared" si="1"/>
        <v>0.49527038636123372</v>
      </c>
    </row>
    <row r="42" spans="1:7" ht="16.25" customHeight="1">
      <c r="A42" t="s">
        <v>842</v>
      </c>
    </row>
  </sheetData>
  <mergeCells count="1">
    <mergeCell ref="A1:E1"/>
  </mergeCells>
  <pageMargins left="0.7" right="0.7" top="0.75" bottom="0.75" header="0.3" footer="0.3"/>
  <pageSetup orientation="portrait" horizontalDpi="0" verticalDpi="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59EB9-54FB-B743-90C5-76BC2AC9CC11}">
  <dimension ref="A1:W24"/>
  <sheetViews>
    <sheetView zoomScale="75" zoomScaleNormal="100" workbookViewId="0">
      <selection activeCell="H32" sqref="H32"/>
    </sheetView>
  </sheetViews>
  <sheetFormatPr baseColWidth="10" defaultColWidth="11" defaultRowHeight="16"/>
  <cols>
    <col min="1" max="1" width="10.83203125"/>
    <col min="2" max="17" width="12.33203125" bestFit="1" customWidth="1"/>
    <col min="18" max="18" width="14.5" customWidth="1"/>
    <col min="19" max="19" width="16.83203125" customWidth="1"/>
    <col min="20" max="20" width="15.83203125" customWidth="1"/>
    <col min="21" max="21" width="16.33203125" customWidth="1"/>
    <col min="22" max="22" width="15.1640625" customWidth="1"/>
    <col min="23" max="23" width="18.33203125" customWidth="1"/>
  </cols>
  <sheetData>
    <row r="1" spans="1:23" ht="20" customHeight="1">
      <c r="A1" s="627" t="s">
        <v>1046</v>
      </c>
      <c r="B1" s="627"/>
      <c r="C1" s="627"/>
      <c r="D1" s="627"/>
      <c r="E1" s="627"/>
      <c r="F1" s="627"/>
      <c r="G1" s="627"/>
      <c r="H1" s="627"/>
      <c r="I1" s="627"/>
      <c r="J1" s="627"/>
      <c r="K1" s="627"/>
      <c r="L1" s="627"/>
    </row>
    <row r="2" spans="1:23">
      <c r="B2">
        <v>1985</v>
      </c>
      <c r="C2">
        <v>1988</v>
      </c>
      <c r="D2">
        <v>1992</v>
      </c>
      <c r="E2">
        <v>1996</v>
      </c>
      <c r="F2">
        <v>2000</v>
      </c>
      <c r="G2">
        <v>2004</v>
      </c>
      <c r="H2">
        <v>2008</v>
      </c>
      <c r="I2">
        <v>2010</v>
      </c>
      <c r="J2">
        <v>2011</v>
      </c>
      <c r="K2">
        <v>2012</v>
      </c>
      <c r="L2">
        <v>2013</v>
      </c>
      <c r="M2">
        <v>2014</v>
      </c>
      <c r="N2">
        <v>2015</v>
      </c>
      <c r="O2">
        <v>2016</v>
      </c>
      <c r="P2">
        <v>2017</v>
      </c>
      <c r="Q2">
        <v>2018</v>
      </c>
      <c r="R2">
        <v>2019</v>
      </c>
      <c r="S2">
        <v>2020</v>
      </c>
      <c r="T2">
        <v>2021</v>
      </c>
      <c r="U2">
        <v>2022</v>
      </c>
      <c r="V2">
        <v>2023</v>
      </c>
      <c r="W2">
        <v>2024</v>
      </c>
    </row>
    <row r="3" spans="1:23">
      <c r="A3" t="s">
        <v>348</v>
      </c>
      <c r="N3">
        <v>29.597425936487774</v>
      </c>
      <c r="O3">
        <v>29.598854281644403</v>
      </c>
      <c r="P3">
        <v>30.777688108755381</v>
      </c>
      <c r="Q3">
        <v>30.789954374092225</v>
      </c>
      <c r="R3">
        <v>30.911067748845944</v>
      </c>
      <c r="S3">
        <v>30.93190421262398</v>
      </c>
      <c r="T3">
        <v>30.692852170549799</v>
      </c>
      <c r="U3">
        <v>30.903169851729601</v>
      </c>
      <c r="V3">
        <v>30.80550436015659</v>
      </c>
      <c r="W3">
        <v>29.684020463436656</v>
      </c>
    </row>
    <row r="4" spans="1:23">
      <c r="A4" t="s">
        <v>264</v>
      </c>
      <c r="B4">
        <v>65.82554517133957</v>
      </c>
      <c r="C4">
        <v>74.133050247699927</v>
      </c>
      <c r="D4">
        <v>76.8666087124505</v>
      </c>
      <c r="E4">
        <v>48.924804821257361</v>
      </c>
      <c r="F4">
        <v>23.343568495431168</v>
      </c>
      <c r="G4">
        <v>30.641758910901864</v>
      </c>
      <c r="H4">
        <v>27.604092871971464</v>
      </c>
      <c r="I4">
        <v>27.347693276700607</v>
      </c>
      <c r="J4">
        <v>27.347418552162523</v>
      </c>
      <c r="K4">
        <v>27.585446736087576</v>
      </c>
      <c r="L4">
        <v>27.926205872333458</v>
      </c>
      <c r="M4">
        <v>28.757480490183458</v>
      </c>
    </row>
    <row r="5" spans="1:23">
      <c r="A5" t="s">
        <v>349</v>
      </c>
      <c r="F5">
        <v>4.0009618586067841</v>
      </c>
      <c r="G5">
        <v>4.2015527477546053</v>
      </c>
      <c r="H5">
        <v>0.44353820280784317</v>
      </c>
      <c r="I5">
        <v>0.45152123021050738</v>
      </c>
      <c r="J5">
        <v>0.46005980359210508</v>
      </c>
      <c r="K5">
        <v>0.4642019321862213</v>
      </c>
      <c r="L5">
        <v>0.46312907669966585</v>
      </c>
      <c r="M5">
        <v>0.44997480141112101</v>
      </c>
    </row>
    <row r="6" spans="1:23">
      <c r="A6" t="s">
        <v>89</v>
      </c>
      <c r="B6">
        <v>34.174454828660437</v>
      </c>
      <c r="C6">
        <v>25.866949752300066</v>
      </c>
      <c r="D6">
        <v>23.133391287549504</v>
      </c>
      <c r="E6">
        <v>50.312742546683111</v>
      </c>
      <c r="F6">
        <v>30.318893122710953</v>
      </c>
      <c r="G6">
        <v>30.266620272709481</v>
      </c>
      <c r="H6">
        <v>39.025201594273426</v>
      </c>
      <c r="I6">
        <v>38.869846151331707</v>
      </c>
      <c r="J6">
        <v>37.317123614095983</v>
      </c>
      <c r="K6">
        <v>35.950958152294582</v>
      </c>
      <c r="L6">
        <v>34.710808119655368</v>
      </c>
      <c r="M6">
        <v>33.202686104123622</v>
      </c>
      <c r="N6">
        <v>32.933377812691674</v>
      </c>
      <c r="O6">
        <v>32.728667480583482</v>
      </c>
      <c r="P6">
        <v>32.573671431098077</v>
      </c>
      <c r="Q6">
        <v>32.123790002455031</v>
      </c>
      <c r="R6">
        <v>31.766178944208974</v>
      </c>
      <c r="S6">
        <v>30.386864324966318</v>
      </c>
      <c r="T6">
        <v>29.904981423644923</v>
      </c>
      <c r="U6">
        <v>29.807703526623719</v>
      </c>
      <c r="V6">
        <v>31.473649732086024</v>
      </c>
      <c r="W6">
        <v>31.883839903701471</v>
      </c>
    </row>
    <row r="7" spans="1:23">
      <c r="A7" t="s">
        <v>90</v>
      </c>
      <c r="F7">
        <v>29.91380267100736</v>
      </c>
      <c r="G7">
        <v>30.804862666637678</v>
      </c>
      <c r="H7">
        <v>28.706778126174299</v>
      </c>
      <c r="I7">
        <v>28.122526005086542</v>
      </c>
      <c r="J7">
        <v>28.753737724506568</v>
      </c>
      <c r="K7">
        <v>29.066942264341471</v>
      </c>
      <c r="L7">
        <v>29.492250585297281</v>
      </c>
      <c r="M7">
        <v>30.184673294659138</v>
      </c>
      <c r="N7">
        <v>30.105351512477529</v>
      </c>
      <c r="O7">
        <v>29.416936473515847</v>
      </c>
      <c r="P7">
        <v>29.41898768228743</v>
      </c>
      <c r="Q7">
        <v>28.405112138040401</v>
      </c>
      <c r="R7">
        <v>27.985145104471236</v>
      </c>
      <c r="S7">
        <v>28.160394195645811</v>
      </c>
      <c r="T7">
        <v>28.441792893678713</v>
      </c>
      <c r="U7">
        <v>28.271457851771086</v>
      </c>
      <c r="V7">
        <v>28.379243746882889</v>
      </c>
      <c r="W7">
        <v>28.152272043334335</v>
      </c>
    </row>
    <row r="8" spans="1:23">
      <c r="A8" t="s">
        <v>98</v>
      </c>
      <c r="F8">
        <v>2.4601383596611295</v>
      </c>
      <c r="G8">
        <v>2.1073005241067357</v>
      </c>
      <c r="H8">
        <v>2.1739532190401092</v>
      </c>
      <c r="I8">
        <v>2.2771163276665711</v>
      </c>
      <c r="J8">
        <v>2.1664634387337314</v>
      </c>
      <c r="K8">
        <v>2.2281495212201521</v>
      </c>
      <c r="L8">
        <v>2.2526216328546638</v>
      </c>
      <c r="M8">
        <v>2.1921499668745823</v>
      </c>
      <c r="N8">
        <v>2.1195131662487756</v>
      </c>
      <c r="O8">
        <v>2.1768119540837803</v>
      </c>
      <c r="P8">
        <v>2.0009596797839824</v>
      </c>
      <c r="Q8">
        <v>1.9728197121072926</v>
      </c>
      <c r="R8">
        <v>1.9774017120081651</v>
      </c>
      <c r="S8">
        <v>2.1744597870995825</v>
      </c>
      <c r="T8">
        <v>2.0921208491404872</v>
      </c>
      <c r="U8">
        <v>2.1543090718872229</v>
      </c>
      <c r="V8">
        <v>1.972722303203631</v>
      </c>
      <c r="W8">
        <v>2.0312127595546192</v>
      </c>
    </row>
    <row r="9" spans="1:23">
      <c r="A9" t="s">
        <v>92</v>
      </c>
      <c r="H9">
        <v>0.2501062643610894</v>
      </c>
      <c r="I9">
        <v>0.33223043605612645</v>
      </c>
      <c r="J9">
        <v>0.58919022573670743</v>
      </c>
      <c r="K9">
        <v>0.84741544216122944</v>
      </c>
      <c r="L9">
        <v>1.0537380126558378</v>
      </c>
      <c r="M9">
        <v>1.3076540441008029</v>
      </c>
      <c r="N9">
        <v>1.7377080934496969</v>
      </c>
      <c r="O9">
        <v>2.1102465742912844</v>
      </c>
      <c r="P9">
        <v>2.3808491955751654</v>
      </c>
      <c r="Q9">
        <v>2.4462964430130429</v>
      </c>
      <c r="R9">
        <v>2.6903377929614387</v>
      </c>
      <c r="S9">
        <v>3.0558569701339517</v>
      </c>
      <c r="T9">
        <v>3.372837149845171</v>
      </c>
      <c r="U9">
        <v>3.5732296551160871</v>
      </c>
      <c r="V9">
        <v>6.2611687272742049</v>
      </c>
      <c r="W9">
        <v>7.0872705386698769</v>
      </c>
    </row>
    <row r="10" spans="1:23">
      <c r="A10" t="s">
        <v>168</v>
      </c>
      <c r="O10">
        <v>2.0259028632498617</v>
      </c>
      <c r="P10">
        <v>2.3621085000376767</v>
      </c>
      <c r="Q10">
        <v>3.3206222056885579</v>
      </c>
      <c r="R10">
        <v>3.5955880383337071</v>
      </c>
      <c r="S10">
        <v>4.1537026732603435</v>
      </c>
      <c r="T10">
        <v>4.338405151787903</v>
      </c>
      <c r="U10">
        <v>4.1841627979635989</v>
      </c>
      <c r="V10">
        <v>0</v>
      </c>
    </row>
    <row r="11" spans="1:23">
      <c r="A11" t="s">
        <v>100</v>
      </c>
      <c r="Q11">
        <v>0.48918945427651628</v>
      </c>
      <c r="R11">
        <v>0.63096216836967722</v>
      </c>
      <c r="S11">
        <v>0.66658734495752603</v>
      </c>
      <c r="T11">
        <v>0.67903544156403595</v>
      </c>
      <c r="U11">
        <v>0.67594809693515734</v>
      </c>
      <c r="V11">
        <v>0.68720444958954008</v>
      </c>
      <c r="W11">
        <v>0.69362022269034007</v>
      </c>
    </row>
    <row r="12" spans="1:23">
      <c r="A12" t="s">
        <v>350</v>
      </c>
      <c r="F12">
        <v>1.9995560652584066</v>
      </c>
      <c r="G12">
        <v>1.9779048778896553</v>
      </c>
      <c r="H12">
        <v>1.7963297213717651</v>
      </c>
      <c r="I12">
        <v>1.8294971327788705</v>
      </c>
      <c r="J12">
        <v>1.862719409316671</v>
      </c>
      <c r="K12">
        <v>1.7881651026024545</v>
      </c>
      <c r="L12">
        <v>1.7918798194369547</v>
      </c>
      <c r="M12">
        <v>1.6062736850372743</v>
      </c>
      <c r="N12">
        <v>1.5087111388509258</v>
      </c>
      <c r="O12">
        <v>1.4441793268024015</v>
      </c>
    </row>
    <row r="13" spans="1:23">
      <c r="A13" t="s">
        <v>351</v>
      </c>
      <c r="E13">
        <v>4.5655846231109902E-2</v>
      </c>
      <c r="F13">
        <v>7.9630794273241818</v>
      </c>
    </row>
    <row r="14" spans="1:23">
      <c r="A14" t="s">
        <v>118</v>
      </c>
      <c r="I14">
        <v>0.45305863212769337</v>
      </c>
      <c r="J14">
        <v>0.53611605384958172</v>
      </c>
      <c r="K14">
        <v>0.52080493800237526</v>
      </c>
      <c r="L14">
        <v>0.50984781912756516</v>
      </c>
      <c r="M14">
        <v>0.4892089679341593</v>
      </c>
      <c r="N14">
        <v>0.48704897392576962</v>
      </c>
      <c r="O14">
        <v>0.49840104582894096</v>
      </c>
      <c r="P14">
        <v>0.48573540246229319</v>
      </c>
      <c r="Q14">
        <v>0.45221567032695142</v>
      </c>
      <c r="R14">
        <v>0.44331849080085806</v>
      </c>
      <c r="S14">
        <v>0.47023049131249167</v>
      </c>
      <c r="T14">
        <v>0.45887502289429599</v>
      </c>
      <c r="U14">
        <v>0.43001914797351692</v>
      </c>
      <c r="V14">
        <v>0.41170070954575289</v>
      </c>
      <c r="W14">
        <v>0.45723743605176043</v>
      </c>
    </row>
    <row r="15" spans="1:23">
      <c r="A15" t="s">
        <v>352</v>
      </c>
      <c r="I15">
        <v>0.18562539464209749</v>
      </c>
      <c r="J15">
        <v>0.53847908829530489</v>
      </c>
      <c r="K15">
        <v>0.81778553159615153</v>
      </c>
      <c r="L15">
        <v>1.055170370625012</v>
      </c>
      <c r="M15">
        <v>1.2481119239140792</v>
      </c>
      <c r="N15">
        <v>1.5108633658678314</v>
      </c>
    </row>
    <row r="16" spans="1:23">
      <c r="A16" t="s">
        <v>353</v>
      </c>
      <c r="I16">
        <v>5.5241671498594179E-2</v>
      </c>
      <c r="J16">
        <v>0.20953632872694966</v>
      </c>
      <c r="K16">
        <v>0.37402823769983401</v>
      </c>
      <c r="L16">
        <v>0.40965437918382819</v>
      </c>
      <c r="M16">
        <v>0.31134620097638172</v>
      </c>
    </row>
    <row r="17" spans="1:23">
      <c r="A17" t="s">
        <v>354</v>
      </c>
      <c r="I17">
        <v>7.5643741900698586E-2</v>
      </c>
      <c r="J17">
        <v>0.21915576098387551</v>
      </c>
      <c r="K17">
        <v>0.3561021418079619</v>
      </c>
      <c r="L17">
        <v>0.33469431213037704</v>
      </c>
      <c r="M17">
        <v>0.25044052078538148</v>
      </c>
    </row>
    <row r="18" spans="1:23">
      <c r="A18" t="s">
        <v>355</v>
      </c>
      <c r="E18">
        <v>0.71679678582842532</v>
      </c>
      <c r="F18" t="s">
        <v>90</v>
      </c>
    </row>
    <row r="19" spans="1:23" ht="14.75" customHeight="1">
      <c r="A19" t="s">
        <v>960</v>
      </c>
      <c r="V19">
        <v>1.0240790355010576E-2</v>
      </c>
      <c r="W19">
        <v>1.0517604574179959E-2</v>
      </c>
    </row>
    <row r="20" spans="1:23">
      <c r="A20" t="s">
        <v>961</v>
      </c>
      <c r="T20">
        <v>1.9099896894663727E-2</v>
      </c>
    </row>
    <row r="21" spans="1:23">
      <c r="A21" t="s">
        <v>356</v>
      </c>
      <c r="E21">
        <f t="shared" ref="E21:L21" si="0">E4+E6+E7</f>
        <v>99.237547367940465</v>
      </c>
      <c r="F21">
        <f t="shared" si="0"/>
        <v>83.576264289149478</v>
      </c>
      <c r="G21">
        <f t="shared" si="0"/>
        <v>91.71324185024902</v>
      </c>
      <c r="H21">
        <f t="shared" si="0"/>
        <v>95.336072592419185</v>
      </c>
      <c r="I21">
        <f t="shared" si="0"/>
        <v>94.340065433118852</v>
      </c>
      <c r="J21">
        <f t="shared" si="0"/>
        <v>93.418279890765078</v>
      </c>
      <c r="K21">
        <f t="shared" si="0"/>
        <v>92.603347152723629</v>
      </c>
      <c r="L21">
        <f t="shared" si="0"/>
        <v>92.129264577286108</v>
      </c>
      <c r="M21">
        <f>M4+M6+M7</f>
        <v>92.144839888966217</v>
      </c>
      <c r="N21">
        <f t="shared" ref="N21:V21" si="1">N3+N6+N7</f>
        <v>92.636155261656981</v>
      </c>
      <c r="O21">
        <f t="shared" si="1"/>
        <v>91.744458235743735</v>
      </c>
      <c r="P21">
        <f t="shared" si="1"/>
        <v>92.770347222140884</v>
      </c>
      <c r="Q21">
        <f t="shared" si="1"/>
        <v>91.318856514587651</v>
      </c>
      <c r="R21">
        <f t="shared" si="1"/>
        <v>90.662391797526155</v>
      </c>
      <c r="S21">
        <f t="shared" si="1"/>
        <v>89.479162733236109</v>
      </c>
      <c r="T21">
        <f t="shared" si="1"/>
        <v>89.039626487873434</v>
      </c>
      <c r="U21">
        <f t="shared" si="1"/>
        <v>88.982331230124402</v>
      </c>
      <c r="V21">
        <f t="shared" si="1"/>
        <v>90.658397839125499</v>
      </c>
      <c r="W21">
        <f t="shared" ref="W21" si="2">W3+W6+W7</f>
        <v>89.720132410472459</v>
      </c>
    </row>
    <row r="22" spans="1:23">
      <c r="A22" t="s">
        <v>357</v>
      </c>
      <c r="E22">
        <f t="shared" ref="E22:U22" si="3">E9+E10</f>
        <v>0</v>
      </c>
      <c r="F22">
        <f t="shared" si="3"/>
        <v>0</v>
      </c>
      <c r="G22">
        <f t="shared" si="3"/>
        <v>0</v>
      </c>
      <c r="H22">
        <f t="shared" si="3"/>
        <v>0.2501062643610894</v>
      </c>
      <c r="I22">
        <f t="shared" si="3"/>
        <v>0.33223043605612645</v>
      </c>
      <c r="J22">
        <f t="shared" si="3"/>
        <v>0.58919022573670743</v>
      </c>
      <c r="K22">
        <f t="shared" si="3"/>
        <v>0.84741544216122944</v>
      </c>
      <c r="L22">
        <f t="shared" si="3"/>
        <v>1.0537380126558378</v>
      </c>
      <c r="M22">
        <f t="shared" si="3"/>
        <v>1.3076540441008029</v>
      </c>
      <c r="N22">
        <f t="shared" si="3"/>
        <v>1.7377080934496969</v>
      </c>
      <c r="O22">
        <f t="shared" si="3"/>
        <v>4.1361494375411461</v>
      </c>
      <c r="P22">
        <f t="shared" si="3"/>
        <v>4.7429576956128425</v>
      </c>
      <c r="Q22">
        <f t="shared" si="3"/>
        <v>5.7669186487016013</v>
      </c>
      <c r="R22">
        <f t="shared" si="3"/>
        <v>6.2859258312951454</v>
      </c>
      <c r="S22">
        <f t="shared" si="3"/>
        <v>7.2095596433942948</v>
      </c>
      <c r="T22">
        <f t="shared" si="3"/>
        <v>7.7112423016330744</v>
      </c>
      <c r="U22">
        <f t="shared" si="3"/>
        <v>7.7573924530796861</v>
      </c>
      <c r="V22">
        <f>V9+V10+V11+V13+V15+V16+V17+V18</f>
        <v>6.9483731768637451</v>
      </c>
      <c r="W22">
        <f>W9+W10+W11+W13+W15+W16+W17+W18</f>
        <v>7.780890761360217</v>
      </c>
    </row>
    <row r="23" spans="1:23">
      <c r="A23" t="s">
        <v>358</v>
      </c>
      <c r="E23">
        <f t="shared" ref="E23:U23" si="4">E22+E8+E12+E14</f>
        <v>0</v>
      </c>
      <c r="F23">
        <f t="shared" si="4"/>
        <v>4.4596944249195358</v>
      </c>
      <c r="G23">
        <f t="shared" si="4"/>
        <v>4.085205401996391</v>
      </c>
      <c r="H23">
        <f t="shared" si="4"/>
        <v>4.2203892047729639</v>
      </c>
      <c r="I23">
        <f t="shared" si="4"/>
        <v>4.8919025286292621</v>
      </c>
      <c r="J23">
        <f t="shared" si="4"/>
        <v>5.1544891276366913</v>
      </c>
      <c r="K23">
        <f t="shared" si="4"/>
        <v>5.3845350039862119</v>
      </c>
      <c r="L23">
        <f t="shared" si="4"/>
        <v>5.6080872840750216</v>
      </c>
      <c r="M23">
        <f t="shared" si="4"/>
        <v>5.5952866639468191</v>
      </c>
      <c r="N23">
        <f t="shared" si="4"/>
        <v>5.8529813724751687</v>
      </c>
      <c r="O23">
        <f t="shared" si="4"/>
        <v>8.2555417642562681</v>
      </c>
      <c r="P23">
        <f t="shared" si="4"/>
        <v>7.2296527778591173</v>
      </c>
      <c r="Q23">
        <f t="shared" si="4"/>
        <v>8.191954031135845</v>
      </c>
      <c r="R23">
        <f t="shared" si="4"/>
        <v>8.7066460341041676</v>
      </c>
      <c r="S23">
        <f t="shared" si="4"/>
        <v>9.8542499218063693</v>
      </c>
      <c r="T23">
        <f t="shared" si="4"/>
        <v>10.262238173667857</v>
      </c>
      <c r="U23">
        <f t="shared" si="4"/>
        <v>10.341720672940426</v>
      </c>
      <c r="V23">
        <f>V22+V8+V12+V14</f>
        <v>9.3327961896131288</v>
      </c>
      <c r="W23">
        <f>W22+W8+W12+W14</f>
        <v>10.269340956966596</v>
      </c>
    </row>
    <row r="24" spans="1:23">
      <c r="A24" t="s">
        <v>359</v>
      </c>
      <c r="B24">
        <v>5500.8957599402192</v>
      </c>
      <c r="C24">
        <v>6164.8082285160181</v>
      </c>
      <c r="D24">
        <v>6443.6293274158425</v>
      </c>
      <c r="E24">
        <v>4925.5244714554128</v>
      </c>
      <c r="F24">
        <v>2635.2553498819011</v>
      </c>
      <c r="G24">
        <v>3087.4170571899422</v>
      </c>
      <c r="H24">
        <v>3141.730504975937</v>
      </c>
      <c r="I24">
        <v>3083.4289240566768</v>
      </c>
      <c r="J24">
        <v>3001.7807478888681</v>
      </c>
      <c r="K24">
        <v>2934.2283295520151</v>
      </c>
      <c r="L24">
        <v>2891.6360513639911</v>
      </c>
      <c r="M24">
        <v>2877.6606724725702</v>
      </c>
      <c r="N24">
        <v>2879.2552855029635</v>
      </c>
      <c r="O24">
        <v>2828.2439921570094</v>
      </c>
      <c r="P24">
        <v>2889.2747700508844</v>
      </c>
      <c r="Q24">
        <v>2808.1562911263145</v>
      </c>
      <c r="R24">
        <v>2772.4235134620576</v>
      </c>
      <c r="S24">
        <v>2705.1372614659153</v>
      </c>
      <c r="T24">
        <v>2680.5414508901263</v>
      </c>
      <c r="U24">
        <v>2678.338483843067</v>
      </c>
      <c r="V24">
        <v>2788.6868165333863</v>
      </c>
      <c r="W24">
        <v>2745.3162537496305</v>
      </c>
    </row>
  </sheetData>
  <mergeCells count="1">
    <mergeCell ref="A1:L1"/>
  </mergeCells>
  <pageMargins left="0.7" right="0.7" top="0.75" bottom="0.75" header="0.3" footer="0.3"/>
  <pageSetup orientation="portrait"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53D50-65FD-F149-B1C1-3913F1DC3126}">
  <dimension ref="A1:W9"/>
  <sheetViews>
    <sheetView zoomScaleNormal="100" workbookViewId="0">
      <pane xSplit="1" ySplit="2" topLeftCell="T3" activePane="bottomRight" state="frozen"/>
      <selection pane="topRight" activeCell="B1" sqref="B1"/>
      <selection pane="bottomLeft" activeCell="A3" sqref="A3"/>
      <selection pane="bottomRight" activeCell="W16" sqref="W16"/>
    </sheetView>
  </sheetViews>
  <sheetFormatPr baseColWidth="10" defaultColWidth="11" defaultRowHeight="16"/>
  <cols>
    <col min="1" max="1" width="38.6640625" customWidth="1"/>
    <col min="21" max="21" width="12.1640625" customWidth="1"/>
    <col min="22" max="22" width="13.1640625" bestFit="1" customWidth="1"/>
    <col min="26" max="26" width="11" customWidth="1"/>
  </cols>
  <sheetData>
    <row r="1" spans="1:23" ht="19" customHeight="1">
      <c r="A1" s="627" t="s">
        <v>1001</v>
      </c>
      <c r="B1" s="627"/>
      <c r="C1" s="627"/>
      <c r="D1" s="627"/>
      <c r="E1" s="627"/>
      <c r="F1" s="627"/>
      <c r="G1" s="627"/>
      <c r="H1" s="627"/>
      <c r="I1" s="627"/>
      <c r="J1" s="627"/>
      <c r="K1" s="627"/>
    </row>
    <row r="2" spans="1:23">
      <c r="B2">
        <v>1984</v>
      </c>
      <c r="C2">
        <v>1988</v>
      </c>
      <c r="D2">
        <v>1992</v>
      </c>
      <c r="E2">
        <v>1996</v>
      </c>
      <c r="F2">
        <v>2000</v>
      </c>
      <c r="G2">
        <v>2004</v>
      </c>
      <c r="H2">
        <v>2008</v>
      </c>
      <c r="I2">
        <v>2010</v>
      </c>
      <c r="J2">
        <v>2011</v>
      </c>
      <c r="K2">
        <v>2012</v>
      </c>
      <c r="L2">
        <v>2013</v>
      </c>
      <c r="M2">
        <v>2014</v>
      </c>
      <c r="N2">
        <v>2015</v>
      </c>
      <c r="O2">
        <v>2016</v>
      </c>
      <c r="P2">
        <v>2017</v>
      </c>
      <c r="Q2">
        <v>2018</v>
      </c>
      <c r="R2">
        <v>2019</v>
      </c>
      <c r="S2">
        <v>2020</v>
      </c>
      <c r="T2">
        <v>2021</v>
      </c>
      <c r="U2">
        <v>2022</v>
      </c>
      <c r="V2">
        <v>2023</v>
      </c>
      <c r="W2">
        <v>2024</v>
      </c>
    </row>
    <row r="3" spans="1:23">
      <c r="A3" t="s">
        <v>1</v>
      </c>
      <c r="B3">
        <v>13503.3</v>
      </c>
      <c r="C3">
        <v>15815.1</v>
      </c>
      <c r="D3">
        <v>17386.7</v>
      </c>
      <c r="E3">
        <v>23006.7</v>
      </c>
      <c r="F3">
        <v>32624.7</v>
      </c>
      <c r="G3">
        <v>38236</v>
      </c>
      <c r="H3">
        <v>47386.6</v>
      </c>
      <c r="I3">
        <v>50027.482037171416</v>
      </c>
      <c r="J3">
        <v>51526.7011352677</v>
      </c>
      <c r="K3">
        <v>52949.762957880157</v>
      </c>
      <c r="L3">
        <v>54444.749865768194</v>
      </c>
      <c r="M3">
        <v>58097.308178335661</v>
      </c>
      <c r="N3">
        <v>58734.743203513783</v>
      </c>
      <c r="O3">
        <v>60084.225858313192</v>
      </c>
      <c r="P3">
        <v>61865.7995271728</v>
      </c>
      <c r="Q3">
        <v>66523.545566177025</v>
      </c>
      <c r="R3">
        <v>69345.870702296772</v>
      </c>
      <c r="S3">
        <v>68924.038162056793</v>
      </c>
      <c r="T3">
        <v>74078.874561266639</v>
      </c>
      <c r="U3">
        <v>79149.51549965411</v>
      </c>
      <c r="V3">
        <v>83062.975813792873</v>
      </c>
      <c r="W3">
        <v>88111.778315800882</v>
      </c>
    </row>
    <row r="4" spans="1:23">
      <c r="A4" t="s">
        <v>2</v>
      </c>
      <c r="B4">
        <v>5950.0129999999999</v>
      </c>
      <c r="C4">
        <v>7569.0769999999993</v>
      </c>
      <c r="D4">
        <v>8746.18</v>
      </c>
      <c r="E4">
        <v>10127.001999999999</v>
      </c>
      <c r="F4">
        <v>12559.131626</v>
      </c>
      <c r="G4">
        <v>14149.420389739647</v>
      </c>
      <c r="H4">
        <v>16569.422254460445</v>
      </c>
      <c r="I4">
        <v>16959.228999999999</v>
      </c>
      <c r="J4">
        <v>17197.451000000001</v>
      </c>
      <c r="K4">
        <v>17206.578000000001</v>
      </c>
      <c r="L4">
        <v>16140.759</v>
      </c>
      <c r="M4">
        <v>15836.375</v>
      </c>
      <c r="N4">
        <v>15004.967000000001</v>
      </c>
      <c r="O4">
        <v>14727.623000000001</v>
      </c>
      <c r="P4">
        <v>14258.760345999999</v>
      </c>
      <c r="Q4">
        <v>14122.44</v>
      </c>
      <c r="R4">
        <v>13696.411</v>
      </c>
      <c r="S4">
        <v>11727.710000000001</v>
      </c>
      <c r="T4">
        <v>12060.642466666668</v>
      </c>
      <c r="U4">
        <v>13046.359766666665</v>
      </c>
      <c r="V4">
        <v>12952.57625333941</v>
      </c>
      <c r="W4">
        <v>12907.095375245204</v>
      </c>
    </row>
    <row r="5" spans="1:23">
      <c r="A5" t="s">
        <v>3</v>
      </c>
      <c r="B5">
        <v>0</v>
      </c>
      <c r="C5">
        <v>0</v>
      </c>
      <c r="D5">
        <v>0</v>
      </c>
      <c r="E5">
        <v>0</v>
      </c>
      <c r="F5">
        <v>141.4</v>
      </c>
      <c r="G5">
        <v>364</v>
      </c>
      <c r="H5">
        <v>1755.69</v>
      </c>
      <c r="I5">
        <v>3377.0855117999999</v>
      </c>
      <c r="J5">
        <v>3961.1591854736166</v>
      </c>
      <c r="K5">
        <v>4635.4674536528091</v>
      </c>
      <c r="L5">
        <v>5305.4900762519464</v>
      </c>
      <c r="M5">
        <v>6118.3722845190914</v>
      </c>
      <c r="N5">
        <v>7720.8597274871636</v>
      </c>
      <c r="O5">
        <v>9073.8644104852337</v>
      </c>
      <c r="P5">
        <v>10799.447882339735</v>
      </c>
      <c r="Q5">
        <v>13357.087712064877</v>
      </c>
      <c r="R5">
        <v>15373.612710121772</v>
      </c>
      <c r="S5">
        <v>16903.938126402081</v>
      </c>
      <c r="T5">
        <v>21408.794059997341</v>
      </c>
      <c r="U5">
        <v>24057.140036425451</v>
      </c>
      <c r="V5">
        <v>26731.355699281467</v>
      </c>
      <c r="W5">
        <v>29632.935663181732</v>
      </c>
    </row>
    <row r="6" spans="1:23">
      <c r="A6" t="s">
        <v>4</v>
      </c>
      <c r="B6">
        <f t="shared" ref="B6:W6" si="0">SUM(B3:B5)</f>
        <v>19453.312999999998</v>
      </c>
      <c r="C6">
        <f t="shared" si="0"/>
        <v>23384.177</v>
      </c>
      <c r="D6">
        <f t="shared" si="0"/>
        <v>26132.880000000001</v>
      </c>
      <c r="E6">
        <f t="shared" si="0"/>
        <v>33133.701999999997</v>
      </c>
      <c r="F6">
        <f t="shared" si="0"/>
        <v>45325.231626000001</v>
      </c>
      <c r="G6">
        <f t="shared" si="0"/>
        <v>52749.420389739651</v>
      </c>
      <c r="H6">
        <f t="shared" si="0"/>
        <v>65711.71225446045</v>
      </c>
      <c r="I6">
        <f t="shared" si="0"/>
        <v>70363.796548971426</v>
      </c>
      <c r="J6">
        <f t="shared" si="0"/>
        <v>72685.311320741326</v>
      </c>
      <c r="K6">
        <f t="shared" si="0"/>
        <v>74791.808411532969</v>
      </c>
      <c r="L6">
        <f t="shared" si="0"/>
        <v>75890.998942020145</v>
      </c>
      <c r="M6">
        <f t="shared" si="0"/>
        <v>80052.055462854754</v>
      </c>
      <c r="N6">
        <f t="shared" si="0"/>
        <v>81460.569931000937</v>
      </c>
      <c r="O6">
        <f t="shared" si="0"/>
        <v>83885.713268798427</v>
      </c>
      <c r="P6">
        <f t="shared" si="0"/>
        <v>86924.007755512532</v>
      </c>
      <c r="Q6">
        <f t="shared" si="0"/>
        <v>94003.073278241907</v>
      </c>
      <c r="R6">
        <f t="shared" si="0"/>
        <v>98415.894412418551</v>
      </c>
      <c r="S6">
        <f t="shared" si="0"/>
        <v>97555.686288458877</v>
      </c>
      <c r="T6">
        <f t="shared" si="0"/>
        <v>107548.31108793065</v>
      </c>
      <c r="U6">
        <f t="shared" si="0"/>
        <v>116253.01530274622</v>
      </c>
      <c r="V6">
        <f t="shared" si="0"/>
        <v>122746.90776641376</v>
      </c>
      <c r="W6">
        <f t="shared" si="0"/>
        <v>130651.80935422782</v>
      </c>
    </row>
    <row r="8" spans="1:23">
      <c r="A8" t="s">
        <v>902</v>
      </c>
      <c r="I8">
        <v>809.04832526113626</v>
      </c>
      <c r="J8">
        <v>844.34742501391099</v>
      </c>
      <c r="K8">
        <v>1091.7768918884562</v>
      </c>
      <c r="L8">
        <v>1644.9082958150216</v>
      </c>
      <c r="M8">
        <v>1824.3912958248304</v>
      </c>
      <c r="N8">
        <v>2441.1495415155664</v>
      </c>
      <c r="O8">
        <v>2939.3293480936964</v>
      </c>
      <c r="P8">
        <v>3663.8362915269745</v>
      </c>
      <c r="Q8">
        <v>4725.1506005328583</v>
      </c>
      <c r="R8">
        <v>6269.1353315442311</v>
      </c>
      <c r="S8">
        <v>7730.2325740930009</v>
      </c>
      <c r="T8">
        <v>10198.974899082205</v>
      </c>
      <c r="U8">
        <v>13794.625441493381</v>
      </c>
      <c r="V8">
        <v>15196.761002730535</v>
      </c>
      <c r="W8">
        <v>18653.770368666199</v>
      </c>
    </row>
    <row r="9" spans="1:23">
      <c r="A9" t="s">
        <v>968</v>
      </c>
      <c r="I9">
        <f t="shared" ref="I9:V9" si="1">I3-I8</f>
        <v>49218.433711910278</v>
      </c>
      <c r="J9">
        <f t="shared" si="1"/>
        <v>50682.353710253788</v>
      </c>
      <c r="K9">
        <f t="shared" si="1"/>
        <v>51857.986065991703</v>
      </c>
      <c r="L9">
        <f t="shared" si="1"/>
        <v>52799.841569953169</v>
      </c>
      <c r="M9">
        <f t="shared" si="1"/>
        <v>56272.916882510828</v>
      </c>
      <c r="N9">
        <f t="shared" si="1"/>
        <v>56293.593661998217</v>
      </c>
      <c r="O9">
        <f t="shared" si="1"/>
        <v>57144.896510219492</v>
      </c>
      <c r="P9">
        <f t="shared" si="1"/>
        <v>58201.963235645824</v>
      </c>
      <c r="Q9">
        <f t="shared" si="1"/>
        <v>61798.394965644169</v>
      </c>
      <c r="R9">
        <f t="shared" si="1"/>
        <v>63076.73537075254</v>
      </c>
      <c r="S9">
        <f t="shared" si="1"/>
        <v>61193.80558796379</v>
      </c>
      <c r="T9">
        <f t="shared" si="1"/>
        <v>63879.899662184434</v>
      </c>
      <c r="U9">
        <f t="shared" si="1"/>
        <v>65354.89005816073</v>
      </c>
      <c r="V9">
        <f t="shared" si="1"/>
        <v>67866.214811062338</v>
      </c>
      <c r="W9">
        <f>W3-W8</f>
        <v>69458.007947134683</v>
      </c>
    </row>
  </sheetData>
  <mergeCells count="1">
    <mergeCell ref="A1:K1"/>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77109-75D8-824B-84C8-935C02579A38}">
  <dimension ref="A1:M50"/>
  <sheetViews>
    <sheetView zoomScale="91" zoomScaleNormal="91" workbookViewId="0">
      <pane xSplit="1" ySplit="2" topLeftCell="B3" activePane="bottomRight" state="frozen"/>
      <selection pane="topRight" activeCell="B1" sqref="B1"/>
      <selection pane="bottomLeft" activeCell="A3" sqref="A3"/>
      <selection pane="bottomRight" activeCell="E17" sqref="E17"/>
    </sheetView>
  </sheetViews>
  <sheetFormatPr baseColWidth="10" defaultColWidth="11" defaultRowHeight="16"/>
  <sheetData>
    <row r="1" spans="1:13" ht="20" customHeight="1">
      <c r="A1" s="627" t="s">
        <v>1047</v>
      </c>
      <c r="B1" s="627"/>
      <c r="C1" s="627"/>
      <c r="D1" s="627"/>
      <c r="E1" s="627"/>
      <c r="F1" s="627"/>
      <c r="G1" s="627"/>
      <c r="H1" s="627"/>
      <c r="I1" s="627"/>
      <c r="J1" s="627"/>
      <c r="K1" s="627"/>
      <c r="L1" s="627"/>
    </row>
    <row r="2" spans="1:13">
      <c r="B2" t="s">
        <v>360</v>
      </c>
      <c r="C2" t="s">
        <v>89</v>
      </c>
      <c r="D2" t="s">
        <v>361</v>
      </c>
      <c r="E2" t="s">
        <v>265</v>
      </c>
      <c r="F2" t="s">
        <v>362</v>
      </c>
      <c r="G2" t="s">
        <v>363</v>
      </c>
      <c r="H2" t="s">
        <v>364</v>
      </c>
      <c r="I2" t="s">
        <v>121</v>
      </c>
      <c r="J2" t="s">
        <v>356</v>
      </c>
      <c r="K2" t="s">
        <v>359</v>
      </c>
      <c r="L2" t="s">
        <v>1007</v>
      </c>
      <c r="M2" t="s">
        <v>129</v>
      </c>
    </row>
    <row r="3" spans="1:13">
      <c r="A3" t="s">
        <v>365</v>
      </c>
      <c r="B3">
        <v>0.15826076981263101</v>
      </c>
      <c r="C3">
        <v>0.38509997415869529</v>
      </c>
      <c r="D3">
        <v>0.39179011156121346</v>
      </c>
      <c r="E3">
        <v>6.4849144467460137E-2</v>
      </c>
      <c r="F3">
        <v>0</v>
      </c>
      <c r="G3">
        <v>0</v>
      </c>
      <c r="H3">
        <v>0</v>
      </c>
      <c r="I3">
        <v>0</v>
      </c>
      <c r="J3">
        <f>B3+C3+D3</f>
        <v>0.93515085553253974</v>
      </c>
      <c r="K3">
        <f t="shared" ref="K3:K13" si="0">SUMSQ(B3:H3)*10000</f>
        <v>3310.5336441402396</v>
      </c>
      <c r="L3">
        <v>0.14641262576727676</v>
      </c>
      <c r="M3">
        <f t="shared" ref="M3:M13" si="1">K3*L3</f>
        <v>484.70392352948386</v>
      </c>
    </row>
    <row r="4" spans="1:13">
      <c r="A4" t="s">
        <v>366</v>
      </c>
      <c r="B4">
        <v>0.21394184996146851</v>
      </c>
      <c r="C4">
        <v>0.26136657290634735</v>
      </c>
      <c r="D4">
        <v>0.45983865403552626</v>
      </c>
      <c r="E4">
        <v>6.4852923096657911E-2</v>
      </c>
      <c r="F4">
        <v>0</v>
      </c>
      <c r="G4">
        <v>0</v>
      </c>
      <c r="H4">
        <v>0</v>
      </c>
      <c r="I4">
        <v>0</v>
      </c>
      <c r="J4">
        <f>B4+C4+D4</f>
        <v>0.93514707690334209</v>
      </c>
      <c r="K4">
        <f t="shared" si="0"/>
        <v>3297.4108997712992</v>
      </c>
      <c r="L4">
        <v>0.12474088443864347</v>
      </c>
      <c r="M4">
        <f t="shared" si="1"/>
        <v>411.32195199509499</v>
      </c>
    </row>
    <row r="5" spans="1:13">
      <c r="A5" t="s">
        <v>367</v>
      </c>
      <c r="B5">
        <v>0.21700945449448447</v>
      </c>
      <c r="C5">
        <v>4.6588641554497025E-2</v>
      </c>
      <c r="D5">
        <v>0.1512030619421241</v>
      </c>
      <c r="E5">
        <v>0</v>
      </c>
      <c r="F5">
        <v>0.58519884200889427</v>
      </c>
      <c r="G5">
        <v>0</v>
      </c>
      <c r="H5">
        <v>0</v>
      </c>
      <c r="I5">
        <v>0</v>
      </c>
      <c r="J5">
        <f>B5+D5+F5</f>
        <v>0.95341135844550284</v>
      </c>
      <c r="K5">
        <f t="shared" si="0"/>
        <v>4145.8365549111177</v>
      </c>
      <c r="L5">
        <v>3.0543331687379559E-2</v>
      </c>
      <c r="M5">
        <f t="shared" si="1"/>
        <v>126.62766101831325</v>
      </c>
    </row>
    <row r="6" spans="1:13">
      <c r="A6" t="s">
        <v>368</v>
      </c>
      <c r="B6">
        <v>0.40599332806532129</v>
      </c>
      <c r="C6">
        <v>0.37401036535539661</v>
      </c>
      <c r="D6">
        <v>0.21999630657928212</v>
      </c>
      <c r="E6">
        <v>0</v>
      </c>
      <c r="F6">
        <v>0</v>
      </c>
      <c r="G6">
        <v>0</v>
      </c>
      <c r="H6">
        <v>0</v>
      </c>
      <c r="I6">
        <v>4.3582824016664978E-4</v>
      </c>
      <c r="J6">
        <f>B6+C6+D6</f>
        <v>1</v>
      </c>
      <c r="K6">
        <f t="shared" si="0"/>
        <v>3531.1271073535836</v>
      </c>
      <c r="L6">
        <v>3.7748913959299364E-2</v>
      </c>
      <c r="M6">
        <f t="shared" si="1"/>
        <v>133.29621335484006</v>
      </c>
    </row>
    <row r="7" spans="1:13">
      <c r="A7" t="s">
        <v>369</v>
      </c>
      <c r="B7">
        <v>0.28066699026408348</v>
      </c>
      <c r="C7">
        <v>0.4057019846193512</v>
      </c>
      <c r="D7">
        <v>0.19233993651308826</v>
      </c>
      <c r="E7">
        <v>0.11054894263300917</v>
      </c>
      <c r="F7">
        <v>0</v>
      </c>
      <c r="G7">
        <v>1.0143776108370774E-2</v>
      </c>
      <c r="H7">
        <v>5.9836986209704497E-4</v>
      </c>
      <c r="I7">
        <v>0</v>
      </c>
      <c r="J7">
        <f>B7+C7+D7</f>
        <v>0.87870891139652296</v>
      </c>
      <c r="K7">
        <f t="shared" si="0"/>
        <v>2926.870338833432</v>
      </c>
      <c r="L7">
        <v>0.39504516445539856</v>
      </c>
      <c r="M7">
        <f t="shared" si="1"/>
        <v>1156.2459743440813</v>
      </c>
    </row>
    <row r="8" spans="1:13">
      <c r="A8" t="s">
        <v>370</v>
      </c>
      <c r="B8">
        <v>0.29550080400242268</v>
      </c>
      <c r="C8">
        <v>0.21652075074884899</v>
      </c>
      <c r="D8">
        <v>0.24012726630530171</v>
      </c>
      <c r="E8">
        <v>0.2478511789434267</v>
      </c>
      <c r="F8">
        <v>0</v>
      </c>
      <c r="G8">
        <v>0</v>
      </c>
      <c r="H8">
        <v>0</v>
      </c>
      <c r="I8">
        <v>0</v>
      </c>
      <c r="J8">
        <f>B8+D8+E8</f>
        <v>0.78347924925115109</v>
      </c>
      <c r="K8">
        <f t="shared" si="0"/>
        <v>2532.932715978272</v>
      </c>
      <c r="L8">
        <v>0.19458216459270514</v>
      </c>
      <c r="M8">
        <f t="shared" si="1"/>
        <v>492.86353064273175</v>
      </c>
    </row>
    <row r="9" spans="1:13">
      <c r="A9" t="s">
        <v>371</v>
      </c>
      <c r="B9">
        <v>0.42067352779297174</v>
      </c>
      <c r="C9">
        <v>0.17458216415883215</v>
      </c>
      <c r="D9">
        <v>0.28505079560493607</v>
      </c>
      <c r="E9">
        <v>0</v>
      </c>
      <c r="F9">
        <v>0</v>
      </c>
      <c r="G9">
        <v>0</v>
      </c>
      <c r="H9">
        <v>0.11969351244326011</v>
      </c>
      <c r="I9">
        <v>0</v>
      </c>
      <c r="J9">
        <f>B9+C9+D9</f>
        <v>0.88030648755674001</v>
      </c>
      <c r="K9">
        <f t="shared" si="0"/>
        <v>3030.2564202417752</v>
      </c>
      <c r="L9">
        <v>2.3136452422319344E-2</v>
      </c>
      <c r="M9">
        <f t="shared" si="1"/>
        <v>70.109383494351562</v>
      </c>
    </row>
    <row r="10" spans="1:13">
      <c r="A10" t="s">
        <v>372</v>
      </c>
      <c r="B10">
        <v>0.45166011363205211</v>
      </c>
      <c r="C10">
        <v>0.11210248769593674</v>
      </c>
      <c r="D10">
        <v>0.31127666498676504</v>
      </c>
      <c r="E10">
        <v>0</v>
      </c>
      <c r="F10">
        <v>0</v>
      </c>
      <c r="G10">
        <v>0</v>
      </c>
      <c r="H10">
        <v>0.12496073368524621</v>
      </c>
      <c r="I10">
        <v>0</v>
      </c>
      <c r="J10">
        <f>B10+D10+H10</f>
        <v>0.88789751230406333</v>
      </c>
      <c r="K10">
        <f t="shared" si="0"/>
        <v>3290.7217312217363</v>
      </c>
      <c r="L10">
        <v>2.9103861566359471E-2</v>
      </c>
      <c r="M10">
        <f t="shared" si="1"/>
        <v>95.772709718888194</v>
      </c>
    </row>
    <row r="11" spans="1:13">
      <c r="A11" t="s">
        <v>373</v>
      </c>
      <c r="B11">
        <v>0.41074853605812728</v>
      </c>
      <c r="C11">
        <v>0.10428167264936888</v>
      </c>
      <c r="D11">
        <v>0.36440881978491285</v>
      </c>
      <c r="E11">
        <v>0</v>
      </c>
      <c r="F11">
        <v>0</v>
      </c>
      <c r="G11">
        <v>0</v>
      </c>
      <c r="H11">
        <v>0.12056097150759104</v>
      </c>
      <c r="I11">
        <v>0</v>
      </c>
      <c r="J11">
        <f>B11+D11+H11</f>
        <v>0.89571832735063117</v>
      </c>
      <c r="K11">
        <f t="shared" si="0"/>
        <v>3269.1776291233209</v>
      </c>
      <c r="L11">
        <v>1.1635585881892216E-2</v>
      </c>
      <c r="M11">
        <f t="shared" si="1"/>
        <v>38.038797066825182</v>
      </c>
    </row>
    <row r="12" spans="1:13">
      <c r="A12" t="s">
        <v>374</v>
      </c>
      <c r="B12">
        <v>0.5791709499745481</v>
      </c>
      <c r="C12">
        <v>2.7057335802177344E-2</v>
      </c>
      <c r="D12">
        <v>0.35673238756874193</v>
      </c>
      <c r="E12">
        <v>0</v>
      </c>
      <c r="F12">
        <v>0</v>
      </c>
      <c r="G12">
        <v>0</v>
      </c>
      <c r="H12">
        <v>3.703932665453253E-2</v>
      </c>
      <c r="I12">
        <v>0</v>
      </c>
      <c r="J12">
        <f>B12+D12+H12</f>
        <v>0.9729426641978226</v>
      </c>
      <c r="K12">
        <f t="shared" si="0"/>
        <v>4648.0099677464859</v>
      </c>
      <c r="L12">
        <v>4.5517429632415543E-3</v>
      </c>
      <c r="M12">
        <f t="shared" si="1"/>
        <v>21.156546663766672</v>
      </c>
    </row>
    <row r="13" spans="1:13">
      <c r="A13" t="s">
        <v>375</v>
      </c>
      <c r="B13">
        <v>0.74812342382245267</v>
      </c>
      <c r="C13">
        <v>0</v>
      </c>
      <c r="D13">
        <v>0.21279556754667672</v>
      </c>
      <c r="E13">
        <v>0</v>
      </c>
      <c r="F13">
        <v>0</v>
      </c>
      <c r="G13">
        <v>0</v>
      </c>
      <c r="H13">
        <v>0</v>
      </c>
      <c r="I13">
        <v>3.9081008630870571E-2</v>
      </c>
      <c r="J13">
        <f>B13+C13+D13</f>
        <v>0.96091899136912939</v>
      </c>
      <c r="K13">
        <f t="shared" si="0"/>
        <v>6049.7061083934141</v>
      </c>
      <c r="L13">
        <v>2.4992722654844771E-3</v>
      </c>
      <c r="M13">
        <f t="shared" si="1"/>
        <v>15.119862691039687</v>
      </c>
    </row>
    <row r="14" spans="1:13">
      <c r="A14" t="s">
        <v>281</v>
      </c>
      <c r="M14">
        <f>SUM(M3:M13)</f>
        <v>3045.2565545194166</v>
      </c>
    </row>
    <row r="15" spans="1:13" ht="16.25" customHeight="1">
      <c r="A15" s="627" t="s">
        <v>1008</v>
      </c>
      <c r="B15" s="627"/>
      <c r="C15" s="627"/>
      <c r="D15" s="627"/>
      <c r="E15" s="627"/>
      <c r="F15" s="627"/>
      <c r="G15" s="627"/>
      <c r="H15" s="627"/>
      <c r="I15" s="627"/>
      <c r="J15" s="627"/>
      <c r="K15" s="627"/>
    </row>
    <row r="16" spans="1:13" ht="20" customHeight="1"/>
    <row r="18" spans="1:12" ht="20" customHeight="1">
      <c r="A18" s="627"/>
      <c r="B18" s="627"/>
      <c r="C18" s="627"/>
      <c r="D18" s="627"/>
      <c r="E18" s="627"/>
      <c r="F18" s="627"/>
      <c r="G18" s="627"/>
      <c r="H18" s="627"/>
      <c r="I18" s="627"/>
      <c r="J18" s="627"/>
      <c r="K18" s="627"/>
      <c r="L18" s="627"/>
    </row>
    <row r="32" spans="1:12" ht="16.25" customHeight="1">
      <c r="A32" s="627"/>
      <c r="B32" s="627"/>
      <c r="C32" s="627"/>
      <c r="D32" s="627"/>
      <c r="E32" s="627"/>
      <c r="F32" s="627"/>
      <c r="G32" s="627"/>
      <c r="H32" s="627"/>
      <c r="I32" s="627"/>
      <c r="J32" s="627"/>
      <c r="K32" s="627"/>
    </row>
    <row r="34" spans="1:12" ht="20" customHeight="1">
      <c r="A34" s="627"/>
      <c r="B34" s="627"/>
      <c r="C34" s="627"/>
      <c r="D34" s="627"/>
      <c r="E34" s="627"/>
      <c r="F34" s="627"/>
      <c r="G34" s="627"/>
      <c r="H34" s="627"/>
      <c r="I34" s="627"/>
      <c r="J34" s="627"/>
      <c r="K34" s="627"/>
      <c r="L34" s="627"/>
    </row>
    <row r="50" spans="1:12">
      <c r="A50" s="627"/>
      <c r="B50" s="627"/>
      <c r="C50" s="627"/>
      <c r="D50" s="627"/>
      <c r="E50" s="627"/>
      <c r="F50" s="627"/>
      <c r="G50" s="627"/>
      <c r="H50" s="627"/>
      <c r="I50" s="627"/>
      <c r="J50" s="627"/>
      <c r="K50" s="627"/>
      <c r="L50" s="627"/>
    </row>
  </sheetData>
  <mergeCells count="6">
    <mergeCell ref="A50:L50"/>
    <mergeCell ref="A18:L18"/>
    <mergeCell ref="A34:L34"/>
    <mergeCell ref="A32:K32"/>
    <mergeCell ref="A1:L1"/>
    <mergeCell ref="A15:K15"/>
  </mergeCells>
  <pageMargins left="0.7" right="0.7" top="0.75" bottom="0.75" header="0.3" footer="0.3"/>
  <pageSetup orientation="portrait" horizontalDpi="0" verticalDpi="0"/>
  <ignoredErrors>
    <ignoredError sqref="J3:K4 J9:K13 K5:K8" formulaRange="1"/>
    <ignoredError sqref="J5:J8" formula="1" formulaRange="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15988-155D-DE4C-8C74-C90070AA20D3}">
  <dimension ref="A1:M52"/>
  <sheetViews>
    <sheetView zoomScale="80" zoomScaleNormal="80" workbookViewId="0">
      <pane xSplit="1" ySplit="2" topLeftCell="B3" activePane="bottomRight" state="frozen"/>
      <selection pane="topRight" activeCell="B1" sqref="B1"/>
      <selection pane="bottomLeft" activeCell="A3" sqref="A3"/>
      <selection pane="bottomRight" activeCell="B20" sqref="B20"/>
    </sheetView>
  </sheetViews>
  <sheetFormatPr baseColWidth="10" defaultColWidth="11" defaultRowHeight="16"/>
  <cols>
    <col min="3" max="3" width="21.6640625" bestFit="1" customWidth="1"/>
    <col min="4" max="4" width="19.33203125" bestFit="1" customWidth="1"/>
    <col min="5" max="5" width="20.33203125" bestFit="1" customWidth="1"/>
    <col min="6" max="10" width="19.33203125" bestFit="1" customWidth="1"/>
    <col min="12" max="12" width="15.5" customWidth="1"/>
  </cols>
  <sheetData>
    <row r="1" spans="1:13">
      <c r="A1" s="627" t="s">
        <v>1048</v>
      </c>
      <c r="B1" s="627"/>
      <c r="C1" s="627"/>
      <c r="D1" s="627"/>
      <c r="E1" s="627"/>
      <c r="F1" s="627"/>
      <c r="G1" s="627"/>
      <c r="H1" s="627"/>
      <c r="I1" s="627"/>
      <c r="J1" s="627"/>
      <c r="K1" s="627"/>
      <c r="L1" s="627"/>
    </row>
    <row r="2" spans="1:13">
      <c r="B2" t="s">
        <v>360</v>
      </c>
      <c r="C2" t="s">
        <v>89</v>
      </c>
      <c r="D2" t="s">
        <v>361</v>
      </c>
      <c r="E2" t="s">
        <v>265</v>
      </c>
      <c r="F2" t="s">
        <v>362</v>
      </c>
      <c r="G2" t="s">
        <v>363</v>
      </c>
      <c r="H2" t="s">
        <v>364</v>
      </c>
      <c r="I2" t="s">
        <v>121</v>
      </c>
      <c r="J2" t="s">
        <v>356</v>
      </c>
      <c r="K2" t="s">
        <v>359</v>
      </c>
      <c r="L2" t="s">
        <v>1007</v>
      </c>
      <c r="M2" t="s">
        <v>129</v>
      </c>
    </row>
    <row r="3" spans="1:13">
      <c r="A3" t="s">
        <v>365</v>
      </c>
      <c r="B3">
        <v>0.16703739284420815</v>
      </c>
      <c r="C3">
        <v>0.38252618423271201</v>
      </c>
      <c r="D3">
        <v>0.39885974589398993</v>
      </c>
      <c r="E3">
        <v>5.1576677029090141E-2</v>
      </c>
      <c r="F3">
        <v>0</v>
      </c>
      <c r="G3">
        <v>0</v>
      </c>
      <c r="H3">
        <v>0</v>
      </c>
      <c r="J3">
        <f>B3+C3+D3</f>
        <v>0.94842332297091003</v>
      </c>
      <c r="K3">
        <f t="shared" ref="K3:K13" si="0">SUMSQ(B3:H3)*10000</f>
        <v>3359.770227398104</v>
      </c>
      <c r="L3">
        <v>0.14041676060407338</v>
      </c>
      <c r="M3">
        <f t="shared" ref="M3:M13" si="1">K3*L3</f>
        <v>471.76805170525273</v>
      </c>
    </row>
    <row r="4" spans="1:13">
      <c r="A4" t="s">
        <v>366</v>
      </c>
      <c r="B4">
        <v>0.22465121128206897</v>
      </c>
      <c r="C4">
        <v>0.25829161692404279</v>
      </c>
      <c r="D4">
        <v>0.46574135433138136</v>
      </c>
      <c r="E4">
        <v>5.131581746250688E-2</v>
      </c>
      <c r="F4">
        <v>0</v>
      </c>
      <c r="G4">
        <v>0</v>
      </c>
      <c r="H4">
        <v>0</v>
      </c>
      <c r="J4">
        <f>B4+C4+D4</f>
        <v>0.9486841825374932</v>
      </c>
      <c r="K4">
        <f t="shared" si="0"/>
        <v>3367.3104836001189</v>
      </c>
      <c r="L4">
        <v>0.12108580701679351</v>
      </c>
      <c r="M4">
        <f t="shared" si="1"/>
        <v>407.73350738282966</v>
      </c>
    </row>
    <row r="5" spans="1:13">
      <c r="A5" t="s">
        <v>367</v>
      </c>
      <c r="B5">
        <v>0.21324673554393406</v>
      </c>
      <c r="C5">
        <v>4.3085489716527148E-2</v>
      </c>
      <c r="D5">
        <v>0.14331466438537224</v>
      </c>
      <c r="E5">
        <v>0</v>
      </c>
      <c r="F5">
        <v>0.60035311035416661</v>
      </c>
      <c r="G5">
        <v>0</v>
      </c>
      <c r="H5">
        <v>0</v>
      </c>
      <c r="J5">
        <f>B5+D5+F5</f>
        <v>0.95691451028347285</v>
      </c>
      <c r="K5">
        <f t="shared" si="0"/>
        <v>4282.9347978407159</v>
      </c>
      <c r="L5">
        <v>3.3732497195349299E-2</v>
      </c>
      <c r="M5">
        <f t="shared" si="1"/>
        <v>144.47408605602587</v>
      </c>
    </row>
    <row r="6" spans="1:13">
      <c r="A6" t="s">
        <v>368</v>
      </c>
      <c r="B6">
        <v>0.41830729980783932</v>
      </c>
      <c r="C6">
        <v>0.36266649510576537</v>
      </c>
      <c r="D6">
        <v>0.21863427427534918</v>
      </c>
      <c r="E6">
        <v>0</v>
      </c>
      <c r="F6">
        <v>0</v>
      </c>
      <c r="G6">
        <v>0</v>
      </c>
      <c r="H6">
        <v>0</v>
      </c>
      <c r="J6">
        <f>B6+C6+D6</f>
        <v>0.99960806918895384</v>
      </c>
      <c r="K6">
        <f t="shared" si="0"/>
        <v>3543.0892963273432</v>
      </c>
      <c r="L6">
        <v>3.4574905516695655E-2</v>
      </c>
      <c r="M6">
        <f t="shared" si="1"/>
        <v>122.50197765773358</v>
      </c>
    </row>
    <row r="7" spans="1:13">
      <c r="A7" t="s">
        <v>369</v>
      </c>
      <c r="B7">
        <v>0.29836448019224215</v>
      </c>
      <c r="C7">
        <v>0.40589169423890936</v>
      </c>
      <c r="D7">
        <v>0.19722027471611728</v>
      </c>
      <c r="E7">
        <v>8.8556216541436111E-2</v>
      </c>
      <c r="F7">
        <v>0</v>
      </c>
      <c r="G7">
        <v>9.4121425848896385E-3</v>
      </c>
      <c r="H7">
        <v>5.5519172640540796E-4</v>
      </c>
      <c r="J7">
        <f>B7+C7+D7</f>
        <v>0.90147644914726877</v>
      </c>
      <c r="K7">
        <f t="shared" si="0"/>
        <v>3005.9636740564501</v>
      </c>
      <c r="L7">
        <v>0.40519186890436265</v>
      </c>
      <c r="M7">
        <f t="shared" si="1"/>
        <v>1217.9920389495574</v>
      </c>
    </row>
    <row r="8" spans="1:13">
      <c r="A8" t="s">
        <v>370</v>
      </c>
      <c r="B8">
        <v>0.32201688116473298</v>
      </c>
      <c r="C8">
        <v>0.22205816504503553</v>
      </c>
      <c r="D8">
        <v>0.25239907445601234</v>
      </c>
      <c r="E8">
        <v>0.2035258793342192</v>
      </c>
      <c r="F8">
        <v>0</v>
      </c>
      <c r="G8">
        <v>0</v>
      </c>
      <c r="H8">
        <v>0</v>
      </c>
      <c r="J8">
        <f>B8+C8+D8</f>
        <v>0.79647412066578083</v>
      </c>
      <c r="K8">
        <f t="shared" si="0"/>
        <v>2581.3277676324878</v>
      </c>
      <c r="L8">
        <v>0.19834107277175805</v>
      </c>
      <c r="M8">
        <f t="shared" si="1"/>
        <v>511.98331860775505</v>
      </c>
    </row>
    <row r="9" spans="1:13">
      <c r="A9" t="s">
        <v>371</v>
      </c>
      <c r="B9">
        <v>0.43620547924594388</v>
      </c>
      <c r="C9">
        <v>0.17036997344572202</v>
      </c>
      <c r="D9">
        <v>0.28509821567169058</v>
      </c>
      <c r="E9">
        <v>0</v>
      </c>
      <c r="F9">
        <v>0</v>
      </c>
      <c r="G9">
        <v>0</v>
      </c>
      <c r="H9">
        <v>0.10832633163664346</v>
      </c>
      <c r="J9">
        <f>B9+C9+D9</f>
        <v>0.89167366836335649</v>
      </c>
      <c r="K9">
        <f t="shared" si="0"/>
        <v>3123.1673468111344</v>
      </c>
      <c r="L9">
        <v>2.0882625233196263E-2</v>
      </c>
      <c r="M9">
        <f t="shared" si="1"/>
        <v>65.219933244012822</v>
      </c>
    </row>
    <row r="10" spans="1:13">
      <c r="A10" t="s">
        <v>372</v>
      </c>
      <c r="B10">
        <v>0.46732872960249405</v>
      </c>
      <c r="C10">
        <v>0.10916244172890521</v>
      </c>
      <c r="D10">
        <v>0.31065876735379144</v>
      </c>
      <c r="E10">
        <v>0</v>
      </c>
      <c r="F10">
        <v>0</v>
      </c>
      <c r="G10">
        <v>0</v>
      </c>
      <c r="H10">
        <v>0.11285006131480921</v>
      </c>
      <c r="J10">
        <f>B10+D10+H10</f>
        <v>0.89083755827109468</v>
      </c>
      <c r="K10">
        <f t="shared" si="0"/>
        <v>3395.5658626863096</v>
      </c>
      <c r="L10">
        <v>2.5215708253148176E-2</v>
      </c>
      <c r="M10">
        <f t="shared" si="1"/>
        <v>85.621598147847379</v>
      </c>
    </row>
    <row r="11" spans="1:13">
      <c r="A11" t="s">
        <v>373</v>
      </c>
      <c r="B11">
        <v>0.42537783831633497</v>
      </c>
      <c r="C11">
        <v>0.10163752341322846</v>
      </c>
      <c r="D11">
        <v>0.36401059460506846</v>
      </c>
      <c r="E11">
        <v>0</v>
      </c>
      <c r="F11">
        <v>0</v>
      </c>
      <c r="G11">
        <v>0</v>
      </c>
      <c r="H11">
        <v>0.10897404366536821</v>
      </c>
      <c r="J11">
        <f>B11+D11+H11</f>
        <v>0.8983624765867716</v>
      </c>
      <c r="K11">
        <f t="shared" si="0"/>
        <v>3356.5554667376969</v>
      </c>
      <c r="L11">
        <v>4.2807529444747793E-3</v>
      </c>
      <c r="M11">
        <f t="shared" si="1"/>
        <v>14.368584697530313</v>
      </c>
    </row>
    <row r="12" spans="1:13">
      <c r="A12" t="s">
        <v>374</v>
      </c>
      <c r="B12">
        <v>0.59035771266328951</v>
      </c>
      <c r="C12">
        <v>2.5956178523149947E-2</v>
      </c>
      <c r="D12">
        <v>0.35073355744379514</v>
      </c>
      <c r="E12">
        <v>0</v>
      </c>
      <c r="F12">
        <v>0</v>
      </c>
      <c r="G12">
        <v>0</v>
      </c>
      <c r="H12">
        <v>3.2952551369765444E-2</v>
      </c>
      <c r="J12">
        <f>B12+D12+H12</f>
        <v>0.97404382147685009</v>
      </c>
      <c r="K12">
        <f t="shared" si="0"/>
        <v>4732.9585106351378</v>
      </c>
      <c r="L12">
        <v>1.3505511247669553E-2</v>
      </c>
      <c r="M12">
        <f t="shared" si="1"/>
        <v>63.92102440013619</v>
      </c>
    </row>
    <row r="13" spans="1:13">
      <c r="A13" t="s">
        <v>375</v>
      </c>
      <c r="B13">
        <v>0.76900000000000002</v>
      </c>
      <c r="C13">
        <v>0</v>
      </c>
      <c r="D13">
        <v>0.188</v>
      </c>
      <c r="E13">
        <v>0</v>
      </c>
      <c r="F13">
        <v>0</v>
      </c>
      <c r="G13">
        <v>0</v>
      </c>
      <c r="H13">
        <v>0</v>
      </c>
      <c r="I13">
        <v>4.2999999999999997E-2</v>
      </c>
      <c r="J13">
        <f>B13+D13+I13</f>
        <v>1</v>
      </c>
      <c r="K13">
        <f t="shared" si="0"/>
        <v>6267.0500000000011</v>
      </c>
      <c r="L13">
        <v>2.7724903124787354E-3</v>
      </c>
      <c r="M13">
        <f t="shared" si="1"/>
        <v>17.375335412819862</v>
      </c>
    </row>
    <row r="14" spans="1:13">
      <c r="A14" t="s">
        <v>281</v>
      </c>
      <c r="M14">
        <f>SUM(M3:M13)</f>
        <v>3122.9594562615002</v>
      </c>
    </row>
    <row r="17" spans="1:12">
      <c r="A17" s="627" t="s">
        <v>1008</v>
      </c>
      <c r="B17" s="627"/>
      <c r="C17" s="627"/>
      <c r="D17" s="627"/>
      <c r="E17" s="627"/>
      <c r="F17" s="627"/>
      <c r="G17" s="627"/>
      <c r="H17" s="627"/>
      <c r="I17" s="627"/>
      <c r="J17" s="627"/>
      <c r="K17" s="627"/>
    </row>
    <row r="18" spans="1:12">
      <c r="A18" s="627"/>
      <c r="B18" s="627"/>
      <c r="C18" s="627"/>
      <c r="D18" s="627"/>
      <c r="E18" s="627"/>
      <c r="F18" s="627"/>
      <c r="G18" s="627"/>
      <c r="H18" s="627"/>
      <c r="I18" s="627"/>
      <c r="J18" s="627"/>
      <c r="K18" s="627"/>
      <c r="L18" s="627"/>
    </row>
    <row r="32" spans="1:12">
      <c r="A32" s="627"/>
      <c r="B32" s="627"/>
      <c r="C32" s="627"/>
      <c r="D32" s="627"/>
      <c r="E32" s="627"/>
      <c r="F32" s="627"/>
      <c r="G32" s="627"/>
      <c r="H32" s="627"/>
      <c r="I32" s="627"/>
      <c r="J32" s="627"/>
      <c r="K32" s="627"/>
    </row>
    <row r="36" spans="1:12">
      <c r="A36" s="627"/>
      <c r="B36" s="627"/>
      <c r="C36" s="627"/>
      <c r="D36" s="627"/>
      <c r="E36" s="627"/>
      <c r="F36" s="627"/>
      <c r="G36" s="627"/>
      <c r="H36" s="627"/>
      <c r="I36" s="627"/>
      <c r="J36" s="627"/>
      <c r="K36" s="627"/>
      <c r="L36" s="627"/>
    </row>
    <row r="52" spans="1:12">
      <c r="A52" s="627"/>
      <c r="B52" s="627"/>
      <c r="C52" s="627"/>
      <c r="D52" s="627"/>
      <c r="E52" s="627"/>
      <c r="F52" s="627"/>
      <c r="G52" s="627"/>
      <c r="H52" s="627"/>
      <c r="I52" s="627"/>
      <c r="J52" s="627"/>
      <c r="K52" s="627"/>
      <c r="L52" s="627"/>
    </row>
  </sheetData>
  <mergeCells count="6">
    <mergeCell ref="A18:L18"/>
    <mergeCell ref="A32:K32"/>
    <mergeCell ref="A36:L36"/>
    <mergeCell ref="A52:L52"/>
    <mergeCell ref="A1:L1"/>
    <mergeCell ref="A17:K17"/>
  </mergeCells>
  <pageMargins left="0.7" right="0.7" top="0.75" bottom="0.75" header="0.3" footer="0.3"/>
  <pageSetup orientation="portrait" horizontalDpi="0" verticalDpi="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2F4F5-7B91-A245-A025-73C64DF93989}">
  <dimension ref="A1:R10"/>
  <sheetViews>
    <sheetView zoomScale="120" zoomScaleNormal="120" workbookViewId="0">
      <pane xSplit="1" ySplit="2" topLeftCell="B3" activePane="bottomRight" state="frozen"/>
      <selection pane="topRight" activeCell="B1" sqref="B1"/>
      <selection pane="bottomLeft" activeCell="A3" sqref="A3"/>
      <selection pane="bottomRight" activeCell="F15" sqref="F15"/>
    </sheetView>
  </sheetViews>
  <sheetFormatPr baseColWidth="10" defaultColWidth="11" defaultRowHeight="16"/>
  <sheetData>
    <row r="1" spans="1:18">
      <c r="A1" s="627" t="s">
        <v>1049</v>
      </c>
      <c r="B1" s="627"/>
      <c r="C1" s="627"/>
      <c r="D1" s="627"/>
      <c r="E1" s="627"/>
      <c r="F1" s="627"/>
      <c r="G1" s="627"/>
      <c r="H1" s="627"/>
      <c r="I1" s="627"/>
      <c r="J1" s="627"/>
      <c r="K1" s="627"/>
      <c r="L1" s="627"/>
      <c r="M1" s="627"/>
    </row>
    <row r="2" spans="1:18">
      <c r="B2">
        <v>2004</v>
      </c>
      <c r="C2">
        <v>2008</v>
      </c>
      <c r="D2">
        <v>2010</v>
      </c>
      <c r="E2">
        <v>2011</v>
      </c>
      <c r="F2">
        <v>2012</v>
      </c>
      <c r="G2">
        <v>2013</v>
      </c>
      <c r="H2">
        <v>2014</v>
      </c>
      <c r="I2">
        <v>2015</v>
      </c>
      <c r="J2">
        <v>2016</v>
      </c>
      <c r="K2">
        <v>2017</v>
      </c>
      <c r="L2">
        <v>2018</v>
      </c>
      <c r="M2">
        <v>2019</v>
      </c>
      <c r="N2">
        <v>2020</v>
      </c>
      <c r="O2">
        <v>2021</v>
      </c>
      <c r="P2">
        <v>2022</v>
      </c>
      <c r="Q2">
        <v>2023</v>
      </c>
      <c r="R2">
        <v>2024</v>
      </c>
    </row>
    <row r="3" spans="1:18">
      <c r="A3" t="s">
        <v>376</v>
      </c>
      <c r="B3">
        <v>0</v>
      </c>
      <c r="C3">
        <v>0</v>
      </c>
      <c r="D3">
        <v>3.8862430262620768</v>
      </c>
      <c r="E3">
        <v>64.360483355970786</v>
      </c>
      <c r="F3">
        <v>175.01658395922749</v>
      </c>
      <c r="G3">
        <v>363.85</v>
      </c>
      <c r="H3">
        <v>706.47350000000006</v>
      </c>
      <c r="I3">
        <v>1058.1689999999999</v>
      </c>
      <c r="J3">
        <v>1260.3674999999998</v>
      </c>
      <c r="K3">
        <v>1444.1305</v>
      </c>
      <c r="L3">
        <v>1613.0115000000001</v>
      </c>
      <c r="M3">
        <v>1721.444</v>
      </c>
      <c r="N3">
        <v>1786.7775000000001</v>
      </c>
      <c r="O3">
        <v>1844.4070000000002</v>
      </c>
      <c r="P3">
        <v>1935.3110000000001</v>
      </c>
      <c r="Q3">
        <v>2029.2615000000001</v>
      </c>
      <c r="R3">
        <v>2101.6475</v>
      </c>
    </row>
    <row r="4" spans="1:18">
      <c r="A4" t="s">
        <v>90</v>
      </c>
      <c r="B4">
        <v>0</v>
      </c>
      <c r="C4">
        <v>78</v>
      </c>
      <c r="D4">
        <v>242</v>
      </c>
      <c r="E4">
        <v>411.5</v>
      </c>
      <c r="F4">
        <v>593.5</v>
      </c>
      <c r="G4">
        <v>746.5</v>
      </c>
      <c r="H4">
        <v>865.5</v>
      </c>
      <c r="I4">
        <v>960.5</v>
      </c>
      <c r="J4">
        <v>1032</v>
      </c>
      <c r="K4">
        <v>1078.5</v>
      </c>
      <c r="L4">
        <v>1095.5</v>
      </c>
      <c r="M4">
        <v>1126.5</v>
      </c>
      <c r="N4">
        <v>1187.5</v>
      </c>
      <c r="O4">
        <v>1240</v>
      </c>
      <c r="P4">
        <v>1295</v>
      </c>
      <c r="Q4">
        <v>1359.5</v>
      </c>
      <c r="R4">
        <v>1391.5</v>
      </c>
    </row>
    <row r="5" spans="1:18">
      <c r="A5" t="s">
        <v>349</v>
      </c>
      <c r="B5">
        <v>0</v>
      </c>
      <c r="C5">
        <v>0</v>
      </c>
      <c r="D5">
        <v>0</v>
      </c>
      <c r="E5">
        <v>48.415500000000002</v>
      </c>
      <c r="F5">
        <v>109.9255</v>
      </c>
      <c r="G5">
        <v>140.53200000000001</v>
      </c>
      <c r="H5">
        <v>188.29050000000001</v>
      </c>
    </row>
    <row r="6" spans="1:18">
      <c r="A6" t="s">
        <v>377</v>
      </c>
      <c r="B6">
        <v>32.578000000000003</v>
      </c>
      <c r="C6">
        <v>82.278000000000006</v>
      </c>
      <c r="D6">
        <v>88.243499999999997</v>
      </c>
      <c r="E6">
        <v>92.721499999999992</v>
      </c>
      <c r="F6">
        <v>96.353999999999999</v>
      </c>
      <c r="G6">
        <v>101.04650000000001</v>
      </c>
      <c r="H6">
        <v>106.4785</v>
      </c>
      <c r="I6">
        <v>107.065</v>
      </c>
      <c r="J6">
        <v>106.54949999999999</v>
      </c>
    </row>
    <row r="7" spans="1:18">
      <c r="A7" t="s">
        <v>98</v>
      </c>
      <c r="B7">
        <v>25</v>
      </c>
      <c r="C7">
        <v>70.462999999999994</v>
      </c>
      <c r="D7">
        <v>81.683999999999997</v>
      </c>
      <c r="E7">
        <v>89.748500000000007</v>
      </c>
      <c r="F7">
        <v>95.61099999999999</v>
      </c>
      <c r="G7">
        <v>99.204499999999996</v>
      </c>
      <c r="H7">
        <v>102.4315</v>
      </c>
      <c r="I7">
        <v>105.51849999999999</v>
      </c>
      <c r="J7">
        <v>108.95599999999999</v>
      </c>
      <c r="K7">
        <v>110.73599999999999</v>
      </c>
      <c r="L7">
        <v>111.732</v>
      </c>
      <c r="M7">
        <v>111.9825</v>
      </c>
      <c r="N7">
        <v>112.751</v>
      </c>
      <c r="O7">
        <v>112.15600000000001</v>
      </c>
      <c r="P7">
        <v>110.696</v>
      </c>
      <c r="Q7">
        <v>111.18299999999999</v>
      </c>
      <c r="R7">
        <v>109.083</v>
      </c>
    </row>
    <row r="8" spans="1:18">
      <c r="A8" t="s">
        <v>73</v>
      </c>
      <c r="B8">
        <f>SUM(B3:B7)</f>
        <v>57.578000000000003</v>
      </c>
      <c r="C8">
        <f t="shared" ref="C8:R8" si="0">SUM(C3:C7)</f>
        <v>230.74100000000001</v>
      </c>
      <c r="D8">
        <f t="shared" si="0"/>
        <v>415.81374302626205</v>
      </c>
      <c r="E8">
        <f t="shared" si="0"/>
        <v>706.74598335597079</v>
      </c>
      <c r="F8">
        <f t="shared" si="0"/>
        <v>1070.4070839592277</v>
      </c>
      <c r="G8">
        <f t="shared" si="0"/>
        <v>1451.1329999999998</v>
      </c>
      <c r="H8">
        <f t="shared" si="0"/>
        <v>1969.174</v>
      </c>
      <c r="I8">
        <f t="shared" si="0"/>
        <v>2231.2525000000001</v>
      </c>
      <c r="J8">
        <f t="shared" si="0"/>
        <v>2507.873</v>
      </c>
      <c r="K8">
        <f t="shared" si="0"/>
        <v>2633.3665000000001</v>
      </c>
      <c r="L8">
        <f t="shared" si="0"/>
        <v>2820.2435</v>
      </c>
      <c r="M8">
        <f t="shared" si="0"/>
        <v>2959.9265</v>
      </c>
      <c r="N8">
        <f t="shared" si="0"/>
        <v>3087.0285000000003</v>
      </c>
      <c r="O8">
        <f t="shared" si="0"/>
        <v>3196.5630000000001</v>
      </c>
      <c r="P8">
        <f t="shared" si="0"/>
        <v>3341.0070000000001</v>
      </c>
      <c r="Q8">
        <f t="shared" si="0"/>
        <v>3499.9445000000001</v>
      </c>
      <c r="R8">
        <f t="shared" si="0"/>
        <v>3602.2305000000001</v>
      </c>
    </row>
    <row r="10" spans="1:18">
      <c r="A10" s="627" t="s">
        <v>378</v>
      </c>
      <c r="B10" s="627"/>
      <c r="C10" s="627"/>
      <c r="D10" s="627"/>
    </row>
  </sheetData>
  <mergeCells count="2">
    <mergeCell ref="A1:M1"/>
    <mergeCell ref="A10:D10"/>
  </mergeCells>
  <pageMargins left="0.7" right="0.7" top="0.75" bottom="0.75" header="0.3" footer="0.3"/>
  <pageSetup orientation="portrait" horizontalDpi="0" verticalDpi="0"/>
  <ignoredErrors>
    <ignoredError sqref="B8 C8:R8" formulaRange="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225B5-52BD-4C42-989F-8D83F5E16334}">
  <dimension ref="A1:R7"/>
  <sheetViews>
    <sheetView zoomScale="92" zoomScaleNormal="130" workbookViewId="0">
      <pane xSplit="1" ySplit="2" topLeftCell="B3" activePane="bottomRight" state="frozen"/>
      <selection pane="topRight" activeCell="B1" sqref="B1"/>
      <selection pane="bottomLeft" activeCell="A3" sqref="A3"/>
      <selection pane="bottomRight" activeCell="H11" sqref="H11"/>
    </sheetView>
  </sheetViews>
  <sheetFormatPr baseColWidth="10" defaultColWidth="11" defaultRowHeight="16"/>
  <cols>
    <col min="1" max="1" width="14" customWidth="1"/>
  </cols>
  <sheetData>
    <row r="1" spans="1:18">
      <c r="A1" s="627" t="s">
        <v>1050</v>
      </c>
      <c r="B1" s="627"/>
      <c r="C1" s="627"/>
      <c r="D1" s="627"/>
      <c r="E1" s="627"/>
      <c r="F1" s="627"/>
      <c r="G1" s="627"/>
      <c r="H1" s="627"/>
      <c r="I1" s="627"/>
    </row>
    <row r="2" spans="1:18">
      <c r="B2">
        <v>2004</v>
      </c>
      <c r="C2">
        <v>2008</v>
      </c>
      <c r="D2">
        <v>2010</v>
      </c>
      <c r="E2">
        <v>2011</v>
      </c>
      <c r="F2">
        <v>2012</v>
      </c>
      <c r="G2">
        <v>2013</v>
      </c>
      <c r="H2">
        <v>2014</v>
      </c>
      <c r="I2">
        <v>2015</v>
      </c>
      <c r="J2">
        <v>2016</v>
      </c>
      <c r="K2">
        <v>2017</v>
      </c>
      <c r="L2">
        <v>2018</v>
      </c>
      <c r="M2">
        <v>2019</v>
      </c>
      <c r="N2">
        <v>2020</v>
      </c>
      <c r="O2">
        <v>2021</v>
      </c>
      <c r="P2">
        <v>2022</v>
      </c>
      <c r="Q2">
        <v>2023</v>
      </c>
      <c r="R2">
        <v>2024</v>
      </c>
    </row>
    <row r="3" spans="1:18">
      <c r="A3" t="s">
        <v>379</v>
      </c>
      <c r="D3">
        <v>23.8</v>
      </c>
      <c r="E3">
        <v>143.02653191183944</v>
      </c>
      <c r="F3">
        <v>300.31231398928128</v>
      </c>
      <c r="G3">
        <v>496.97578748105911</v>
      </c>
      <c r="H3">
        <v>779.2827265616362</v>
      </c>
      <c r="I3">
        <v>842.73800000000006</v>
      </c>
      <c r="J3">
        <v>1013.424</v>
      </c>
      <c r="K3">
        <v>1243.748</v>
      </c>
      <c r="L3">
        <v>1310.646</v>
      </c>
      <c r="M3">
        <v>1352.94</v>
      </c>
      <c r="N3">
        <v>1360.75</v>
      </c>
      <c r="O3">
        <v>1311.6510000000001</v>
      </c>
      <c r="P3">
        <v>1324.665</v>
      </c>
      <c r="Q3">
        <v>1293.6600000000001</v>
      </c>
      <c r="R3">
        <v>1213.6199999999999</v>
      </c>
    </row>
    <row r="4" spans="1:18">
      <c r="A4" t="s">
        <v>380</v>
      </c>
      <c r="C4">
        <v>33.542160000000003</v>
      </c>
      <c r="D4">
        <v>138.55000000000001</v>
      </c>
      <c r="E4">
        <v>279.08999999999997</v>
      </c>
      <c r="F4">
        <v>379.57</v>
      </c>
      <c r="G4">
        <v>431.584</v>
      </c>
      <c r="H4">
        <v>550.476</v>
      </c>
      <c r="I4">
        <v>606.29600000000005</v>
      </c>
      <c r="J4">
        <v>663.298</v>
      </c>
      <c r="K4">
        <v>706.81299999999999</v>
      </c>
      <c r="L4">
        <v>750.89099999999996</v>
      </c>
      <c r="M4">
        <v>783.33600000000001</v>
      </c>
      <c r="N4">
        <v>804.03399999999999</v>
      </c>
      <c r="O4">
        <v>825.05</v>
      </c>
      <c r="P4">
        <v>838.76400000000001</v>
      </c>
      <c r="Q4">
        <v>839.84299999999996</v>
      </c>
      <c r="R4">
        <v>838.50199999999995</v>
      </c>
    </row>
    <row r="5" spans="1:18">
      <c r="A5" t="s">
        <v>377</v>
      </c>
      <c r="B5">
        <v>8.4</v>
      </c>
      <c r="C5">
        <v>50</v>
      </c>
      <c r="D5">
        <v>59</v>
      </c>
      <c r="E5">
        <v>70.599999999999994</v>
      </c>
      <c r="F5">
        <v>78.5</v>
      </c>
      <c r="G5">
        <v>82</v>
      </c>
      <c r="H5">
        <v>85.2</v>
      </c>
      <c r="I5">
        <v>88.8</v>
      </c>
      <c r="J5">
        <v>91.355143870713448</v>
      </c>
    </row>
    <row r="6" spans="1:18">
      <c r="A6" t="s">
        <v>381</v>
      </c>
      <c r="B6">
        <v>4.1429999999999998</v>
      </c>
      <c r="C6">
        <v>39.700000000000003</v>
      </c>
      <c r="D6">
        <v>68.527076690077578</v>
      </c>
      <c r="E6">
        <v>76.685181233983627</v>
      </c>
      <c r="F6">
        <v>81.730823585067142</v>
      </c>
      <c r="G6">
        <v>87.198770122846668</v>
      </c>
      <c r="H6">
        <v>93.118487653993128</v>
      </c>
      <c r="I6">
        <v>96.322637208376662</v>
      </c>
      <c r="J6">
        <v>99.296567764375212</v>
      </c>
      <c r="K6">
        <v>100.36761802807109</v>
      </c>
      <c r="L6">
        <v>100.14392062775799</v>
      </c>
      <c r="M6">
        <v>104.4</v>
      </c>
      <c r="N6">
        <v>103.6</v>
      </c>
      <c r="O6">
        <v>100.6</v>
      </c>
      <c r="P6">
        <v>95.7</v>
      </c>
      <c r="Q6">
        <v>96</v>
      </c>
      <c r="R6">
        <v>98.131</v>
      </c>
    </row>
    <row r="7" spans="1:18">
      <c r="A7" t="s">
        <v>382</v>
      </c>
      <c r="B7">
        <f t="shared" ref="B7:Q7" si="0">SUM(B3:B6)</f>
        <v>12.542999999999999</v>
      </c>
      <c r="C7">
        <f t="shared" si="0"/>
        <v>123.24216</v>
      </c>
      <c r="D7">
        <f t="shared" si="0"/>
        <v>289.87707669007762</v>
      </c>
      <c r="E7">
        <f t="shared" si="0"/>
        <v>569.40171314582301</v>
      </c>
      <c r="F7">
        <f t="shared" si="0"/>
        <v>840.11313757434846</v>
      </c>
      <c r="G7">
        <f t="shared" si="0"/>
        <v>1097.758557603906</v>
      </c>
      <c r="H7">
        <f t="shared" si="0"/>
        <v>1508.0772142156293</v>
      </c>
      <c r="I7">
        <f t="shared" si="0"/>
        <v>1634.1566372083767</v>
      </c>
      <c r="J7">
        <f t="shared" si="0"/>
        <v>1867.3737116350885</v>
      </c>
      <c r="K7">
        <f t="shared" si="0"/>
        <v>2050.9286180280715</v>
      </c>
      <c r="L7">
        <f t="shared" si="0"/>
        <v>2161.6809206277576</v>
      </c>
      <c r="M7">
        <f t="shared" si="0"/>
        <v>2240.6759999999999</v>
      </c>
      <c r="N7">
        <f t="shared" si="0"/>
        <v>2268.384</v>
      </c>
      <c r="O7">
        <f t="shared" si="0"/>
        <v>2237.3009999999999</v>
      </c>
      <c r="P7">
        <f t="shared" si="0"/>
        <v>2259.1289999999999</v>
      </c>
      <c r="Q7">
        <f t="shared" si="0"/>
        <v>2229.5030000000002</v>
      </c>
      <c r="R7">
        <f>SUM(R3:R6)</f>
        <v>2150.2529999999997</v>
      </c>
    </row>
  </sheetData>
  <mergeCells count="1">
    <mergeCell ref="A1:I1"/>
  </mergeCells>
  <pageMargins left="0.7" right="0.7" top="0.75" bottom="0.75" header="0.3" footer="0.3"/>
  <pageSetup orientation="portrait" horizontalDpi="0" verticalDpi="0"/>
  <ignoredErrors>
    <ignoredError sqref="B7:Q7" formulaRange="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B64DF3-5FB9-1F46-947A-122B7915FDB0}">
  <dimension ref="A1:W31"/>
  <sheetViews>
    <sheetView zoomScale="84" zoomScaleNormal="84" workbookViewId="0">
      <pane xSplit="1" ySplit="2" topLeftCell="B3" activePane="bottomRight" state="frozen"/>
      <selection pane="topRight" activeCell="B1" sqref="B1"/>
      <selection pane="bottomLeft" activeCell="A3" sqref="A3"/>
      <selection pane="bottomRight" activeCell="F35" sqref="F35"/>
    </sheetView>
  </sheetViews>
  <sheetFormatPr baseColWidth="10" defaultColWidth="11" defaultRowHeight="16"/>
  <cols>
    <col min="1" max="1" width="44" customWidth="1"/>
    <col min="4" max="23" width="12.6640625" bestFit="1" customWidth="1"/>
    <col min="28" max="28" width="14.5" customWidth="1"/>
  </cols>
  <sheetData>
    <row r="1" spans="1:23" ht="16.25" customHeight="1">
      <c r="A1" s="627" t="s">
        <v>1051</v>
      </c>
      <c r="B1" s="627"/>
      <c r="C1" s="627"/>
      <c r="D1" s="627"/>
      <c r="E1" s="627"/>
      <c r="F1" s="627"/>
      <c r="G1" s="627"/>
      <c r="H1" s="627"/>
      <c r="I1" s="627"/>
    </row>
    <row r="2" spans="1:23">
      <c r="B2">
        <v>1984</v>
      </c>
      <c r="C2">
        <v>1988</v>
      </c>
      <c r="D2">
        <v>1992</v>
      </c>
      <c r="E2">
        <v>1996</v>
      </c>
      <c r="F2">
        <v>2000</v>
      </c>
      <c r="G2">
        <v>2004</v>
      </c>
      <c r="H2">
        <v>2008</v>
      </c>
      <c r="I2">
        <v>2010</v>
      </c>
      <c r="J2">
        <v>2011</v>
      </c>
      <c r="K2">
        <v>2012</v>
      </c>
      <c r="L2">
        <v>2013</v>
      </c>
      <c r="M2">
        <v>2014</v>
      </c>
      <c r="N2">
        <v>2015</v>
      </c>
      <c r="O2">
        <v>2016</v>
      </c>
      <c r="P2">
        <v>2017</v>
      </c>
      <c r="Q2">
        <v>2018</v>
      </c>
      <c r="R2">
        <v>2019</v>
      </c>
      <c r="S2">
        <v>2020</v>
      </c>
      <c r="T2">
        <v>2021</v>
      </c>
      <c r="U2">
        <v>2022</v>
      </c>
      <c r="V2">
        <v>2023</v>
      </c>
      <c r="W2">
        <v>2024</v>
      </c>
    </row>
    <row r="3" spans="1:23">
      <c r="A3" t="s">
        <v>249</v>
      </c>
      <c r="B3">
        <v>716.3</v>
      </c>
      <c r="C3">
        <v>1242.9000000000001</v>
      </c>
      <c r="D3">
        <v>1651.4</v>
      </c>
      <c r="E3">
        <v>2677.4</v>
      </c>
      <c r="F3">
        <v>3913.5</v>
      </c>
      <c r="G3">
        <v>4170.16</v>
      </c>
      <c r="H3">
        <v>5450.16</v>
      </c>
      <c r="I3">
        <v>6166.02</v>
      </c>
      <c r="J3">
        <v>6088.2</v>
      </c>
      <c r="K3">
        <v>5953.09</v>
      </c>
      <c r="L3">
        <v>5949.04</v>
      </c>
      <c r="M3">
        <v>5761.42</v>
      </c>
      <c r="N3">
        <v>5740.14</v>
      </c>
      <c r="O3">
        <v>5485.23</v>
      </c>
      <c r="P3">
        <v>5281.47</v>
      </c>
      <c r="Q3">
        <v>5100.62</v>
      </c>
      <c r="R3">
        <v>5009.22</v>
      </c>
      <c r="S3">
        <v>4795.46</v>
      </c>
      <c r="T3">
        <v>4649.09</v>
      </c>
      <c r="U3">
        <v>4295.0600000000004</v>
      </c>
      <c r="V3">
        <v>4013.87</v>
      </c>
      <c r="W3">
        <v>3673.8450000000003</v>
      </c>
    </row>
    <row r="4" spans="1:23">
      <c r="A4" t="s">
        <v>250</v>
      </c>
      <c r="F4">
        <v>305</v>
      </c>
      <c r="G4">
        <v>869.24300000000005</v>
      </c>
      <c r="H4">
        <v>1503.3420000000001</v>
      </c>
      <c r="I4">
        <v>1963.877</v>
      </c>
      <c r="J4">
        <v>2370.902</v>
      </c>
      <c r="K4">
        <v>2607.7130000000002</v>
      </c>
      <c r="L4">
        <v>2844.8589999999999</v>
      </c>
      <c r="M4">
        <v>3180.9769999999999</v>
      </c>
      <c r="N4">
        <v>3195.857</v>
      </c>
      <c r="O4">
        <v>3293.8739999999998</v>
      </c>
      <c r="P4">
        <v>3299.6289999999999</v>
      </c>
      <c r="Q4">
        <v>3323.7809999999999</v>
      </c>
      <c r="R4">
        <v>3354.9760000000001</v>
      </c>
      <c r="S4">
        <v>3303.9839999999999</v>
      </c>
      <c r="T4">
        <v>3190.0010000000002</v>
      </c>
      <c r="U4">
        <v>3126.4290000000001</v>
      </c>
      <c r="V4">
        <v>3010.1030000000001</v>
      </c>
      <c r="W4">
        <v>2770.0129999999999</v>
      </c>
    </row>
    <row r="5" spans="1:23">
      <c r="A5" t="s">
        <v>383</v>
      </c>
      <c r="B5">
        <f t="shared" ref="B5:V5" si="0">SUM(B3:B4)</f>
        <v>716.3</v>
      </c>
      <c r="C5">
        <f t="shared" si="0"/>
        <v>1242.9000000000001</v>
      </c>
      <c r="D5">
        <f t="shared" si="0"/>
        <v>1651.4</v>
      </c>
      <c r="E5">
        <f t="shared" si="0"/>
        <v>2677.4</v>
      </c>
      <c r="F5">
        <f t="shared" si="0"/>
        <v>4218.5</v>
      </c>
      <c r="G5">
        <f t="shared" si="0"/>
        <v>5039.4030000000002</v>
      </c>
      <c r="H5">
        <f t="shared" si="0"/>
        <v>6953.5020000000004</v>
      </c>
      <c r="I5">
        <f t="shared" si="0"/>
        <v>8129.8970000000008</v>
      </c>
      <c r="J5">
        <f t="shared" si="0"/>
        <v>8459.101999999999</v>
      </c>
      <c r="K5">
        <f t="shared" si="0"/>
        <v>8560.8029999999999</v>
      </c>
      <c r="L5">
        <f t="shared" si="0"/>
        <v>8793.8989999999994</v>
      </c>
      <c r="M5">
        <f t="shared" si="0"/>
        <v>8942.3970000000008</v>
      </c>
      <c r="N5">
        <f t="shared" si="0"/>
        <v>8935.9969999999994</v>
      </c>
      <c r="O5">
        <f t="shared" si="0"/>
        <v>8779.1039999999994</v>
      </c>
      <c r="P5">
        <f t="shared" si="0"/>
        <v>8581.0990000000002</v>
      </c>
      <c r="Q5">
        <f t="shared" si="0"/>
        <v>8424.4009999999998</v>
      </c>
      <c r="R5">
        <f t="shared" si="0"/>
        <v>8364.1959999999999</v>
      </c>
      <c r="S5">
        <f t="shared" si="0"/>
        <v>8099.4439999999995</v>
      </c>
      <c r="T5">
        <f t="shared" si="0"/>
        <v>7839.0910000000003</v>
      </c>
      <c r="U5">
        <f t="shared" si="0"/>
        <v>7421.4890000000005</v>
      </c>
      <c r="V5">
        <f t="shared" si="0"/>
        <v>7023.973</v>
      </c>
      <c r="W5">
        <f>SUM(W3:W4)</f>
        <v>6443.8580000000002</v>
      </c>
    </row>
    <row r="6" spans="1:23">
      <c r="A6" t="s">
        <v>384</v>
      </c>
      <c r="B6">
        <f t="shared" ref="B6:W6" si="1">B25/B5</f>
        <v>1</v>
      </c>
      <c r="C6">
        <f t="shared" si="1"/>
        <v>1</v>
      </c>
      <c r="D6">
        <f t="shared" si="1"/>
        <v>1</v>
      </c>
      <c r="E6">
        <f t="shared" si="1"/>
        <v>1</v>
      </c>
      <c r="F6">
        <f t="shared" si="1"/>
        <v>0.927699419224843</v>
      </c>
      <c r="G6">
        <f t="shared" si="1"/>
        <v>0.82751071902763074</v>
      </c>
      <c r="H6">
        <f t="shared" si="1"/>
        <v>0.78380073810290118</v>
      </c>
      <c r="I6">
        <f t="shared" si="1"/>
        <v>0.75843765302315636</v>
      </c>
      <c r="J6">
        <f t="shared" si="1"/>
        <v>0.71972178607138215</v>
      </c>
      <c r="K6">
        <f t="shared" si="1"/>
        <v>0.69538920589575537</v>
      </c>
      <c r="L6">
        <f t="shared" si="1"/>
        <v>0.6764962845263518</v>
      </c>
      <c r="M6">
        <f t="shared" si="1"/>
        <v>0.64428139345636293</v>
      </c>
      <c r="N6">
        <f t="shared" si="1"/>
        <v>0.6423614511061273</v>
      </c>
      <c r="O6">
        <f t="shared" si="1"/>
        <v>0.62480521930256205</v>
      </c>
      <c r="P6">
        <f t="shared" si="1"/>
        <v>0.6154771084682743</v>
      </c>
      <c r="Q6">
        <f t="shared" si="1"/>
        <v>0.60545788359314801</v>
      </c>
      <c r="R6">
        <f t="shared" si="1"/>
        <v>0.59888840481499961</v>
      </c>
      <c r="S6">
        <f t="shared" si="1"/>
        <v>0.59207273980781894</v>
      </c>
      <c r="T6">
        <f t="shared" si="1"/>
        <v>0.59306493571767438</v>
      </c>
      <c r="U6">
        <f t="shared" si="1"/>
        <v>0.57873292003801391</v>
      </c>
      <c r="V6">
        <f t="shared" si="1"/>
        <v>0.57145293696316879</v>
      </c>
      <c r="W6">
        <f t="shared" si="1"/>
        <v>0.57013127849806744</v>
      </c>
    </row>
    <row r="7" spans="1:23">
      <c r="A7" t="s">
        <v>385</v>
      </c>
      <c r="G7">
        <f t="shared" ref="G7:W7" si="2">G26/G5</f>
        <v>2.4889853024257038E-3</v>
      </c>
      <c r="H7">
        <f t="shared" si="2"/>
        <v>1.7723754160133987E-2</v>
      </c>
      <c r="I7">
        <f t="shared" si="2"/>
        <v>3.565568871168695E-2</v>
      </c>
      <c r="J7">
        <f t="shared" si="2"/>
        <v>6.7312312009693592E-2</v>
      </c>
      <c r="K7">
        <f t="shared" si="2"/>
        <v>9.8134852253269747E-2</v>
      </c>
      <c r="L7">
        <f t="shared" si="2"/>
        <v>0.12483183598127588</v>
      </c>
      <c r="M7">
        <f t="shared" si="2"/>
        <v>0.16864350958871868</v>
      </c>
      <c r="N7">
        <f t="shared" si="2"/>
        <v>0.1828734540990084</v>
      </c>
      <c r="O7">
        <f t="shared" si="2"/>
        <v>0.21270663972486129</v>
      </c>
      <c r="P7">
        <f t="shared" si="2"/>
        <v>0.23900535561098543</v>
      </c>
      <c r="Q7">
        <f t="shared" si="2"/>
        <v>0.2565975813150107</v>
      </c>
      <c r="R7">
        <f t="shared" si="2"/>
        <v>0.26788898777599185</v>
      </c>
      <c r="S7">
        <f t="shared" si="2"/>
        <v>0.28006663173422769</v>
      </c>
      <c r="T7">
        <f t="shared" si="2"/>
        <v>0.2854031162541677</v>
      </c>
      <c r="U7">
        <f t="shared" si="2"/>
        <v>0.30440373892624512</v>
      </c>
      <c r="V7">
        <f t="shared" si="2"/>
        <v>0.31741337843980894</v>
      </c>
      <c r="W7">
        <f t="shared" si="2"/>
        <v>0.33369031409444461</v>
      </c>
    </row>
    <row r="8" spans="1:23">
      <c r="A8" t="s">
        <v>386</v>
      </c>
      <c r="E8">
        <f t="shared" ref="E8:V8" si="3">E4/E5</f>
        <v>0</v>
      </c>
      <c r="F8">
        <f t="shared" si="3"/>
        <v>7.2300580775157053E-2</v>
      </c>
      <c r="G8">
        <f t="shared" si="3"/>
        <v>0.17248928097236915</v>
      </c>
      <c r="H8">
        <f t="shared" si="3"/>
        <v>0.21619926189709876</v>
      </c>
      <c r="I8">
        <f t="shared" si="3"/>
        <v>0.24156234697684359</v>
      </c>
      <c r="J8">
        <f t="shared" si="3"/>
        <v>0.28027821392861801</v>
      </c>
      <c r="K8">
        <f t="shared" si="3"/>
        <v>0.30461079410424469</v>
      </c>
      <c r="L8">
        <f t="shared" si="3"/>
        <v>0.32350371547364826</v>
      </c>
      <c r="M8">
        <f t="shared" si="3"/>
        <v>0.35571860654363696</v>
      </c>
      <c r="N8">
        <f t="shared" si="3"/>
        <v>0.35763854889387275</v>
      </c>
      <c r="O8">
        <f t="shared" si="3"/>
        <v>0.37519478069743795</v>
      </c>
      <c r="P8">
        <f t="shared" si="3"/>
        <v>0.3845228915317257</v>
      </c>
      <c r="Q8">
        <f t="shared" si="3"/>
        <v>0.39454211640685194</v>
      </c>
      <c r="R8">
        <f t="shared" si="3"/>
        <v>0.40111159518500045</v>
      </c>
      <c r="S8">
        <f t="shared" si="3"/>
        <v>0.40792726019218112</v>
      </c>
      <c r="T8">
        <f t="shared" si="3"/>
        <v>0.40693506428232562</v>
      </c>
      <c r="U8">
        <f t="shared" si="3"/>
        <v>0.42126707996198604</v>
      </c>
      <c r="V8">
        <f t="shared" si="3"/>
        <v>0.42854706303683116</v>
      </c>
      <c r="W8">
        <f>W4/W5</f>
        <v>0.4298687215019325</v>
      </c>
    </row>
    <row r="10" spans="1:23">
      <c r="B10">
        <v>1984</v>
      </c>
      <c r="C10">
        <v>1988</v>
      </c>
      <c r="D10">
        <v>1992</v>
      </c>
      <c r="E10">
        <v>1996</v>
      </c>
      <c r="F10">
        <v>2000</v>
      </c>
      <c r="G10">
        <v>2004</v>
      </c>
      <c r="H10">
        <v>2008</v>
      </c>
      <c r="I10">
        <v>2010</v>
      </c>
      <c r="J10">
        <v>2011</v>
      </c>
      <c r="K10">
        <v>2012</v>
      </c>
      <c r="L10">
        <v>2013</v>
      </c>
      <c r="M10">
        <v>2014</v>
      </c>
      <c r="N10">
        <v>2015</v>
      </c>
      <c r="O10">
        <v>2016</v>
      </c>
      <c r="P10">
        <v>2017</v>
      </c>
      <c r="Q10">
        <v>2018</v>
      </c>
      <c r="R10">
        <v>2019</v>
      </c>
      <c r="S10">
        <v>2020</v>
      </c>
      <c r="T10">
        <v>2021</v>
      </c>
      <c r="U10">
        <v>2022</v>
      </c>
      <c r="V10">
        <v>2023</v>
      </c>
      <c r="W10">
        <v>2024</v>
      </c>
    </row>
    <row r="11" spans="1:23">
      <c r="A11" t="s">
        <v>387</v>
      </c>
      <c r="B11">
        <f t="shared" ref="B11" si="4">B6*(B15)</f>
        <v>8843.9699999999993</v>
      </c>
      <c r="E11">
        <v>7580</v>
      </c>
      <c r="F11">
        <v>7917</v>
      </c>
      <c r="G11">
        <v>8900</v>
      </c>
      <c r="H11">
        <v>11046</v>
      </c>
      <c r="I11">
        <v>11156</v>
      </c>
      <c r="J11">
        <v>11397</v>
      </c>
      <c r="K11">
        <v>11529</v>
      </c>
      <c r="L11">
        <v>11517.35</v>
      </c>
      <c r="M11">
        <v>11324.05</v>
      </c>
      <c r="N11">
        <v>11269.209000000001</v>
      </c>
      <c r="O11">
        <v>11089.627</v>
      </c>
      <c r="P11">
        <v>10899.039000000001</v>
      </c>
      <c r="Q11">
        <v>10820</v>
      </c>
      <c r="R11">
        <v>10552.48</v>
      </c>
      <c r="S11">
        <v>10230.569</v>
      </c>
      <c r="T11">
        <v>9939.3040000000001</v>
      </c>
      <c r="U11">
        <v>9650.7800000000007</v>
      </c>
      <c r="V11">
        <v>9398</v>
      </c>
      <c r="W11">
        <v>9050.6790000000001</v>
      </c>
    </row>
    <row r="12" spans="1:23">
      <c r="A12" t="s">
        <v>72</v>
      </c>
      <c r="B12">
        <v>716.3</v>
      </c>
      <c r="C12">
        <v>1242.9000000000001</v>
      </c>
      <c r="D12">
        <v>1651.4</v>
      </c>
      <c r="E12">
        <v>2677.4</v>
      </c>
      <c r="F12">
        <v>4219</v>
      </c>
      <c r="G12">
        <v>5039</v>
      </c>
      <c r="H12">
        <v>6954</v>
      </c>
      <c r="I12">
        <v>8130</v>
      </c>
      <c r="J12">
        <v>8459</v>
      </c>
      <c r="K12">
        <v>8561</v>
      </c>
      <c r="L12">
        <v>8794</v>
      </c>
      <c r="M12">
        <v>8942</v>
      </c>
      <c r="N12">
        <v>8936</v>
      </c>
      <c r="O12">
        <v>8779</v>
      </c>
      <c r="P12">
        <v>8581</v>
      </c>
      <c r="Q12">
        <v>8424</v>
      </c>
      <c r="R12">
        <v>8364</v>
      </c>
      <c r="S12">
        <v>8094</v>
      </c>
      <c r="T12">
        <v>7800</v>
      </c>
      <c r="U12">
        <v>7421.49</v>
      </c>
      <c r="V12">
        <v>7023.97</v>
      </c>
      <c r="W12">
        <v>6443.8580000000002</v>
      </c>
    </row>
    <row r="13" spans="1:23">
      <c r="A13" t="s">
        <v>73</v>
      </c>
      <c r="G13">
        <v>57.6</v>
      </c>
      <c r="H13">
        <v>230.7</v>
      </c>
      <c r="I13">
        <v>415.8</v>
      </c>
      <c r="J13">
        <v>706.7</v>
      </c>
      <c r="K13">
        <v>1070.4000000000001</v>
      </c>
      <c r="L13">
        <v>1451.1</v>
      </c>
      <c r="M13">
        <v>1969.2</v>
      </c>
      <c r="N13">
        <v>2231.3000000000002</v>
      </c>
      <c r="O13">
        <v>2507.9</v>
      </c>
      <c r="P13">
        <v>2633.4</v>
      </c>
      <c r="Q13">
        <v>2820.2</v>
      </c>
      <c r="R13">
        <v>2959.9</v>
      </c>
      <c r="S13">
        <v>3087</v>
      </c>
      <c r="T13">
        <v>3196.6</v>
      </c>
      <c r="U13">
        <v>3341</v>
      </c>
      <c r="V13">
        <v>3499.9</v>
      </c>
      <c r="W13">
        <v>3602.2305000000001</v>
      </c>
    </row>
    <row r="14" spans="1:23">
      <c r="A14" t="s">
        <v>74</v>
      </c>
      <c r="G14">
        <f t="shared" ref="G14:U14" si="5">G13/G11</f>
        <v>6.4719101123595505E-3</v>
      </c>
      <c r="H14">
        <f t="shared" si="5"/>
        <v>2.088538837588267E-2</v>
      </c>
      <c r="I14">
        <f t="shared" si="5"/>
        <v>3.727142344926497E-2</v>
      </c>
      <c r="J14">
        <f t="shared" si="5"/>
        <v>6.2007545845397916E-2</v>
      </c>
      <c r="K14">
        <f t="shared" si="5"/>
        <v>9.284413218839449E-2</v>
      </c>
      <c r="L14">
        <f t="shared" si="5"/>
        <v>0.12599252432200114</v>
      </c>
      <c r="M14">
        <f t="shared" si="5"/>
        <v>0.17389538195256998</v>
      </c>
      <c r="N14">
        <f t="shared" si="5"/>
        <v>0.19799969989020524</v>
      </c>
      <c r="O14">
        <f t="shared" si="5"/>
        <v>0.22614827351722469</v>
      </c>
      <c r="P14">
        <f t="shared" si="5"/>
        <v>0.24161763252705123</v>
      </c>
      <c r="Q14">
        <f t="shared" si="5"/>
        <v>0.26064695009242145</v>
      </c>
      <c r="R14">
        <f t="shared" si="5"/>
        <v>0.28049330583900661</v>
      </c>
      <c r="S14">
        <f t="shared" si="5"/>
        <v>0.30174274764189557</v>
      </c>
      <c r="T14">
        <f t="shared" si="5"/>
        <v>0.32161205653836528</v>
      </c>
      <c r="U14">
        <f t="shared" si="5"/>
        <v>0.34618963441296968</v>
      </c>
      <c r="V14">
        <f>V13/V11</f>
        <v>0.37240902319642477</v>
      </c>
      <c r="W14">
        <f>W13/W11</f>
        <v>0.39800665784301931</v>
      </c>
    </row>
    <row r="15" spans="1:23">
      <c r="A15" t="s">
        <v>36</v>
      </c>
      <c r="B15">
        <v>8843.9699999999993</v>
      </c>
      <c r="C15">
        <v>9423.98</v>
      </c>
      <c r="D15">
        <v>9792.91</v>
      </c>
      <c r="E15">
        <v>10662.55</v>
      </c>
      <c r="F15">
        <v>11621.75</v>
      </c>
      <c r="G15">
        <v>12586.77</v>
      </c>
      <c r="H15">
        <v>12880</v>
      </c>
      <c r="I15">
        <v>13319.3</v>
      </c>
      <c r="J15">
        <v>13320.6</v>
      </c>
      <c r="K15">
        <v>13670.2</v>
      </c>
      <c r="L15">
        <v>13820</v>
      </c>
      <c r="M15">
        <v>13871.1</v>
      </c>
      <c r="N15">
        <v>13971.6</v>
      </c>
      <c r="O15">
        <v>14072.1</v>
      </c>
      <c r="P15">
        <v>14249</v>
      </c>
      <c r="Q15">
        <v>14428</v>
      </c>
      <c r="R15">
        <v>14609.4</v>
      </c>
      <c r="S15">
        <v>14793</v>
      </c>
      <c r="T15">
        <v>14978.9</v>
      </c>
      <c r="U15">
        <v>15167.2</v>
      </c>
      <c r="V15">
        <v>15357.8</v>
      </c>
      <c r="W15">
        <v>15454.4</v>
      </c>
    </row>
    <row r="16" spans="1:23">
      <c r="A16" t="s">
        <v>75</v>
      </c>
      <c r="B16">
        <f t="shared" ref="B16:V16" si="6">B5*1000/B11</f>
        <v>80.993038194385562</v>
      </c>
      <c r="C16" t="e">
        <f t="shared" si="6"/>
        <v>#DIV/0!</v>
      </c>
      <c r="D16" t="e">
        <f t="shared" si="6"/>
        <v>#DIV/0!</v>
      </c>
      <c r="E16">
        <f t="shared" si="6"/>
        <v>353.21899736147759</v>
      </c>
      <c r="F16">
        <f t="shared" si="6"/>
        <v>532.84072249589497</v>
      </c>
      <c r="G16">
        <f t="shared" si="6"/>
        <v>566.22505617977527</v>
      </c>
      <c r="H16">
        <f t="shared" si="6"/>
        <v>629.50407387289522</v>
      </c>
      <c r="I16">
        <f t="shared" si="6"/>
        <v>728.74659376120485</v>
      </c>
      <c r="J16">
        <f t="shared" si="6"/>
        <v>742.22181275774312</v>
      </c>
      <c r="K16">
        <f t="shared" si="6"/>
        <v>742.5451470205569</v>
      </c>
      <c r="L16">
        <f t="shared" si="6"/>
        <v>763.53492773945391</v>
      </c>
      <c r="M16">
        <f t="shared" si="6"/>
        <v>789.68187176849278</v>
      </c>
      <c r="N16">
        <f t="shared" si="6"/>
        <v>792.95689697475655</v>
      </c>
      <c r="O16">
        <f t="shared" si="6"/>
        <v>791.65007082744978</v>
      </c>
      <c r="P16">
        <f t="shared" si="6"/>
        <v>787.32620371392375</v>
      </c>
      <c r="Q16">
        <f t="shared" si="6"/>
        <v>778.59528650646951</v>
      </c>
      <c r="R16">
        <f t="shared" si="6"/>
        <v>792.62846269313002</v>
      </c>
      <c r="S16">
        <f t="shared" si="6"/>
        <v>791.69047195713154</v>
      </c>
      <c r="T16">
        <f t="shared" si="6"/>
        <v>788.69617027510174</v>
      </c>
      <c r="U16">
        <f t="shared" si="6"/>
        <v>769.00405977547928</v>
      </c>
      <c r="V16">
        <f t="shared" si="6"/>
        <v>747.39018940200037</v>
      </c>
      <c r="W16">
        <f>W5*1000/W11</f>
        <v>711.97509048768609</v>
      </c>
    </row>
    <row r="17" spans="1:23">
      <c r="A17" t="s">
        <v>388</v>
      </c>
      <c r="B17">
        <f t="shared" ref="B17" si="7">B11/B15</f>
        <v>1</v>
      </c>
      <c r="C17" t="e">
        <f>C16/12</f>
        <v>#DIV/0!</v>
      </c>
      <c r="D17" t="e">
        <f t="shared" ref="D17:W17" si="8">D16/12</f>
        <v>#DIV/0!</v>
      </c>
      <c r="E17">
        <f t="shared" si="8"/>
        <v>29.434916446789799</v>
      </c>
      <c r="F17">
        <f t="shared" si="8"/>
        <v>44.403393541324583</v>
      </c>
      <c r="G17">
        <f t="shared" si="8"/>
        <v>47.185421348314605</v>
      </c>
      <c r="H17">
        <f t="shared" si="8"/>
        <v>52.458672822741271</v>
      </c>
      <c r="I17">
        <f t="shared" si="8"/>
        <v>60.728882813433735</v>
      </c>
      <c r="J17">
        <f t="shared" si="8"/>
        <v>61.851817729811927</v>
      </c>
      <c r="K17">
        <f t="shared" si="8"/>
        <v>61.878762251713077</v>
      </c>
      <c r="L17">
        <f t="shared" si="8"/>
        <v>63.62791064495449</v>
      </c>
      <c r="M17">
        <f t="shared" si="8"/>
        <v>65.806822647374403</v>
      </c>
      <c r="N17">
        <f t="shared" si="8"/>
        <v>66.079741414563046</v>
      </c>
      <c r="O17">
        <f t="shared" si="8"/>
        <v>65.970839235620815</v>
      </c>
      <c r="P17">
        <f t="shared" si="8"/>
        <v>65.610516976160312</v>
      </c>
      <c r="Q17">
        <f t="shared" si="8"/>
        <v>64.882940542205787</v>
      </c>
      <c r="R17">
        <f t="shared" si="8"/>
        <v>66.052371891094168</v>
      </c>
      <c r="S17">
        <f t="shared" si="8"/>
        <v>65.974205996427628</v>
      </c>
      <c r="T17">
        <f t="shared" si="8"/>
        <v>65.724680856258473</v>
      </c>
      <c r="U17">
        <f t="shared" si="8"/>
        <v>64.083671647956606</v>
      </c>
      <c r="V17">
        <f t="shared" si="8"/>
        <v>62.282515783500031</v>
      </c>
      <c r="W17">
        <f t="shared" si="8"/>
        <v>59.331257540640507</v>
      </c>
    </row>
    <row r="18" spans="1:23">
      <c r="B18">
        <f>B15/1000</f>
        <v>8.8439699999999988</v>
      </c>
    </row>
    <row r="19" spans="1:23">
      <c r="A19" t="s">
        <v>1028</v>
      </c>
      <c r="C19">
        <f t="shared" ref="C19:W19" si="9">C11/C15</f>
        <v>0</v>
      </c>
      <c r="D19">
        <f t="shared" si="9"/>
        <v>0</v>
      </c>
      <c r="E19">
        <f t="shared" si="9"/>
        <v>0.71089936272280085</v>
      </c>
      <c r="F19">
        <f t="shared" si="9"/>
        <v>0.68122270742358082</v>
      </c>
      <c r="G19">
        <f t="shared" si="9"/>
        <v>0.70709165258441997</v>
      </c>
      <c r="H19">
        <f t="shared" si="9"/>
        <v>0.8576086956521739</v>
      </c>
      <c r="I19">
        <f t="shared" si="9"/>
        <v>0.83758155458620198</v>
      </c>
      <c r="J19">
        <f t="shared" si="9"/>
        <v>0.8555920904463763</v>
      </c>
      <c r="K19">
        <f t="shared" si="9"/>
        <v>0.84336732454536145</v>
      </c>
      <c r="L19">
        <f t="shared" si="9"/>
        <v>0.83338277858176557</v>
      </c>
      <c r="M19">
        <f t="shared" si="9"/>
        <v>0.81637721593817358</v>
      </c>
      <c r="N19">
        <f t="shared" si="9"/>
        <v>0.80657970454350258</v>
      </c>
      <c r="O19">
        <f t="shared" si="9"/>
        <v>0.78805771704294314</v>
      </c>
      <c r="P19">
        <f t="shared" si="9"/>
        <v>0.7648985191943295</v>
      </c>
      <c r="Q19">
        <f t="shared" si="9"/>
        <v>0.74993069032436932</v>
      </c>
      <c r="R19">
        <f t="shared" si="9"/>
        <v>0.72230755540953084</v>
      </c>
      <c r="S19">
        <f t="shared" si="9"/>
        <v>0.69158176164402074</v>
      </c>
      <c r="T19">
        <f t="shared" si="9"/>
        <v>0.66355366548945516</v>
      </c>
      <c r="U19">
        <f t="shared" si="9"/>
        <v>0.6362927897040983</v>
      </c>
      <c r="V19">
        <f t="shared" si="9"/>
        <v>0.61193660550339246</v>
      </c>
      <c r="W19">
        <f t="shared" si="9"/>
        <v>0.58563768247230563</v>
      </c>
    </row>
    <row r="21" spans="1:23">
      <c r="W21">
        <v>90.83</v>
      </c>
    </row>
    <row r="24" spans="1:23">
      <c r="B24">
        <v>1984</v>
      </c>
      <c r="C24">
        <v>1988</v>
      </c>
      <c r="D24">
        <v>1992</v>
      </c>
      <c r="E24">
        <v>1996</v>
      </c>
      <c r="F24">
        <v>2000</v>
      </c>
      <c r="G24">
        <v>2004</v>
      </c>
      <c r="H24">
        <v>2008</v>
      </c>
      <c r="I24">
        <v>2010</v>
      </c>
      <c r="J24">
        <v>2011</v>
      </c>
      <c r="K24">
        <v>2012</v>
      </c>
      <c r="L24">
        <v>2013</v>
      </c>
      <c r="M24">
        <v>2014</v>
      </c>
      <c r="N24">
        <v>2015</v>
      </c>
      <c r="O24">
        <v>2016</v>
      </c>
      <c r="P24">
        <v>2017</v>
      </c>
      <c r="Q24">
        <v>2018</v>
      </c>
      <c r="R24">
        <v>2019</v>
      </c>
      <c r="S24">
        <v>2020</v>
      </c>
      <c r="T24">
        <v>2021</v>
      </c>
      <c r="U24">
        <v>2022</v>
      </c>
      <c r="V24">
        <v>2023</v>
      </c>
      <c r="W24">
        <v>2024</v>
      </c>
    </row>
    <row r="25" spans="1:23">
      <c r="A25" t="s">
        <v>249</v>
      </c>
      <c r="B25">
        <v>716.3</v>
      </c>
      <c r="C25">
        <v>1242.9000000000001</v>
      </c>
      <c r="D25">
        <v>1651.4</v>
      </c>
      <c r="E25">
        <v>2677.4</v>
      </c>
      <c r="F25">
        <v>3913.5</v>
      </c>
      <c r="G25">
        <v>4170.16</v>
      </c>
      <c r="H25">
        <v>5450.16</v>
      </c>
      <c r="I25">
        <v>6166.02</v>
      </c>
      <c r="J25">
        <v>6088.2</v>
      </c>
      <c r="K25">
        <v>5953.09</v>
      </c>
      <c r="L25">
        <v>5949.04</v>
      </c>
      <c r="M25">
        <v>5761.42</v>
      </c>
      <c r="N25">
        <v>5740.14</v>
      </c>
      <c r="O25">
        <v>5485.23</v>
      </c>
      <c r="P25">
        <v>5281.47</v>
      </c>
      <c r="Q25">
        <v>5100.62</v>
      </c>
      <c r="R25">
        <v>5009.22</v>
      </c>
      <c r="S25">
        <v>4795.46</v>
      </c>
      <c r="T25">
        <v>4649.09</v>
      </c>
      <c r="U25">
        <v>4295.0600000000004</v>
      </c>
      <c r="V25">
        <v>4013.87</v>
      </c>
      <c r="W25">
        <v>3673.8450000000003</v>
      </c>
    </row>
    <row r="26" spans="1:23">
      <c r="A26" t="s">
        <v>389</v>
      </c>
      <c r="G26">
        <v>12.542999999999999</v>
      </c>
      <c r="H26">
        <v>123.24216</v>
      </c>
      <c r="I26">
        <v>289.87707669007762</v>
      </c>
      <c r="J26">
        <v>569.40171314582301</v>
      </c>
      <c r="K26">
        <v>840.11313757434846</v>
      </c>
      <c r="L26">
        <v>1097.758557603906</v>
      </c>
      <c r="M26">
        <v>1508.0772142156293</v>
      </c>
      <c r="N26">
        <v>1634.1566372083767</v>
      </c>
      <c r="O26">
        <v>1867.3737116350885</v>
      </c>
      <c r="P26">
        <v>2050.9286180280715</v>
      </c>
      <c r="Q26">
        <v>2161.6809206277576</v>
      </c>
      <c r="R26">
        <v>2240.6759999999999</v>
      </c>
      <c r="S26">
        <v>2268.384</v>
      </c>
      <c r="T26">
        <v>2237.3009999999999</v>
      </c>
      <c r="U26">
        <v>2259.1289999999999</v>
      </c>
      <c r="V26">
        <v>2229.5030000000002</v>
      </c>
      <c r="W26">
        <v>2150.2529999999997</v>
      </c>
    </row>
    <row r="27" spans="1:23">
      <c r="A27" t="s">
        <v>390</v>
      </c>
      <c r="F27">
        <v>305</v>
      </c>
      <c r="G27">
        <v>856.7</v>
      </c>
      <c r="H27">
        <v>1380.1</v>
      </c>
      <c r="I27">
        <v>1674</v>
      </c>
      <c r="J27">
        <v>1801.5</v>
      </c>
      <c r="K27">
        <v>1767.6</v>
      </c>
      <c r="L27">
        <v>1747.1</v>
      </c>
      <c r="M27">
        <v>1672.9</v>
      </c>
      <c r="N27">
        <v>1561.7</v>
      </c>
      <c r="O27">
        <v>1426.5</v>
      </c>
      <c r="P27">
        <v>1248.7</v>
      </c>
      <c r="Q27">
        <v>1162.0999999999999</v>
      </c>
      <c r="R27">
        <v>1114.3</v>
      </c>
      <c r="S27">
        <v>1035.5999999999999</v>
      </c>
      <c r="T27">
        <v>952.7</v>
      </c>
      <c r="U27">
        <v>867.3</v>
      </c>
      <c r="V27">
        <v>780.6</v>
      </c>
      <c r="W27">
        <v>619.76</v>
      </c>
    </row>
    <row r="28" spans="1:23">
      <c r="A28" t="s">
        <v>250</v>
      </c>
      <c r="F28">
        <f t="shared" ref="F28:W28" si="10">SUM(F26:F27)</f>
        <v>305</v>
      </c>
      <c r="G28">
        <f t="shared" si="10"/>
        <v>869.24300000000005</v>
      </c>
      <c r="H28">
        <f t="shared" si="10"/>
        <v>1503.3421599999999</v>
      </c>
      <c r="I28">
        <f t="shared" si="10"/>
        <v>1963.8770766900775</v>
      </c>
      <c r="J28">
        <f t="shared" si="10"/>
        <v>2370.9017131458231</v>
      </c>
      <c r="K28">
        <f t="shared" si="10"/>
        <v>2607.7131375743484</v>
      </c>
      <c r="L28">
        <f t="shared" si="10"/>
        <v>2844.8585576039059</v>
      </c>
      <c r="M28">
        <f t="shared" si="10"/>
        <v>3180.9772142156294</v>
      </c>
      <c r="N28">
        <f t="shared" si="10"/>
        <v>3195.8566372083769</v>
      </c>
      <c r="O28">
        <f t="shared" si="10"/>
        <v>3293.8737116350885</v>
      </c>
      <c r="P28">
        <f t="shared" si="10"/>
        <v>3299.6286180280713</v>
      </c>
      <c r="Q28">
        <f t="shared" si="10"/>
        <v>3323.7809206277575</v>
      </c>
      <c r="R28">
        <f t="shared" si="10"/>
        <v>3354.9759999999997</v>
      </c>
      <c r="S28">
        <f t="shared" si="10"/>
        <v>3303.9839999999999</v>
      </c>
      <c r="T28">
        <f t="shared" si="10"/>
        <v>3190.0010000000002</v>
      </c>
      <c r="U28">
        <f t="shared" si="10"/>
        <v>3126.4290000000001</v>
      </c>
      <c r="V28">
        <f t="shared" si="10"/>
        <v>3010.1030000000001</v>
      </c>
      <c r="W28">
        <f t="shared" si="10"/>
        <v>2770.0129999999999</v>
      </c>
    </row>
    <row r="29" spans="1:23">
      <c r="A29" t="s">
        <v>383</v>
      </c>
      <c r="B29">
        <f t="shared" ref="B29:V29" si="11">B25+B28</f>
        <v>716.3</v>
      </c>
      <c r="C29">
        <f t="shared" si="11"/>
        <v>1242.9000000000001</v>
      </c>
      <c r="D29">
        <f t="shared" si="11"/>
        <v>1651.4</v>
      </c>
      <c r="E29">
        <f t="shared" si="11"/>
        <v>2677.4</v>
      </c>
      <c r="F29">
        <f t="shared" si="11"/>
        <v>4218.5</v>
      </c>
      <c r="G29">
        <f t="shared" si="11"/>
        <v>5039.4030000000002</v>
      </c>
      <c r="H29">
        <f t="shared" si="11"/>
        <v>6953.50216</v>
      </c>
      <c r="I29">
        <f t="shared" si="11"/>
        <v>8129.8970766900784</v>
      </c>
      <c r="J29">
        <f t="shared" si="11"/>
        <v>8459.1017131458229</v>
      </c>
      <c r="K29">
        <f t="shared" si="11"/>
        <v>8560.8031375743485</v>
      </c>
      <c r="L29">
        <f t="shared" si="11"/>
        <v>8793.8985576039049</v>
      </c>
      <c r="M29">
        <f t="shared" si="11"/>
        <v>8942.397214215629</v>
      </c>
      <c r="N29">
        <f t="shared" si="11"/>
        <v>8935.9966372083763</v>
      </c>
      <c r="O29">
        <f t="shared" si="11"/>
        <v>8779.103711635089</v>
      </c>
      <c r="P29">
        <f t="shared" si="11"/>
        <v>8581.0986180280706</v>
      </c>
      <c r="Q29">
        <f t="shared" si="11"/>
        <v>8424.4009206277569</v>
      </c>
      <c r="R29">
        <f t="shared" si="11"/>
        <v>8364.1959999999999</v>
      </c>
      <c r="S29">
        <f t="shared" si="11"/>
        <v>8099.4439999999995</v>
      </c>
      <c r="T29">
        <f t="shared" si="11"/>
        <v>7839.0910000000003</v>
      </c>
      <c r="U29">
        <f t="shared" si="11"/>
        <v>7421.4890000000005</v>
      </c>
      <c r="V29">
        <f t="shared" si="11"/>
        <v>7023.973</v>
      </c>
      <c r="W29">
        <f>W25+W28</f>
        <v>6443.8580000000002</v>
      </c>
    </row>
    <row r="31" spans="1:23">
      <c r="G31">
        <f t="shared" ref="G31:V31" si="12">G13/G11</f>
        <v>6.4719101123595505E-3</v>
      </c>
      <c r="H31">
        <f t="shared" si="12"/>
        <v>2.088538837588267E-2</v>
      </c>
      <c r="I31">
        <f t="shared" si="12"/>
        <v>3.727142344926497E-2</v>
      </c>
      <c r="J31">
        <f t="shared" si="12"/>
        <v>6.2007545845397916E-2</v>
      </c>
      <c r="K31">
        <f t="shared" si="12"/>
        <v>9.284413218839449E-2</v>
      </c>
      <c r="L31">
        <f t="shared" si="12"/>
        <v>0.12599252432200114</v>
      </c>
      <c r="M31">
        <f t="shared" si="12"/>
        <v>0.17389538195256998</v>
      </c>
      <c r="N31">
        <f t="shared" si="12"/>
        <v>0.19799969989020524</v>
      </c>
      <c r="O31">
        <f t="shared" si="12"/>
        <v>0.22614827351722469</v>
      </c>
      <c r="P31">
        <f t="shared" si="12"/>
        <v>0.24161763252705123</v>
      </c>
      <c r="Q31">
        <f t="shared" si="12"/>
        <v>0.26064695009242145</v>
      </c>
      <c r="R31">
        <f t="shared" si="12"/>
        <v>0.28049330583900661</v>
      </c>
      <c r="S31">
        <f t="shared" si="12"/>
        <v>0.30174274764189557</v>
      </c>
      <c r="T31">
        <f t="shared" si="12"/>
        <v>0.32161205653836528</v>
      </c>
      <c r="U31">
        <f t="shared" si="12"/>
        <v>0.34618963441296968</v>
      </c>
      <c r="V31">
        <f t="shared" si="12"/>
        <v>0.37240902319642477</v>
      </c>
      <c r="W31">
        <f>W13/W11</f>
        <v>0.39800665784301931</v>
      </c>
    </row>
  </sheetData>
  <mergeCells count="1">
    <mergeCell ref="A1:I1"/>
  </mergeCells>
  <conditionalFormatting sqref="F32:H32 B32:D32">
    <cfRule type="cellIs" dxfId="10" priority="2" operator="equal">
      <formula>0</formula>
    </cfRule>
  </conditionalFormatting>
  <conditionalFormatting sqref="H32">
    <cfRule type="cellIs" dxfId="9" priority="1" operator="equal">
      <formula>0</formula>
    </cfRule>
  </conditionalFormatting>
  <pageMargins left="0.7" right="0.7" top="0.75" bottom="0.75" header="0.3" footer="0.3"/>
  <pageSetup orientation="portrait" horizontalDpi="0" verticalDpi="0"/>
  <ignoredErrors>
    <ignoredError sqref="F28 B5:W5" formulaRange="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22301B-56FE-EC4A-8801-C60021A9C4F1}">
  <dimension ref="A1:N41"/>
  <sheetViews>
    <sheetView zoomScale="130" zoomScaleNormal="130" workbookViewId="0">
      <pane xSplit="1" ySplit="2" topLeftCell="B4" activePane="bottomRight" state="frozen"/>
      <selection pane="topRight" activeCell="B1" sqref="B1"/>
      <selection pane="bottomLeft" activeCell="A3" sqref="A3"/>
      <selection pane="bottomRight" activeCell="D9" sqref="D9"/>
    </sheetView>
  </sheetViews>
  <sheetFormatPr baseColWidth="10" defaultColWidth="11" defaultRowHeight="16"/>
  <cols>
    <col min="1" max="1" width="28.6640625" customWidth="1"/>
    <col min="16" max="16" width="26.5" customWidth="1"/>
  </cols>
  <sheetData>
    <row r="1" spans="1:14" ht="17" customHeight="1">
      <c r="A1" s="627" t="s">
        <v>1052</v>
      </c>
      <c r="B1" s="627"/>
      <c r="C1" s="627"/>
      <c r="D1" s="627"/>
      <c r="E1" s="627"/>
      <c r="F1" s="627"/>
      <c r="G1" s="627"/>
      <c r="H1" s="627"/>
      <c r="I1" s="627"/>
      <c r="J1" s="627"/>
      <c r="K1" s="627"/>
    </row>
    <row r="2" spans="1:14">
      <c r="B2">
        <v>1992</v>
      </c>
      <c r="C2">
        <v>1996</v>
      </c>
      <c r="D2">
        <v>2000</v>
      </c>
      <c r="E2">
        <v>2004</v>
      </c>
      <c r="F2">
        <v>2008</v>
      </c>
      <c r="G2">
        <v>2010</v>
      </c>
      <c r="H2">
        <v>2012</v>
      </c>
      <c r="I2">
        <v>2014</v>
      </c>
      <c r="J2">
        <v>2016</v>
      </c>
      <c r="K2">
        <v>2018</v>
      </c>
      <c r="L2">
        <v>2020</v>
      </c>
      <c r="M2">
        <v>2022</v>
      </c>
      <c r="N2">
        <v>2024</v>
      </c>
    </row>
    <row r="3" spans="1:14">
      <c r="A3" t="s">
        <v>400</v>
      </c>
      <c r="B3">
        <v>1</v>
      </c>
      <c r="C3">
        <v>1</v>
      </c>
      <c r="D3">
        <v>0.927699419224843</v>
      </c>
      <c r="E3">
        <v>0.82751121165218089</v>
      </c>
      <c r="F3">
        <v>0.78380096354353923</v>
      </c>
      <c r="G3">
        <v>0.75843737315342141</v>
      </c>
      <c r="H3">
        <v>0.69538944958415105</v>
      </c>
      <c r="I3">
        <v>0.64428117731257828</v>
      </c>
      <c r="J3">
        <v>0.62480550398104584</v>
      </c>
      <c r="K3">
        <v>0.60545795546270353</v>
      </c>
      <c r="L3">
        <v>0.59207303220963425</v>
      </c>
      <c r="M3">
        <v>0.57873284205732278</v>
      </c>
      <c r="N3">
        <v>0.54718772511746838</v>
      </c>
    </row>
    <row r="4" spans="1:14">
      <c r="A4" t="s">
        <v>401</v>
      </c>
      <c r="B4">
        <v>0</v>
      </c>
      <c r="C4">
        <v>0</v>
      </c>
      <c r="D4">
        <v>7.2300580775157053E-2</v>
      </c>
      <c r="E4">
        <v>0.17248085089494783</v>
      </c>
      <c r="F4">
        <v>0.21619328395771914</v>
      </c>
      <c r="G4">
        <v>0.24156508690143794</v>
      </c>
      <c r="H4">
        <v>0.30460938230071954</v>
      </c>
      <c r="I4">
        <v>0.35572105922347469</v>
      </c>
      <c r="J4">
        <v>0.37519791322572926</v>
      </c>
      <c r="K4">
        <v>0.39454441859360906</v>
      </c>
      <c r="L4">
        <v>0.40792943709688573</v>
      </c>
      <c r="M4">
        <v>0.42126311562772439</v>
      </c>
      <c r="N4">
        <v>0.43863474334785152</v>
      </c>
    </row>
    <row r="5" spans="1:14" ht="24" customHeight="1">
      <c r="A5" t="s">
        <v>402</v>
      </c>
      <c r="B5">
        <f t="shared" ref="B5:N5" si="0">SUMSQ(B3,B4)*10000</f>
        <v>10000</v>
      </c>
      <c r="C5">
        <f t="shared" si="0"/>
        <v>10000</v>
      </c>
      <c r="D5">
        <f t="shared" si="0"/>
        <v>8658.5358641053608</v>
      </c>
      <c r="E5">
        <f t="shared" si="0"/>
        <v>7145.2444933550578</v>
      </c>
      <c r="F5">
        <f t="shared" si="0"/>
        <v>6610.8348648020346</v>
      </c>
      <c r="G5">
        <f t="shared" si="0"/>
        <v>6335.8094020556146</v>
      </c>
      <c r="H5">
        <f t="shared" si="0"/>
        <v>5763.5336237857446</v>
      </c>
      <c r="I5">
        <f t="shared" si="0"/>
        <v>5416.3570741435278</v>
      </c>
      <c r="J5">
        <f t="shared" si="0"/>
        <v>5311.5539189395058</v>
      </c>
      <c r="K5">
        <f t="shared" si="0"/>
        <v>5222.4463407644616</v>
      </c>
      <c r="L5">
        <f t="shared" si="0"/>
        <v>5169.5690112009261</v>
      </c>
      <c r="M5">
        <f t="shared" si="0"/>
        <v>5123.9431506412357</v>
      </c>
      <c r="N5">
        <f t="shared" si="0"/>
        <v>4918.1484459106568</v>
      </c>
    </row>
    <row r="35" spans="1:14">
      <c r="B35">
        <v>1992</v>
      </c>
      <c r="C35">
        <v>1996</v>
      </c>
      <c r="D35">
        <v>2000</v>
      </c>
      <c r="E35">
        <v>2004</v>
      </c>
      <c r="F35">
        <v>2008</v>
      </c>
      <c r="G35">
        <v>2010</v>
      </c>
      <c r="H35">
        <v>2012</v>
      </c>
      <c r="I35">
        <v>2014</v>
      </c>
      <c r="J35">
        <v>2016</v>
      </c>
      <c r="K35">
        <v>2018</v>
      </c>
      <c r="L35">
        <v>2020</v>
      </c>
      <c r="M35">
        <v>2022</v>
      </c>
      <c r="N35">
        <v>2024</v>
      </c>
    </row>
    <row r="36" spans="1:14">
      <c r="A36" t="s">
        <v>249</v>
      </c>
      <c r="B36">
        <v>1651.4</v>
      </c>
      <c r="C36">
        <v>2677.4</v>
      </c>
      <c r="D36">
        <v>3913.5</v>
      </c>
      <c r="E36">
        <v>4170.16</v>
      </c>
      <c r="F36">
        <v>5450.16</v>
      </c>
      <c r="G36">
        <v>6166.02</v>
      </c>
      <c r="H36">
        <v>5953.09</v>
      </c>
      <c r="I36">
        <v>5761.42</v>
      </c>
      <c r="J36">
        <v>5485.23</v>
      </c>
      <c r="K36">
        <v>5100.62</v>
      </c>
      <c r="L36">
        <v>4795.46</v>
      </c>
      <c r="M36">
        <v>4295.0600000000004</v>
      </c>
      <c r="N36">
        <v>3526</v>
      </c>
    </row>
    <row r="37" spans="1:14">
      <c r="A37" t="s">
        <v>250</v>
      </c>
      <c r="D37">
        <v>305</v>
      </c>
      <c r="E37">
        <v>869.2</v>
      </c>
      <c r="F37">
        <v>1503.3</v>
      </c>
      <c r="G37">
        <v>1963.9</v>
      </c>
      <c r="H37">
        <v>2607.6999999999998</v>
      </c>
      <c r="I37">
        <v>3181</v>
      </c>
      <c r="J37">
        <v>3293.9</v>
      </c>
      <c r="K37">
        <v>3323.8</v>
      </c>
      <c r="L37">
        <v>3304</v>
      </c>
      <c r="M37">
        <v>3126.4</v>
      </c>
      <c r="N37">
        <v>2826.5</v>
      </c>
    </row>
    <row r="38" spans="1:14">
      <c r="A38" t="s">
        <v>383</v>
      </c>
      <c r="B38">
        <v>1651.4</v>
      </c>
      <c r="C38">
        <v>2677.4</v>
      </c>
      <c r="D38">
        <v>4218.5</v>
      </c>
      <c r="E38">
        <v>5039.3999999999996</v>
      </c>
      <c r="F38">
        <v>6953.5</v>
      </c>
      <c r="G38">
        <v>8129.9</v>
      </c>
      <c r="H38">
        <v>8560.7999999999993</v>
      </c>
      <c r="I38">
        <v>8942.4</v>
      </c>
      <c r="J38">
        <v>8779.1</v>
      </c>
      <c r="K38">
        <v>8424.4</v>
      </c>
      <c r="L38">
        <v>8099.44</v>
      </c>
      <c r="M38">
        <v>7421.49</v>
      </c>
      <c r="N38">
        <v>6443.8580000000002</v>
      </c>
    </row>
    <row r="40" spans="1:14">
      <c r="B40">
        <f>B36/B38</f>
        <v>1</v>
      </c>
      <c r="C40">
        <f t="shared" ref="C40:N40" si="1">C36/C38</f>
        <v>1</v>
      </c>
      <c r="D40">
        <f t="shared" si="1"/>
        <v>0.927699419224843</v>
      </c>
      <c r="E40">
        <f t="shared" si="1"/>
        <v>0.82751121165218089</v>
      </c>
      <c r="F40">
        <f t="shared" si="1"/>
        <v>0.78380096354353923</v>
      </c>
      <c r="G40">
        <f t="shared" si="1"/>
        <v>0.75843737315342141</v>
      </c>
      <c r="H40">
        <f t="shared" si="1"/>
        <v>0.69538944958415105</v>
      </c>
      <c r="I40">
        <f t="shared" si="1"/>
        <v>0.64428117731257828</v>
      </c>
      <c r="J40">
        <f t="shared" si="1"/>
        <v>0.62480550398104584</v>
      </c>
      <c r="K40">
        <f t="shared" si="1"/>
        <v>0.60545795546270353</v>
      </c>
      <c r="L40">
        <f t="shared" si="1"/>
        <v>0.59207303220963425</v>
      </c>
      <c r="M40">
        <f t="shared" si="1"/>
        <v>0.57873284205732278</v>
      </c>
      <c r="N40">
        <f t="shared" si="1"/>
        <v>0.54718772511746838</v>
      </c>
    </row>
    <row r="41" spans="1:14">
      <c r="B41">
        <f>B37/B38</f>
        <v>0</v>
      </c>
      <c r="C41">
        <f t="shared" ref="C41:N41" si="2">C37/C38</f>
        <v>0</v>
      </c>
      <c r="D41">
        <f t="shared" si="2"/>
        <v>7.2300580775157053E-2</v>
      </c>
      <c r="E41">
        <f t="shared" si="2"/>
        <v>0.17248085089494783</v>
      </c>
      <c r="F41">
        <f t="shared" si="2"/>
        <v>0.21619328395771914</v>
      </c>
      <c r="G41">
        <f t="shared" si="2"/>
        <v>0.24156508690143794</v>
      </c>
      <c r="H41">
        <f t="shared" si="2"/>
        <v>0.30460938230071954</v>
      </c>
      <c r="I41">
        <f t="shared" si="2"/>
        <v>0.35572105922347469</v>
      </c>
      <c r="J41">
        <f t="shared" si="2"/>
        <v>0.37519791322572926</v>
      </c>
      <c r="K41">
        <f t="shared" si="2"/>
        <v>0.39454441859360906</v>
      </c>
      <c r="L41">
        <f t="shared" si="2"/>
        <v>0.40792943709688573</v>
      </c>
      <c r="M41">
        <f t="shared" si="2"/>
        <v>0.42126311562772439</v>
      </c>
      <c r="N41">
        <f t="shared" si="2"/>
        <v>0.43863474334785152</v>
      </c>
    </row>
  </sheetData>
  <mergeCells count="1">
    <mergeCell ref="A1:K1"/>
  </mergeCells>
  <pageMargins left="0.75" right="0.75" top="1" bottom="1" header="0.5" footer="0.5"/>
  <pageSetup orientation="portrait" horizontalDpi="4294967292" verticalDpi="429496729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381E7C-ECD9-974C-9E7C-70ADF669516E}">
  <dimension ref="A1:C22"/>
  <sheetViews>
    <sheetView zoomScale="145" zoomScaleNormal="145" workbookViewId="0">
      <pane xSplit="1" ySplit="2" topLeftCell="B3" activePane="bottomRight" state="frozen"/>
      <selection pane="topRight" activeCell="B1" sqref="B1"/>
      <selection pane="bottomLeft" activeCell="A3" sqref="A3"/>
      <selection pane="bottomRight" activeCell="A23" sqref="A23"/>
    </sheetView>
  </sheetViews>
  <sheetFormatPr baseColWidth="10" defaultColWidth="11" defaultRowHeight="16"/>
  <cols>
    <col min="1" max="1" width="32.33203125" customWidth="1"/>
    <col min="2" max="2" width="16.33203125" customWidth="1"/>
    <col min="3" max="3" width="15.33203125" customWidth="1"/>
  </cols>
  <sheetData>
    <row r="1" spans="1:3" ht="16" customHeight="1">
      <c r="A1" s="627" t="s">
        <v>1053</v>
      </c>
      <c r="B1" s="627"/>
      <c r="C1" s="627"/>
    </row>
    <row r="2" spans="1:3">
      <c r="B2" t="s">
        <v>391</v>
      </c>
      <c r="C2" t="s">
        <v>392</v>
      </c>
    </row>
    <row r="3" spans="1:3">
      <c r="A3" t="s">
        <v>88</v>
      </c>
      <c r="B3">
        <v>0.29499999999999998</v>
      </c>
      <c r="C3">
        <v>0.29499999999999998</v>
      </c>
    </row>
    <row r="4" spans="1:3">
      <c r="A4" t="s">
        <v>89</v>
      </c>
      <c r="B4">
        <v>0.153</v>
      </c>
      <c r="C4">
        <v>0.33700000000000002</v>
      </c>
    </row>
    <row r="5" spans="1:3">
      <c r="A5" t="s">
        <v>168</v>
      </c>
      <c r="B5">
        <v>0.20499999999999999</v>
      </c>
    </row>
    <row r="6" spans="1:3">
      <c r="A6" t="s">
        <v>92</v>
      </c>
      <c r="B6">
        <v>0.108</v>
      </c>
      <c r="C6">
        <v>0.114</v>
      </c>
    </row>
    <row r="7" spans="1:3">
      <c r="A7" t="s">
        <v>90</v>
      </c>
      <c r="B7">
        <v>0.113</v>
      </c>
      <c r="C7">
        <v>0.12</v>
      </c>
    </row>
    <row r="8" spans="1:3">
      <c r="A8" t="s">
        <v>96</v>
      </c>
      <c r="B8">
        <v>6.4000000000000001E-2</v>
      </c>
      <c r="C8">
        <v>6.6000000000000003E-2</v>
      </c>
    </row>
    <row r="9" spans="1:3">
      <c r="A9" t="s">
        <v>100</v>
      </c>
      <c r="B9">
        <v>3.5999999999999997E-2</v>
      </c>
      <c r="C9">
        <v>3.5999999999999997E-2</v>
      </c>
    </row>
    <row r="10" spans="1:3">
      <c r="A10" t="s">
        <v>98</v>
      </c>
      <c r="B10">
        <v>1.2999999999999999E-2</v>
      </c>
      <c r="C10">
        <v>1.4E-2</v>
      </c>
    </row>
    <row r="11" spans="1:3">
      <c r="A11" t="s">
        <v>393</v>
      </c>
      <c r="B11">
        <v>5.0000000000000001E-3</v>
      </c>
      <c r="C11">
        <v>5.0000000000000001E-3</v>
      </c>
    </row>
    <row r="12" spans="1:3">
      <c r="A12" t="s">
        <v>121</v>
      </c>
      <c r="B12">
        <f>1-SUM(B3,B4,B5,B6,B7,B8,B9,B10,B11)</f>
        <v>8.0000000000000071E-3</v>
      </c>
      <c r="C12">
        <f>1-SUM(C3,C4,C5,C6,C7,C8,C9,C10,C11)</f>
        <v>1.3000000000000012E-2</v>
      </c>
    </row>
    <row r="14" spans="1:3">
      <c r="A14" t="s">
        <v>394</v>
      </c>
      <c r="B14">
        <v>0.153</v>
      </c>
    </row>
    <row r="15" spans="1:3">
      <c r="A15" t="s">
        <v>395</v>
      </c>
      <c r="B15">
        <v>0.33700000000000002</v>
      </c>
    </row>
    <row r="17" spans="1:2">
      <c r="A17" t="s">
        <v>396</v>
      </c>
      <c r="B17">
        <v>0.76100000000000001</v>
      </c>
    </row>
    <row r="18" spans="1:2">
      <c r="A18" t="s">
        <v>397</v>
      </c>
      <c r="B18">
        <v>0.86599999999999999</v>
      </c>
    </row>
    <row r="20" spans="1:2">
      <c r="A20" t="s">
        <v>398</v>
      </c>
      <c r="B20">
        <v>1824.8</v>
      </c>
    </row>
    <row r="21" spans="1:2">
      <c r="A21" t="s">
        <v>399</v>
      </c>
      <c r="B21">
        <v>2338.6</v>
      </c>
    </row>
    <row r="22" spans="1:2">
      <c r="B22">
        <f>B21-B20</f>
        <v>513.79999999999995</v>
      </c>
    </row>
  </sheetData>
  <mergeCells count="1">
    <mergeCell ref="A1:C1"/>
  </mergeCells>
  <pageMargins left="0.7" right="0.7" top="0.75" bottom="0.75" header="0.3" footer="0.3"/>
  <pageSetup orientation="portrait" horizontalDpi="0" verticalDpi="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6290D-A971-F747-BA83-2790A703E117}">
  <dimension ref="A1:X8"/>
  <sheetViews>
    <sheetView zoomScaleNormal="100" workbookViewId="0">
      <pane xSplit="1" ySplit="2" topLeftCell="B3" activePane="bottomRight" state="frozen"/>
      <selection pane="topRight" activeCell="B1" sqref="B1"/>
      <selection pane="bottomLeft" activeCell="A3" sqref="A3"/>
      <selection pane="bottomRight" activeCell="J19" sqref="J19"/>
    </sheetView>
  </sheetViews>
  <sheetFormatPr baseColWidth="10" defaultColWidth="11" defaultRowHeight="16"/>
  <sheetData>
    <row r="1" spans="1:24" ht="16.25" customHeight="1">
      <c r="A1" s="627" t="s">
        <v>1054</v>
      </c>
      <c r="B1" s="627"/>
      <c r="C1" s="627"/>
      <c r="D1" s="627"/>
      <c r="E1" s="627"/>
      <c r="F1" s="627"/>
      <c r="G1" s="627"/>
      <c r="H1" s="627"/>
      <c r="I1" s="627"/>
      <c r="J1" s="627"/>
      <c r="K1" s="627"/>
      <c r="L1" s="627"/>
      <c r="M1" s="627"/>
    </row>
    <row r="2" spans="1:24">
      <c r="B2">
        <v>2000</v>
      </c>
      <c r="C2">
        <v>2004</v>
      </c>
      <c r="D2">
        <v>2008</v>
      </c>
      <c r="E2">
        <v>2010</v>
      </c>
      <c r="F2">
        <v>2011</v>
      </c>
      <c r="G2">
        <v>2012</v>
      </c>
      <c r="H2">
        <v>2013</v>
      </c>
      <c r="I2">
        <v>2014</v>
      </c>
      <c r="J2">
        <v>2015</v>
      </c>
      <c r="K2">
        <v>2016</v>
      </c>
      <c r="L2">
        <v>2017</v>
      </c>
      <c r="M2">
        <v>2018</v>
      </c>
      <c r="N2">
        <v>2019</v>
      </c>
      <c r="O2">
        <v>2020</v>
      </c>
      <c r="P2">
        <v>2021</v>
      </c>
      <c r="Q2">
        <v>2022</v>
      </c>
      <c r="R2">
        <v>2023</v>
      </c>
      <c r="S2">
        <v>2024</v>
      </c>
    </row>
    <row r="3" spans="1:24">
      <c r="A3" t="s">
        <v>405</v>
      </c>
      <c r="B3">
        <v>39.700000000000003</v>
      </c>
      <c r="C3">
        <v>44</v>
      </c>
      <c r="D3">
        <v>41</v>
      </c>
      <c r="E3">
        <v>38.299999999999997</v>
      </c>
      <c r="F3">
        <v>37.6</v>
      </c>
      <c r="G3">
        <v>37.4</v>
      </c>
      <c r="H3">
        <v>37.718877215437402</v>
      </c>
      <c r="I3">
        <v>38.084879541898097</v>
      </c>
      <c r="J3">
        <v>38.142803676134243</v>
      </c>
      <c r="K3">
        <v>38.396878302577022</v>
      </c>
      <c r="L3">
        <v>38.496073585082755</v>
      </c>
      <c r="M3">
        <v>38.1</v>
      </c>
      <c r="N3">
        <v>38.799999999999997</v>
      </c>
      <c r="O3">
        <v>39.55810239814592</v>
      </c>
      <c r="P3">
        <v>40.40103590638374</v>
      </c>
      <c r="Q3">
        <v>42.862019571881824</v>
      </c>
      <c r="R3">
        <v>44.2</v>
      </c>
      <c r="S3">
        <v>44.8</v>
      </c>
    </row>
    <row r="4" spans="1:24">
      <c r="A4" t="s">
        <v>406</v>
      </c>
      <c r="B4">
        <v>23.5</v>
      </c>
      <c r="C4">
        <v>39.9</v>
      </c>
      <c r="D4">
        <v>51.1</v>
      </c>
      <c r="E4">
        <v>54.5</v>
      </c>
      <c r="F4">
        <v>54.8</v>
      </c>
      <c r="G4">
        <v>54</v>
      </c>
      <c r="H4">
        <v>52.734965246297975</v>
      </c>
      <c r="I4">
        <v>51.191684005984207</v>
      </c>
      <c r="J4">
        <v>49.814945731276254</v>
      </c>
      <c r="K4">
        <v>49.021217787171778</v>
      </c>
      <c r="L4">
        <v>48.495917154209558</v>
      </c>
      <c r="M4">
        <v>47.4</v>
      </c>
      <c r="N4">
        <v>46.1</v>
      </c>
      <c r="O4">
        <v>45.347851278210364</v>
      </c>
      <c r="P4">
        <v>44.877827619132674</v>
      </c>
      <c r="Q4">
        <v>44.938352588388064</v>
      </c>
      <c r="R4">
        <v>44</v>
      </c>
      <c r="S4">
        <v>44</v>
      </c>
    </row>
    <row r="5" spans="1:24">
      <c r="A5" t="s">
        <v>407</v>
      </c>
      <c r="B5">
        <f>B3+B4</f>
        <v>63.2</v>
      </c>
      <c r="C5">
        <f t="shared" ref="C5:S5" si="0">C3+C4</f>
        <v>83.9</v>
      </c>
      <c r="D5">
        <f t="shared" si="0"/>
        <v>92.1</v>
      </c>
      <c r="E5">
        <f t="shared" si="0"/>
        <v>92.8</v>
      </c>
      <c r="F5">
        <f t="shared" si="0"/>
        <v>92.4</v>
      </c>
      <c r="G5">
        <f t="shared" si="0"/>
        <v>91.4</v>
      </c>
      <c r="H5">
        <f t="shared" si="0"/>
        <v>90.453842461735377</v>
      </c>
      <c r="I5">
        <f t="shared" si="0"/>
        <v>89.276563547882304</v>
      </c>
      <c r="J5">
        <f t="shared" si="0"/>
        <v>87.957749407410489</v>
      </c>
      <c r="K5">
        <f t="shared" si="0"/>
        <v>87.418096089748801</v>
      </c>
      <c r="L5">
        <f t="shared" si="0"/>
        <v>86.991990739292305</v>
      </c>
      <c r="M5">
        <f t="shared" si="0"/>
        <v>85.5</v>
      </c>
      <c r="N5">
        <f t="shared" si="0"/>
        <v>84.9</v>
      </c>
      <c r="O5">
        <f t="shared" si="0"/>
        <v>84.90595367635629</v>
      </c>
      <c r="P5">
        <f t="shared" si="0"/>
        <v>85.278863525516414</v>
      </c>
      <c r="Q5">
        <f t="shared" si="0"/>
        <v>87.800372160269887</v>
      </c>
      <c r="R5">
        <f t="shared" si="0"/>
        <v>88.2</v>
      </c>
      <c r="S5">
        <f t="shared" si="0"/>
        <v>88.8</v>
      </c>
    </row>
    <row r="6" spans="1:24">
      <c r="A6" t="s">
        <v>408</v>
      </c>
      <c r="B6">
        <v>36.799999999999997</v>
      </c>
      <c r="C6">
        <v>16.099999999999994</v>
      </c>
      <c r="D6">
        <v>7.9000000000000057</v>
      </c>
      <c r="E6">
        <v>7.2000000000000028</v>
      </c>
      <c r="F6">
        <v>7.5999999999999943</v>
      </c>
      <c r="G6">
        <v>8.5999999999999943</v>
      </c>
      <c r="H6">
        <v>9.5461575382646231</v>
      </c>
      <c r="I6">
        <v>10.723436452117696</v>
      </c>
      <c r="J6">
        <v>12.042250592589511</v>
      </c>
      <c r="K6">
        <v>12.581903910251199</v>
      </c>
      <c r="L6">
        <v>13.008009260707695</v>
      </c>
      <c r="M6">
        <v>14.5</v>
      </c>
      <c r="N6">
        <v>15.099999999999994</v>
      </c>
      <c r="O6">
        <v>15.09404632364371</v>
      </c>
      <c r="P6">
        <v>14.721136474483586</v>
      </c>
      <c r="Q6">
        <v>12.199627839730113</v>
      </c>
      <c r="R6">
        <v>11.8</v>
      </c>
      <c r="S6">
        <v>11.2</v>
      </c>
    </row>
    <row r="7" spans="1:24">
      <c r="A7" t="s">
        <v>359</v>
      </c>
      <c r="B7">
        <f>SUMSQ(B3:B4,B6)</f>
        <v>3482.58</v>
      </c>
      <c r="C7">
        <f t="shared" ref="C7:S7" si="1">SUMSQ(C3:C4,C6)</f>
        <v>3787.2200000000003</v>
      </c>
      <c r="D7">
        <f t="shared" si="1"/>
        <v>4354.62</v>
      </c>
      <c r="E7">
        <f t="shared" si="1"/>
        <v>4488.9799999999996</v>
      </c>
      <c r="F7">
        <f t="shared" si="1"/>
        <v>4474.5599999999995</v>
      </c>
      <c r="G7">
        <f t="shared" si="1"/>
        <v>4388.72</v>
      </c>
      <c r="H7">
        <f t="shared" si="1"/>
        <v>4294.8193816668645</v>
      </c>
      <c r="I7">
        <f t="shared" si="1"/>
        <v>4186.038650432035</v>
      </c>
      <c r="J7">
        <f t="shared" si="1"/>
        <v>4081.418089820841</v>
      </c>
      <c r="K7">
        <f t="shared" si="1"/>
        <v>4035.7043627270314</v>
      </c>
      <c r="L7">
        <f t="shared" si="1"/>
        <v>4003.00996702272</v>
      </c>
      <c r="M7">
        <f t="shared" si="1"/>
        <v>3908.62</v>
      </c>
      <c r="N7">
        <f t="shared" si="1"/>
        <v>3858.6599999999994</v>
      </c>
      <c r="O7">
        <f t="shared" si="1"/>
        <v>3849.1013153131853</v>
      </c>
      <c r="P7">
        <f t="shared" si="1"/>
        <v>3862.9749732218665</v>
      </c>
      <c r="Q7">
        <f t="shared" si="1"/>
        <v>4005.4391745665826</v>
      </c>
      <c r="R7">
        <f t="shared" si="1"/>
        <v>4028.88</v>
      </c>
      <c r="S7">
        <f t="shared" si="1"/>
        <v>4068.48</v>
      </c>
    </row>
    <row r="8" spans="1:24" ht="38" customHeight="1">
      <c r="A8" s="627" t="s">
        <v>409</v>
      </c>
      <c r="B8" s="627"/>
      <c r="C8" s="627"/>
      <c r="D8" s="627"/>
      <c r="E8" s="627"/>
      <c r="F8" s="627"/>
      <c r="G8" s="627"/>
      <c r="H8" s="627"/>
      <c r="I8" s="627"/>
      <c r="J8" s="627"/>
      <c r="K8" s="627"/>
      <c r="L8" s="627"/>
      <c r="Q8" s="627"/>
      <c r="R8" s="627"/>
      <c r="S8" s="627"/>
      <c r="T8" s="627"/>
      <c r="U8" s="627"/>
      <c r="V8" s="627"/>
      <c r="W8" s="627"/>
      <c r="X8" s="627"/>
    </row>
  </sheetData>
  <mergeCells count="3">
    <mergeCell ref="A1:M1"/>
    <mergeCell ref="A8:L8"/>
    <mergeCell ref="Q8:X8"/>
  </mergeCells>
  <pageMargins left="0.7" right="0.7" top="0.75" bottom="0.75" header="0.3" footer="0.3"/>
  <pageSetup orientation="portrait" horizontalDpi="0" verticalDpi="0"/>
  <ignoredErrors>
    <ignoredError sqref="B7:R7" formulaRange="1"/>
  </ignoredErrors>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0F4DC3-17D8-134A-A32F-1A10A444D917}">
  <dimension ref="A1:S8"/>
  <sheetViews>
    <sheetView zoomScale="115" zoomScaleNormal="115" workbookViewId="0">
      <pane xSplit="1" ySplit="2" topLeftCell="B3" activePane="bottomRight" state="frozen"/>
      <selection activeCell="B3" sqref="B3"/>
      <selection pane="topRight" activeCell="B3" sqref="B3"/>
      <selection pane="bottomLeft" activeCell="B3" sqref="B3"/>
      <selection pane="bottomRight" activeCell="B11" sqref="B11"/>
    </sheetView>
  </sheetViews>
  <sheetFormatPr baseColWidth="10" defaultColWidth="11" defaultRowHeight="20" customHeight="1"/>
  <sheetData>
    <row r="1" spans="1:19" ht="20" customHeight="1">
      <c r="A1" s="627" t="s">
        <v>1055</v>
      </c>
      <c r="B1" s="627"/>
      <c r="C1" s="627"/>
      <c r="D1" s="627"/>
      <c r="E1" s="627"/>
      <c r="F1" s="627"/>
      <c r="G1" s="627"/>
      <c r="H1" s="627"/>
      <c r="I1" s="627"/>
    </row>
    <row r="2" spans="1:19" ht="20" customHeight="1">
      <c r="B2">
        <v>2000</v>
      </c>
      <c r="C2">
        <v>2004</v>
      </c>
      <c r="D2">
        <v>2008</v>
      </c>
      <c r="E2">
        <v>2010</v>
      </c>
      <c r="F2">
        <v>2011</v>
      </c>
      <c r="G2">
        <v>2012</v>
      </c>
      <c r="H2">
        <v>2013</v>
      </c>
      <c r="I2">
        <v>2014</v>
      </c>
      <c r="J2">
        <v>2015</v>
      </c>
      <c r="K2">
        <v>2016</v>
      </c>
      <c r="L2">
        <v>2017</v>
      </c>
      <c r="M2">
        <v>2018</v>
      </c>
      <c r="N2">
        <v>2019</v>
      </c>
      <c r="O2">
        <v>2020</v>
      </c>
      <c r="P2">
        <v>2021</v>
      </c>
      <c r="Q2">
        <v>2022</v>
      </c>
      <c r="R2">
        <v>2023</v>
      </c>
      <c r="S2">
        <v>2024</v>
      </c>
    </row>
    <row r="3" spans="1:19" ht="20" customHeight="1">
      <c r="A3" t="s">
        <v>405</v>
      </c>
      <c r="B3">
        <v>35.1</v>
      </c>
      <c r="C3">
        <v>41.3</v>
      </c>
      <c r="D3">
        <v>39</v>
      </c>
      <c r="E3">
        <v>36.4</v>
      </c>
      <c r="F3">
        <v>36.1</v>
      </c>
      <c r="G3">
        <v>35.200000000000003</v>
      </c>
      <c r="H3">
        <v>36.299999999999997</v>
      </c>
      <c r="I3">
        <v>37.299999999999997</v>
      </c>
      <c r="J3">
        <v>38.5</v>
      </c>
      <c r="K3">
        <v>39.299999999999997</v>
      </c>
      <c r="L3">
        <v>39.1</v>
      </c>
      <c r="M3">
        <v>38</v>
      </c>
      <c r="N3">
        <v>38.4</v>
      </c>
      <c r="O3">
        <v>39.799999999999997</v>
      </c>
      <c r="P3">
        <v>41.1</v>
      </c>
      <c r="Q3">
        <v>42.699999999999996</v>
      </c>
      <c r="R3">
        <v>43.1</v>
      </c>
      <c r="S3">
        <v>45.8</v>
      </c>
    </row>
    <row r="4" spans="1:19" ht="20" customHeight="1">
      <c r="A4" t="s">
        <v>406</v>
      </c>
      <c r="B4">
        <v>33.5</v>
      </c>
      <c r="C4">
        <v>48.3</v>
      </c>
      <c r="D4">
        <v>54.7</v>
      </c>
      <c r="E4">
        <v>56.7</v>
      </c>
      <c r="F4">
        <v>57.1</v>
      </c>
      <c r="G4">
        <v>57.1</v>
      </c>
      <c r="H4">
        <v>55.5</v>
      </c>
      <c r="I4">
        <v>53</v>
      </c>
      <c r="J4">
        <v>50.2</v>
      </c>
      <c r="K4">
        <v>48.9</v>
      </c>
      <c r="L4">
        <v>48.5</v>
      </c>
      <c r="M4">
        <v>48.2</v>
      </c>
      <c r="N4">
        <v>47.6</v>
      </c>
      <c r="O4">
        <v>46.1</v>
      </c>
      <c r="P4">
        <v>44.7</v>
      </c>
      <c r="Q4">
        <v>44.800000000000004</v>
      </c>
      <c r="R4">
        <v>44.2</v>
      </c>
      <c r="S4">
        <v>40.6</v>
      </c>
    </row>
    <row r="5" spans="1:19" ht="20" customHeight="1">
      <c r="A5" t="s">
        <v>407</v>
      </c>
      <c r="B5">
        <v>68.599999999999994</v>
      </c>
      <c r="C5">
        <v>89.6</v>
      </c>
      <c r="D5">
        <v>93.7</v>
      </c>
      <c r="E5">
        <v>93.1</v>
      </c>
      <c r="F5">
        <v>93.2</v>
      </c>
      <c r="G5">
        <v>92.3</v>
      </c>
      <c r="H5">
        <v>91.8</v>
      </c>
      <c r="I5">
        <v>90.3</v>
      </c>
      <c r="J5">
        <v>88.7</v>
      </c>
      <c r="K5">
        <v>88.1</v>
      </c>
      <c r="L5">
        <f t="shared" ref="L5:S5" si="0">SUM(L3:L4)</f>
        <v>87.6</v>
      </c>
      <c r="M5">
        <f t="shared" si="0"/>
        <v>86.2</v>
      </c>
      <c r="N5">
        <f t="shared" si="0"/>
        <v>86</v>
      </c>
      <c r="O5">
        <f t="shared" si="0"/>
        <v>85.9</v>
      </c>
      <c r="P5">
        <f t="shared" si="0"/>
        <v>85.800000000000011</v>
      </c>
      <c r="Q5">
        <f t="shared" si="0"/>
        <v>87.5</v>
      </c>
      <c r="R5">
        <f t="shared" si="0"/>
        <v>87.300000000000011</v>
      </c>
      <c r="S5">
        <f t="shared" si="0"/>
        <v>86.4</v>
      </c>
    </row>
    <row r="6" spans="1:19" ht="20" customHeight="1">
      <c r="A6" t="s">
        <v>408</v>
      </c>
      <c r="B6">
        <v>100</v>
      </c>
      <c r="C6">
        <v>10.1</v>
      </c>
      <c r="D6">
        <v>6.3</v>
      </c>
      <c r="E6">
        <v>6.9</v>
      </c>
      <c r="F6">
        <v>6.7</v>
      </c>
      <c r="G6">
        <v>7.7</v>
      </c>
      <c r="H6">
        <v>8.1999999999999993</v>
      </c>
      <c r="I6">
        <v>9.6999999999999993</v>
      </c>
      <c r="J6">
        <v>11.2</v>
      </c>
      <c r="K6">
        <v>11.8</v>
      </c>
      <c r="L6">
        <v>12.4</v>
      </c>
      <c r="M6">
        <v>13.8</v>
      </c>
      <c r="N6">
        <v>14</v>
      </c>
      <c r="O6">
        <v>14.100000000000001</v>
      </c>
      <c r="P6">
        <v>14.2</v>
      </c>
      <c r="Q6">
        <v>12.5</v>
      </c>
      <c r="R6">
        <v>12.7</v>
      </c>
      <c r="S6">
        <v>13.6</v>
      </c>
    </row>
    <row r="7" spans="1:19" ht="20" customHeight="1">
      <c r="A7" t="s">
        <v>359</v>
      </c>
      <c r="B7">
        <v>3340.2200000000007</v>
      </c>
      <c r="C7">
        <f t="shared" ref="C7:S7" si="1">SUMSQ(C3:C4, C6)</f>
        <v>4140.59</v>
      </c>
      <c r="D7">
        <f t="shared" si="1"/>
        <v>4552.78</v>
      </c>
      <c r="E7">
        <f t="shared" si="1"/>
        <v>4587.46</v>
      </c>
      <c r="F7">
        <f t="shared" si="1"/>
        <v>4608.5100000000011</v>
      </c>
      <c r="G7">
        <f t="shared" si="1"/>
        <v>4558.7400000000007</v>
      </c>
      <c r="H7">
        <f t="shared" si="1"/>
        <v>4465.1799999999994</v>
      </c>
      <c r="I7">
        <f t="shared" si="1"/>
        <v>4294.38</v>
      </c>
      <c r="J7">
        <f t="shared" si="1"/>
        <v>4127.7300000000005</v>
      </c>
      <c r="K7">
        <f t="shared" si="1"/>
        <v>4074.9399999999996</v>
      </c>
      <c r="L7">
        <f t="shared" si="1"/>
        <v>4034.8200000000006</v>
      </c>
      <c r="M7">
        <f t="shared" si="1"/>
        <v>3957.6800000000003</v>
      </c>
      <c r="N7">
        <f t="shared" si="1"/>
        <v>3936.32</v>
      </c>
      <c r="O7">
        <f t="shared" si="1"/>
        <v>3908.06</v>
      </c>
      <c r="P7">
        <f t="shared" si="1"/>
        <v>3888.94</v>
      </c>
      <c r="Q7">
        <f t="shared" si="1"/>
        <v>3986.58</v>
      </c>
      <c r="R7">
        <f t="shared" si="1"/>
        <v>3972.5400000000004</v>
      </c>
      <c r="S7">
        <f t="shared" si="1"/>
        <v>3930.96</v>
      </c>
    </row>
    <row r="8" spans="1:19" ht="20" customHeight="1">
      <c r="A8" t="s">
        <v>410</v>
      </c>
    </row>
  </sheetData>
  <mergeCells count="1">
    <mergeCell ref="A1:I1"/>
  </mergeCells>
  <pageMargins left="0.7" right="0.7" top="0.75" bottom="0.75" header="0.3" footer="0.3"/>
  <pageSetup orientation="portrait" horizontalDpi="0" verticalDpi="0"/>
  <ignoredErrors>
    <ignoredError sqref="L5:R6 L7:R7" formulaRange="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0E0DB-C41B-0B40-BE53-593C918C5A99}">
  <dimension ref="A1:C32"/>
  <sheetViews>
    <sheetView zoomScaleNormal="120" workbookViewId="0">
      <pane xSplit="1" ySplit="2" topLeftCell="B10" activePane="bottomRight" state="frozen"/>
      <selection activeCell="B3" sqref="B3"/>
      <selection pane="topRight" activeCell="B3" sqref="B3"/>
      <selection pane="bottomLeft" activeCell="B3" sqref="B3"/>
      <selection pane="bottomRight" activeCell="D15" sqref="D15"/>
    </sheetView>
  </sheetViews>
  <sheetFormatPr baseColWidth="10" defaultColWidth="11" defaultRowHeight="16"/>
  <cols>
    <col min="1" max="1" width="24.83203125" customWidth="1"/>
    <col min="2" max="2" width="14" customWidth="1"/>
    <col min="3" max="3" width="16.6640625" customWidth="1"/>
  </cols>
  <sheetData>
    <row r="1" spans="1:3" ht="15" customHeight="1">
      <c r="A1" s="627" t="s">
        <v>1056</v>
      </c>
      <c r="B1" s="627"/>
      <c r="C1" s="627"/>
    </row>
    <row r="2" spans="1:3">
      <c r="B2" t="s">
        <v>391</v>
      </c>
      <c r="C2" t="s">
        <v>392</v>
      </c>
    </row>
    <row r="3" spans="1:3">
      <c r="A3" t="s">
        <v>88</v>
      </c>
      <c r="B3">
        <v>0.25922956763741956</v>
      </c>
      <c r="C3">
        <v>0.25500788494921411</v>
      </c>
    </row>
    <row r="4" spans="1:3">
      <c r="A4" t="s">
        <v>89</v>
      </c>
      <c r="B4">
        <v>0.16162911868650601</v>
      </c>
      <c r="C4">
        <v>0.24075356164024125</v>
      </c>
    </row>
    <row r="5" spans="1:3">
      <c r="A5" t="s">
        <v>90</v>
      </c>
      <c r="B5">
        <v>0.1495317671465024</v>
      </c>
      <c r="C5">
        <v>0.15453463533612066</v>
      </c>
    </row>
    <row r="6" spans="1:3">
      <c r="A6" t="s">
        <v>92</v>
      </c>
      <c r="B6">
        <v>8.1319527376153306E-2</v>
      </c>
      <c r="C6">
        <v>7.8310988597920059E-2</v>
      </c>
    </row>
    <row r="7" spans="1:3">
      <c r="A7" t="s">
        <v>168</v>
      </c>
      <c r="B7">
        <v>0.13271183764074737</v>
      </c>
      <c r="C7">
        <v>0</v>
      </c>
    </row>
    <row r="8" spans="1:3">
      <c r="A8" t="s">
        <v>96</v>
      </c>
      <c r="B8">
        <v>5.0429255618097274E-2</v>
      </c>
      <c r="C8">
        <v>5.0959208944322876E-2</v>
      </c>
    </row>
    <row r="9" spans="1:3">
      <c r="A9" t="s">
        <v>109</v>
      </c>
      <c r="B9">
        <v>1.6526226531282769E-2</v>
      </c>
      <c r="C9">
        <v>5.3677484024558325E-2</v>
      </c>
    </row>
    <row r="10" spans="1:3">
      <c r="A10" t="s">
        <v>100</v>
      </c>
      <c r="B10">
        <v>3.401204546077162E-2</v>
      </c>
      <c r="C10">
        <v>3.4487187031978041E-2</v>
      </c>
    </row>
    <row r="11" spans="1:3">
      <c r="A11" t="s">
        <v>98</v>
      </c>
      <c r="B11">
        <v>1.9562592755085914E-2</v>
      </c>
      <c r="C11">
        <v>1.9971369502568601E-2</v>
      </c>
    </row>
    <row r="12" spans="1:3">
      <c r="A12" t="s">
        <v>113</v>
      </c>
      <c r="B12">
        <v>2.6714776348346625E-2</v>
      </c>
      <c r="C12">
        <v>1.1393935597042977E-2</v>
      </c>
    </row>
    <row r="13" spans="1:3">
      <c r="A13" t="s">
        <v>116</v>
      </c>
      <c r="B13">
        <v>1.6080280735994188E-2</v>
      </c>
      <c r="C13">
        <v>1.6241949630372135E-2</v>
      </c>
    </row>
    <row r="14" spans="1:3">
      <c r="A14" t="s">
        <v>118</v>
      </c>
      <c r="B14">
        <v>3.8557496512769459E-3</v>
      </c>
      <c r="C14">
        <v>4.3433153740132817E-3</v>
      </c>
    </row>
    <row r="15" spans="1:3" ht="15" customHeight="1">
      <c r="A15" t="s">
        <v>411</v>
      </c>
      <c r="B15">
        <v>6.8662536421639133E-3</v>
      </c>
      <c r="C15">
        <v>0</v>
      </c>
    </row>
    <row r="16" spans="1:3">
      <c r="A16" t="s">
        <v>393</v>
      </c>
      <c r="B16">
        <v>2.4086319366704509E-3</v>
      </c>
      <c r="C16">
        <v>2.5798772083698786E-3</v>
      </c>
    </row>
    <row r="17" spans="1:3">
      <c r="A17" t="s">
        <v>414</v>
      </c>
      <c r="B17">
        <v>3.7518469041852671E-3</v>
      </c>
      <c r="C17">
        <v>0</v>
      </c>
    </row>
    <row r="18" spans="1:3">
      <c r="A18" t="s">
        <v>416</v>
      </c>
      <c r="B18">
        <v>2.4986080588963238E-3</v>
      </c>
      <c r="C18">
        <v>0</v>
      </c>
    </row>
    <row r="19" spans="1:3">
      <c r="A19" t="s">
        <v>413</v>
      </c>
      <c r="B19">
        <v>1.9936400259960166E-3</v>
      </c>
      <c r="C19">
        <v>0</v>
      </c>
    </row>
    <row r="20" spans="1:3">
      <c r="A20" t="s">
        <v>415</v>
      </c>
      <c r="B20">
        <v>1.3116052802605372E-3</v>
      </c>
      <c r="C20">
        <v>0</v>
      </c>
    </row>
    <row r="21" spans="1:3">
      <c r="A21" t="s">
        <v>412</v>
      </c>
      <c r="B21">
        <v>9.1156566978107341E-4</v>
      </c>
      <c r="C21">
        <v>0</v>
      </c>
    </row>
    <row r="22" spans="1:3">
      <c r="A22" t="s">
        <v>960</v>
      </c>
      <c r="B22">
        <v>0</v>
      </c>
      <c r="C22">
        <v>4.0828217015411605E-4</v>
      </c>
    </row>
    <row r="23" spans="1:3">
      <c r="A23" t="s">
        <v>417</v>
      </c>
      <c r="B23">
        <v>0.16162911868650601</v>
      </c>
    </row>
    <row r="24" spans="1:3">
      <c r="A24" t="s">
        <v>418</v>
      </c>
      <c r="B24">
        <v>0.24075356164024125</v>
      </c>
    </row>
    <row r="26" spans="1:3">
      <c r="A26" t="s">
        <v>419</v>
      </c>
      <c r="B26">
        <v>0.70310229111117528</v>
      </c>
    </row>
    <row r="27" spans="1:3">
      <c r="A27" t="s">
        <v>420</v>
      </c>
      <c r="B27">
        <v>0.72860707052349616</v>
      </c>
    </row>
    <row r="29" spans="1:3">
      <c r="A29" t="s">
        <v>421</v>
      </c>
      <c r="B29">
        <v>1367.8</v>
      </c>
    </row>
    <row r="30" spans="1:3">
      <c r="A30" t="s">
        <v>422</v>
      </c>
      <c r="B30">
        <v>1618.9</v>
      </c>
    </row>
    <row r="31" spans="1:3">
      <c r="B31">
        <v>251.10000000000014</v>
      </c>
    </row>
    <row r="32" spans="1:3">
      <c r="A32" s="627"/>
      <c r="B32" s="627"/>
      <c r="C32" s="627"/>
    </row>
  </sheetData>
  <mergeCells count="2">
    <mergeCell ref="A1:C1"/>
    <mergeCell ref="A32:C32"/>
  </mergeCells>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CDF16-0E50-9F4C-90F4-E26DC8423C36}">
  <dimension ref="A1:C16"/>
  <sheetViews>
    <sheetView zoomScale="130" zoomScaleNormal="130" workbookViewId="0">
      <selection activeCell="C11" sqref="C11"/>
    </sheetView>
  </sheetViews>
  <sheetFormatPr baseColWidth="10" defaultColWidth="11" defaultRowHeight="16"/>
  <cols>
    <col min="1" max="1" width="36.33203125" customWidth="1"/>
    <col min="2" max="2" width="34.5" customWidth="1"/>
    <col min="3" max="3" width="37" customWidth="1"/>
    <col min="4" max="4" width="13.5" customWidth="1"/>
  </cols>
  <sheetData>
    <row r="1" spans="1:3" ht="28" customHeight="1">
      <c r="A1" s="628" t="s">
        <v>1002</v>
      </c>
      <c r="B1" s="628"/>
      <c r="C1" s="628"/>
    </row>
    <row r="2" spans="1:3" ht="17">
      <c r="A2" s="577" t="s">
        <v>5</v>
      </c>
      <c r="B2" s="577" t="s">
        <v>6</v>
      </c>
      <c r="C2" s="577" t="s">
        <v>7</v>
      </c>
    </row>
    <row r="3" spans="1:3" ht="17">
      <c r="A3" s="573" t="s">
        <v>11</v>
      </c>
      <c r="B3" s="573" t="s">
        <v>8</v>
      </c>
      <c r="C3" s="573" t="s">
        <v>10</v>
      </c>
    </row>
    <row r="4" spans="1:3" ht="34">
      <c r="A4" s="573" t="s">
        <v>14</v>
      </c>
      <c r="B4" s="573" t="s">
        <v>9</v>
      </c>
      <c r="C4" s="573" t="s">
        <v>13</v>
      </c>
    </row>
    <row r="5" spans="1:3" ht="17">
      <c r="A5" s="573" t="s">
        <v>902</v>
      </c>
      <c r="B5" s="573" t="s">
        <v>12</v>
      </c>
      <c r="C5" s="573" t="s">
        <v>16</v>
      </c>
    </row>
    <row r="6" spans="1:3" ht="19.25" customHeight="1">
      <c r="A6" s="573" t="s">
        <v>17</v>
      </c>
      <c r="B6" s="573" t="s">
        <v>15</v>
      </c>
      <c r="C6" s="573" t="s">
        <v>19</v>
      </c>
    </row>
    <row r="7" spans="1:3" ht="21" customHeight="1">
      <c r="A7" s="573" t="s">
        <v>20</v>
      </c>
      <c r="B7" s="573" t="s">
        <v>18</v>
      </c>
      <c r="C7" s="573" t="s">
        <v>22</v>
      </c>
    </row>
    <row r="8" spans="1:3" ht="17">
      <c r="A8" s="573" t="s">
        <v>23</v>
      </c>
      <c r="B8" s="573" t="s">
        <v>21</v>
      </c>
      <c r="C8" s="573" t="s">
        <v>25</v>
      </c>
    </row>
    <row r="9" spans="1:3" ht="19.25" customHeight="1">
      <c r="A9" s="573" t="s">
        <v>26</v>
      </c>
      <c r="B9" s="573" t="s">
        <v>34</v>
      </c>
      <c r="C9" s="573" t="s">
        <v>28</v>
      </c>
    </row>
    <row r="10" spans="1:3" ht="33" customHeight="1">
      <c r="A10" s="573" t="s">
        <v>29</v>
      </c>
      <c r="B10" s="573"/>
      <c r="C10" s="573" t="s">
        <v>24</v>
      </c>
    </row>
    <row r="11" spans="1:3" ht="35" customHeight="1">
      <c r="A11" s="573" t="s">
        <v>30</v>
      </c>
      <c r="B11" s="573"/>
      <c r="C11" s="573"/>
    </row>
    <row r="12" spans="1:3" ht="34">
      <c r="A12" s="573" t="s">
        <v>31</v>
      </c>
      <c r="B12" s="573"/>
      <c r="C12" s="573"/>
    </row>
    <row r="13" spans="1:3" ht="17">
      <c r="A13" s="573" t="s">
        <v>32</v>
      </c>
      <c r="B13" s="573"/>
      <c r="C13" s="573"/>
    </row>
    <row r="14" spans="1:3" ht="20" customHeight="1">
      <c r="A14" s="573" t="s">
        <v>33</v>
      </c>
      <c r="B14" s="573"/>
      <c r="C14" s="573"/>
    </row>
    <row r="15" spans="1:3" ht="34">
      <c r="A15" s="573" t="s">
        <v>27</v>
      </c>
      <c r="B15" s="573"/>
      <c r="C15" s="573"/>
    </row>
    <row r="16" spans="1:3" ht="17">
      <c r="A16" s="573" t="s">
        <v>35</v>
      </c>
      <c r="B16" s="573"/>
      <c r="C16" s="573"/>
    </row>
  </sheetData>
  <mergeCells count="1">
    <mergeCell ref="A1:C1"/>
  </mergeCell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BD24F3-3F11-074D-92C1-CAD185CD504A}">
  <dimension ref="A1:D94"/>
  <sheetViews>
    <sheetView zoomScale="95" zoomScaleNormal="95" workbookViewId="0">
      <pane xSplit="1" ySplit="2" topLeftCell="B3" activePane="bottomRight" state="frozen"/>
      <selection pane="topRight" activeCell="B1" sqref="B1"/>
      <selection pane="bottomLeft" activeCell="A3" sqref="A3"/>
      <selection pane="bottomRight" activeCell="D8" sqref="D8"/>
    </sheetView>
  </sheetViews>
  <sheetFormatPr baseColWidth="10" defaultColWidth="11" defaultRowHeight="16"/>
  <cols>
    <col min="2" max="2" width="14" customWidth="1"/>
    <col min="3" max="3" width="19.33203125" customWidth="1"/>
    <col min="4" max="4" width="24.33203125" customWidth="1"/>
    <col min="5" max="5" width="28.5" customWidth="1"/>
  </cols>
  <sheetData>
    <row r="1" spans="1:4" ht="16.25" customHeight="1">
      <c r="A1" s="627" t="s">
        <v>1057</v>
      </c>
      <c r="B1" s="627"/>
      <c r="C1" s="627"/>
      <c r="D1" s="627"/>
    </row>
    <row r="2" spans="1:4">
      <c r="A2" t="s">
        <v>328</v>
      </c>
      <c r="B2" t="s">
        <v>403</v>
      </c>
      <c r="C2" t="s">
        <v>404</v>
      </c>
    </row>
    <row r="3" spans="1:4">
      <c r="A3">
        <v>1</v>
      </c>
      <c r="B3" t="s">
        <v>333</v>
      </c>
      <c r="C3" s="617">
        <v>0.93160094567772445</v>
      </c>
    </row>
    <row r="4" spans="1:4">
      <c r="A4">
        <v>2</v>
      </c>
      <c r="B4" t="s">
        <v>290</v>
      </c>
      <c r="C4" s="617">
        <v>0.90532078148735395</v>
      </c>
    </row>
    <row r="5" spans="1:4">
      <c r="A5">
        <v>3</v>
      </c>
      <c r="B5" t="s">
        <v>297</v>
      </c>
      <c r="C5" s="617">
        <v>0.89276774433159423</v>
      </c>
    </row>
    <row r="6" spans="1:4">
      <c r="A6">
        <v>4</v>
      </c>
      <c r="B6" t="s">
        <v>309</v>
      </c>
      <c r="C6" s="617">
        <v>0.8160078086871646</v>
      </c>
    </row>
    <row r="7" spans="1:4">
      <c r="A7">
        <v>5</v>
      </c>
      <c r="B7" t="s">
        <v>334</v>
      </c>
      <c r="C7" s="617">
        <v>0.80712128900656666</v>
      </c>
    </row>
    <row r="8" spans="1:4">
      <c r="A8">
        <v>6</v>
      </c>
      <c r="B8" t="s">
        <v>284</v>
      </c>
      <c r="C8" s="617">
        <v>0.79230544565595995</v>
      </c>
    </row>
    <row r="9" spans="1:4">
      <c r="A9">
        <v>7</v>
      </c>
      <c r="B9" t="s">
        <v>335</v>
      </c>
      <c r="C9" s="617">
        <v>0.78968991347773065</v>
      </c>
    </row>
    <row r="10" spans="1:4">
      <c r="A10">
        <v>8</v>
      </c>
      <c r="B10" t="s">
        <v>305</v>
      </c>
      <c r="C10" s="617">
        <v>0.77344945052300862</v>
      </c>
    </row>
    <row r="11" spans="1:4">
      <c r="A11">
        <v>9</v>
      </c>
      <c r="B11" t="s">
        <v>312</v>
      </c>
      <c r="C11" s="617">
        <v>0.75019234939447577</v>
      </c>
    </row>
    <row r="12" spans="1:4">
      <c r="A12">
        <v>10</v>
      </c>
      <c r="B12" t="s">
        <v>291</v>
      </c>
      <c r="C12" s="617">
        <v>0.74912463910559612</v>
      </c>
    </row>
    <row r="13" spans="1:4">
      <c r="A13">
        <v>11</v>
      </c>
      <c r="B13" t="s">
        <v>310</v>
      </c>
      <c r="C13" s="617">
        <v>0.72444368451663199</v>
      </c>
    </row>
    <row r="14" spans="1:4">
      <c r="A14">
        <v>12</v>
      </c>
      <c r="B14" t="s">
        <v>314</v>
      </c>
      <c r="C14" s="617">
        <v>0.707672591224489</v>
      </c>
    </row>
    <row r="15" spans="1:4">
      <c r="A15">
        <v>13</v>
      </c>
      <c r="B15" t="s">
        <v>316</v>
      </c>
      <c r="C15" s="617">
        <v>0.70084124335251763</v>
      </c>
    </row>
    <row r="16" spans="1:4">
      <c r="A16">
        <v>14</v>
      </c>
      <c r="B16" t="s">
        <v>289</v>
      </c>
      <c r="C16" s="617">
        <v>0.69395795090479551</v>
      </c>
    </row>
    <row r="17" spans="1:3">
      <c r="A17">
        <v>15</v>
      </c>
      <c r="B17" t="s">
        <v>336</v>
      </c>
      <c r="C17" s="617">
        <v>0.67317612380250547</v>
      </c>
    </row>
    <row r="18" spans="1:3">
      <c r="A18">
        <v>16</v>
      </c>
      <c r="B18" t="s">
        <v>313</v>
      </c>
      <c r="C18" s="617">
        <v>0.6231764337843555</v>
      </c>
    </row>
    <row r="19" spans="1:3">
      <c r="A19">
        <v>17</v>
      </c>
      <c r="B19" t="s">
        <v>308</v>
      </c>
      <c r="C19" s="617">
        <v>0.6092701025873124</v>
      </c>
    </row>
    <row r="20" spans="1:3">
      <c r="A20">
        <v>18</v>
      </c>
      <c r="B20" t="s">
        <v>339</v>
      </c>
      <c r="C20" s="617">
        <v>0.57253870573938248</v>
      </c>
    </row>
    <row r="21" spans="1:3">
      <c r="A21">
        <v>19</v>
      </c>
      <c r="B21" t="s">
        <v>303</v>
      </c>
      <c r="C21" s="617">
        <v>0.55442481845759017</v>
      </c>
    </row>
    <row r="22" spans="1:3">
      <c r="A22">
        <v>20</v>
      </c>
      <c r="B22" t="s">
        <v>338</v>
      </c>
      <c r="C22" s="617">
        <v>0.54434481407756996</v>
      </c>
    </row>
    <row r="23" spans="1:3">
      <c r="A23">
        <v>21</v>
      </c>
      <c r="B23" t="s">
        <v>331</v>
      </c>
      <c r="C23" s="617">
        <v>0.5160960545025306</v>
      </c>
    </row>
    <row r="24" spans="1:3">
      <c r="A24">
        <v>22</v>
      </c>
      <c r="B24" t="s">
        <v>315</v>
      </c>
      <c r="C24" s="617">
        <v>0.51078324236595685</v>
      </c>
    </row>
    <row r="25" spans="1:3">
      <c r="A25">
        <v>23</v>
      </c>
      <c r="B25" t="s">
        <v>317</v>
      </c>
      <c r="C25" s="617">
        <v>0.50568421330295121</v>
      </c>
    </row>
    <row r="26" spans="1:3">
      <c r="A26">
        <v>24</v>
      </c>
      <c r="B26" t="s">
        <v>343</v>
      </c>
      <c r="C26" s="617">
        <v>0.48348609222377692</v>
      </c>
    </row>
    <row r="27" spans="1:3">
      <c r="B27" t="s">
        <v>332</v>
      </c>
      <c r="C27" s="617">
        <v>0.46856975616719848</v>
      </c>
    </row>
    <row r="28" spans="1:3">
      <c r="A28">
        <v>25</v>
      </c>
      <c r="B28" t="s">
        <v>342</v>
      </c>
      <c r="C28" s="617">
        <v>0.45046455040142264</v>
      </c>
    </row>
    <row r="29" spans="1:3">
      <c r="A29">
        <v>26</v>
      </c>
      <c r="B29" t="s">
        <v>300</v>
      </c>
      <c r="C29" s="617">
        <v>0.39481746234363035</v>
      </c>
    </row>
    <row r="30" spans="1:3">
      <c r="A30">
        <v>27</v>
      </c>
      <c r="B30" t="s">
        <v>344</v>
      </c>
      <c r="C30" s="617">
        <v>0.39385152583619842</v>
      </c>
    </row>
    <row r="31" spans="1:3">
      <c r="A31">
        <v>28</v>
      </c>
      <c r="B31" t="s">
        <v>302</v>
      </c>
      <c r="C31" s="617">
        <v>0.35232162127400973</v>
      </c>
    </row>
    <row r="32" spans="1:3">
      <c r="A32">
        <v>29</v>
      </c>
      <c r="B32" t="s">
        <v>287</v>
      </c>
      <c r="C32" s="617">
        <v>0.34553706553221508</v>
      </c>
    </row>
    <row r="33" spans="1:3">
      <c r="A33">
        <v>30</v>
      </c>
      <c r="B33" t="s">
        <v>295</v>
      </c>
      <c r="C33" s="617">
        <v>0.31071525774563552</v>
      </c>
    </row>
    <row r="34" spans="1:3">
      <c r="A34">
        <v>31</v>
      </c>
      <c r="B34" t="s">
        <v>293</v>
      </c>
      <c r="C34" s="617">
        <v>0.30650510851723306</v>
      </c>
    </row>
    <row r="35" spans="1:3">
      <c r="A35">
        <v>32</v>
      </c>
      <c r="B35" t="s">
        <v>292</v>
      </c>
      <c r="C35" s="617">
        <v>0.3042224973356456</v>
      </c>
    </row>
    <row r="36" spans="1:3">
      <c r="A36">
        <v>33</v>
      </c>
      <c r="B36" t="s">
        <v>282</v>
      </c>
      <c r="C36" s="617">
        <v>0.26521975202124259</v>
      </c>
    </row>
    <row r="37" spans="1:3">
      <c r="A37">
        <v>34</v>
      </c>
      <c r="B37" t="s">
        <v>337</v>
      </c>
      <c r="C37" s="617">
        <v>0.22968077514068905</v>
      </c>
    </row>
    <row r="38" spans="1:3">
      <c r="A38">
        <v>35</v>
      </c>
      <c r="B38" t="s">
        <v>341</v>
      </c>
      <c r="C38" s="617">
        <v>0.14245544842891025</v>
      </c>
    </row>
    <row r="39" spans="1:3">
      <c r="A39">
        <v>36</v>
      </c>
      <c r="B39" t="s">
        <v>286</v>
      </c>
      <c r="C39" s="617">
        <v>0.1373021717909208</v>
      </c>
    </row>
    <row r="40" spans="1:3">
      <c r="A40">
        <v>37</v>
      </c>
      <c r="B40" t="s">
        <v>306</v>
      </c>
      <c r="C40" s="617">
        <v>0.13581618813793864</v>
      </c>
    </row>
    <row r="41" spans="1:3">
      <c r="A41">
        <v>38</v>
      </c>
      <c r="B41" t="s">
        <v>304</v>
      </c>
      <c r="C41" s="617">
        <v>0.10763171214034298</v>
      </c>
    </row>
    <row r="42" spans="1:3">
      <c r="A42" t="s">
        <v>1157</v>
      </c>
    </row>
    <row r="94" ht="34.25" customHeight="1"/>
  </sheetData>
  <mergeCells count="1">
    <mergeCell ref="A1:D1"/>
  </mergeCells>
  <pageMargins left="0.7" right="0.7" top="0.75" bottom="0.75" header="0.3" footer="0.3"/>
  <pageSetup orientation="portrait" horizontalDpi="0" verticalDpi="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A5BD6D-E133-6A46-A790-9CCE578C3B40}">
  <dimension ref="A1:W8"/>
  <sheetViews>
    <sheetView zoomScale="120" zoomScaleNormal="120" workbookViewId="0">
      <selection activeCell="C18" sqref="C18"/>
    </sheetView>
  </sheetViews>
  <sheetFormatPr baseColWidth="10" defaultColWidth="11" defaultRowHeight="16"/>
  <cols>
    <col min="8" max="8" width="13.83203125" customWidth="1"/>
    <col min="10" max="10" width="14" customWidth="1"/>
  </cols>
  <sheetData>
    <row r="1" spans="1:23" ht="18" customHeight="1">
      <c r="A1" s="627" t="s">
        <v>1058</v>
      </c>
      <c r="B1" s="627"/>
      <c r="C1" s="627"/>
      <c r="D1" s="627"/>
      <c r="E1" s="627"/>
      <c r="F1" s="627"/>
      <c r="G1" s="627"/>
      <c r="H1" s="627"/>
      <c r="I1" s="627"/>
      <c r="J1" s="627"/>
    </row>
    <row r="2" spans="1:23">
      <c r="B2">
        <v>1984</v>
      </c>
      <c r="C2">
        <v>1988</v>
      </c>
      <c r="D2">
        <v>1992</v>
      </c>
      <c r="E2">
        <v>1996</v>
      </c>
      <c r="F2">
        <v>2000</v>
      </c>
      <c r="G2">
        <v>2004</v>
      </c>
      <c r="H2">
        <v>2008</v>
      </c>
      <c r="I2">
        <v>2010</v>
      </c>
      <c r="J2">
        <v>2011</v>
      </c>
      <c r="K2">
        <v>2012</v>
      </c>
      <c r="L2">
        <v>2013</v>
      </c>
      <c r="M2">
        <v>2014</v>
      </c>
      <c r="N2">
        <v>2015</v>
      </c>
      <c r="O2">
        <v>2016</v>
      </c>
      <c r="P2">
        <v>2017</v>
      </c>
      <c r="Q2">
        <v>2018</v>
      </c>
      <c r="R2">
        <v>2019</v>
      </c>
      <c r="S2">
        <v>2020</v>
      </c>
      <c r="T2">
        <v>2021</v>
      </c>
      <c r="U2">
        <v>2022</v>
      </c>
      <c r="V2">
        <v>2023</v>
      </c>
      <c r="W2">
        <v>2024</v>
      </c>
    </row>
    <row r="3" spans="1:23">
      <c r="A3" t="s">
        <v>239</v>
      </c>
      <c r="C3">
        <v>2.1852383344515389</v>
      </c>
      <c r="D3">
        <v>3.3429151322012727</v>
      </c>
      <c r="E3">
        <v>8.710735231113695</v>
      </c>
      <c r="F3">
        <v>45.451284551588842</v>
      </c>
      <c r="G3">
        <v>49.233900235721322</v>
      </c>
      <c r="H3">
        <v>26.474641130385567</v>
      </c>
      <c r="I3">
        <v>29.06976089254794</v>
      </c>
      <c r="J3">
        <v>57.441601277227122</v>
      </c>
      <c r="K3">
        <v>56.281187239215853</v>
      </c>
      <c r="L3">
        <v>57.136823899646942</v>
      </c>
      <c r="M3">
        <v>57.656081438075475</v>
      </c>
      <c r="N3">
        <v>54.678428394555191</v>
      </c>
      <c r="O3">
        <v>54.176950172069589</v>
      </c>
      <c r="P3">
        <v>53.670274128995395</v>
      </c>
      <c r="Q3">
        <v>52.336616959076864</v>
      </c>
      <c r="R3">
        <v>50.553908117630364</v>
      </c>
      <c r="S3">
        <v>49.497146888659103</v>
      </c>
      <c r="T3">
        <v>45.694879947691163</v>
      </c>
      <c r="U3">
        <v>43.155837544839002</v>
      </c>
      <c r="V3">
        <v>40.845842376558849</v>
      </c>
      <c r="W3">
        <v>38.281847810190314</v>
      </c>
    </row>
    <row r="4" spans="1:23">
      <c r="A4" t="s">
        <v>240</v>
      </c>
      <c r="H4">
        <v>1.2174389808959769</v>
      </c>
      <c r="I4">
        <v>2.317791037701002</v>
      </c>
      <c r="J4">
        <v>3.1494567593758154</v>
      </c>
      <c r="K4">
        <v>3.7083144315309795</v>
      </c>
      <c r="L4">
        <v>4.7515044956725365</v>
      </c>
      <c r="M4">
        <v>6.1561990496334218</v>
      </c>
      <c r="N4">
        <v>7.8053576331476435</v>
      </c>
      <c r="O4">
        <v>9.3458998474806734</v>
      </c>
      <c r="P4">
        <v>11.853009271458735</v>
      </c>
      <c r="Q4">
        <v>13.459924931325929</v>
      </c>
      <c r="R4">
        <v>16.222299119009644</v>
      </c>
      <c r="S4">
        <v>19.010369777165398</v>
      </c>
      <c r="T4">
        <v>22.571608233224367</v>
      </c>
      <c r="U4">
        <v>24.744705607479283</v>
      </c>
      <c r="V4">
        <v>26.332550386859012</v>
      </c>
      <c r="W4">
        <v>28.778719572819298</v>
      </c>
    </row>
    <row r="6" spans="1:23">
      <c r="A6" t="s">
        <v>1027</v>
      </c>
    </row>
    <row r="7" spans="1:23">
      <c r="A7" t="s">
        <v>239</v>
      </c>
      <c r="I7">
        <v>29.06976089254794</v>
      </c>
      <c r="J7">
        <v>58.11671290061426</v>
      </c>
      <c r="K7">
        <v>57.11492504468459</v>
      </c>
      <c r="L7">
        <v>58.402679594295293</v>
      </c>
      <c r="M7">
        <v>59.000711365112778</v>
      </c>
      <c r="N7">
        <v>56.367610904977383</v>
      </c>
      <c r="O7">
        <v>56.144226411992562</v>
      </c>
      <c r="P7">
        <v>56.032016668021789</v>
      </c>
      <c r="Q7">
        <v>55.106152916672741</v>
      </c>
      <c r="R7">
        <v>53.993305052698609</v>
      </c>
      <c r="S7">
        <v>53.756790808749443</v>
      </c>
      <c r="T7">
        <v>50.482184533774713</v>
      </c>
      <c r="U7">
        <v>48.966182516583046</v>
      </c>
      <c r="V7">
        <v>46.617331412437821</v>
      </c>
      <c r="W7">
        <v>44.657859571732949</v>
      </c>
    </row>
    <row r="8" spans="1:23">
      <c r="A8" t="s">
        <v>240</v>
      </c>
      <c r="I8">
        <v>1.4595696568907024</v>
      </c>
      <c r="J8">
        <v>2.2740098313180006</v>
      </c>
      <c r="K8">
        <v>2.6378433640188095</v>
      </c>
      <c r="L8">
        <v>3.0990427925732189</v>
      </c>
      <c r="M8">
        <v>4.5569869035988582</v>
      </c>
      <c r="N8">
        <v>5.78899755969121</v>
      </c>
      <c r="O8">
        <v>6.9178107252294438</v>
      </c>
      <c r="P8">
        <v>8.7270614208752093</v>
      </c>
      <c r="Q8">
        <v>9.783454282424966</v>
      </c>
      <c r="R8">
        <v>11.658377662521898</v>
      </c>
      <c r="S8">
        <v>13.45453412540113</v>
      </c>
      <c r="T8">
        <v>16.113763761645906</v>
      </c>
      <c r="U8">
        <v>16.778685978560535</v>
      </c>
      <c r="V8">
        <v>18.048466550037652</v>
      </c>
      <c r="W8">
        <v>19.499085077946429</v>
      </c>
    </row>
  </sheetData>
  <mergeCells count="1">
    <mergeCell ref="A1:J1"/>
  </mergeCells>
  <pageMargins left="0.7" right="0.7" top="0.75" bottom="0.75" header="0.3" footer="0.3"/>
  <pageSetup orientation="portrait" horizontalDpi="0" verticalDpi="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28B27-C275-544F-B37E-A3E356EFC233}">
  <dimension ref="A1:O7"/>
  <sheetViews>
    <sheetView zoomScaleNormal="145" workbookViewId="0">
      <pane xSplit="1" ySplit="2" topLeftCell="B3" activePane="bottomRight" state="frozen"/>
      <selection pane="topRight" activeCell="B1" sqref="B1"/>
      <selection pane="bottomLeft" activeCell="A3" sqref="A3"/>
      <selection pane="bottomRight" activeCell="C10" sqref="C10"/>
    </sheetView>
  </sheetViews>
  <sheetFormatPr baseColWidth="10" defaultColWidth="11" defaultRowHeight="16"/>
  <cols>
    <col min="1" max="1" width="28.83203125" customWidth="1"/>
  </cols>
  <sheetData>
    <row r="1" spans="1:15">
      <c r="A1" s="627" t="s">
        <v>1084</v>
      </c>
      <c r="B1" s="627"/>
      <c r="C1" s="627"/>
      <c r="D1" s="627"/>
      <c r="E1" s="627"/>
      <c r="F1" s="627"/>
      <c r="G1" s="627"/>
      <c r="H1" s="627"/>
      <c r="I1" s="627"/>
      <c r="J1" s="627"/>
      <c r="K1" s="627"/>
      <c r="L1" s="627"/>
      <c r="M1" s="627"/>
      <c r="N1" s="627"/>
    </row>
    <row r="2" spans="1:15">
      <c r="B2">
        <v>2011</v>
      </c>
      <c r="C2">
        <v>2012</v>
      </c>
      <c r="D2">
        <v>2013</v>
      </c>
      <c r="E2">
        <v>2014</v>
      </c>
      <c r="F2">
        <v>2015</v>
      </c>
      <c r="G2">
        <v>2016</v>
      </c>
      <c r="H2">
        <v>2017</v>
      </c>
      <c r="I2">
        <v>2018</v>
      </c>
      <c r="J2">
        <v>2019</v>
      </c>
      <c r="K2">
        <v>2020</v>
      </c>
      <c r="L2">
        <v>2021</v>
      </c>
      <c r="M2">
        <v>2022</v>
      </c>
      <c r="N2">
        <v>2023</v>
      </c>
      <c r="O2">
        <v>2024</v>
      </c>
    </row>
    <row r="3" spans="1:15">
      <c r="A3" t="s">
        <v>551</v>
      </c>
      <c r="B3">
        <v>48.430753329674303</v>
      </c>
      <c r="C3">
        <v>87.277037314907801</v>
      </c>
      <c r="D3">
        <v>179.19254656973393</v>
      </c>
      <c r="E3">
        <v>391.79892012729363</v>
      </c>
      <c r="F3">
        <v>673.3861957069953</v>
      </c>
      <c r="G3">
        <v>836.21537999999998</v>
      </c>
      <c r="H3">
        <v>1040.3640878399999</v>
      </c>
      <c r="I3">
        <v>1132.0657424999999</v>
      </c>
      <c r="J3">
        <v>1404.0565811999998</v>
      </c>
      <c r="K3">
        <v>1660.6490745599995</v>
      </c>
      <c r="L3">
        <v>1798.4136522890183</v>
      </c>
      <c r="M3">
        <v>1769.7077334378821</v>
      </c>
      <c r="N3">
        <v>1931.5457103393019</v>
      </c>
      <c r="O3">
        <v>2055.6931617015175</v>
      </c>
    </row>
    <row r="4" spans="1:15">
      <c r="A4" t="s">
        <v>552</v>
      </c>
      <c r="B4">
        <v>16.803030598199999</v>
      </c>
      <c r="C4">
        <v>30.280733370795602</v>
      </c>
      <c r="D4">
        <v>62.170782735599992</v>
      </c>
      <c r="E4">
        <v>135.93447944999997</v>
      </c>
      <c r="F4">
        <v>233.63107267499996</v>
      </c>
      <c r="G4">
        <v>306.61230599999999</v>
      </c>
      <c r="H4">
        <v>405.95287886999989</v>
      </c>
      <c r="I4">
        <v>489.97768049999991</v>
      </c>
      <c r="J4">
        <v>647.34398164799995</v>
      </c>
      <c r="K4">
        <v>756.7117316639999</v>
      </c>
      <c r="L4">
        <v>877.88719967377892</v>
      </c>
      <c r="M4">
        <v>860.2195350694858</v>
      </c>
      <c r="N4">
        <v>915.88958322608721</v>
      </c>
      <c r="O4">
        <v>1067.9440321383358</v>
      </c>
    </row>
    <row r="5" spans="1:15">
      <c r="A5" t="s">
        <v>553</v>
      </c>
      <c r="B5">
        <v>9.5199863521601404</v>
      </c>
      <c r="C5">
        <v>25.047898568203898</v>
      </c>
      <c r="D5">
        <v>64.398573407590717</v>
      </c>
      <c r="E5">
        <v>150.63423493967056</v>
      </c>
      <c r="F5">
        <v>306.29387624885044</v>
      </c>
      <c r="G5">
        <v>339.49035602409646</v>
      </c>
      <c r="H5">
        <v>407.44594664879071</v>
      </c>
      <c r="I5">
        <v>505.58541203527489</v>
      </c>
      <c r="J5">
        <v>633.09646278219759</v>
      </c>
      <c r="K5">
        <v>720.40531843275085</v>
      </c>
      <c r="L5">
        <v>801.62945501545369</v>
      </c>
      <c r="M5">
        <v>732.13625316233959</v>
      </c>
      <c r="N5">
        <v>751.18641280623638</v>
      </c>
      <c r="O5">
        <v>777.90841058474268</v>
      </c>
    </row>
    <row r="6" spans="1:15">
      <c r="A6" t="s">
        <v>554</v>
      </c>
      <c r="B6">
        <v>0.50806898052294081</v>
      </c>
      <c r="C6">
        <v>1.7114598052361032</v>
      </c>
      <c r="D6">
        <v>4.0026881042232816</v>
      </c>
      <c r="E6">
        <v>-0.95804244154220441</v>
      </c>
      <c r="F6">
        <v>-36.268297781309627</v>
      </c>
      <c r="G6">
        <v>32.296888950777884</v>
      </c>
      <c r="H6">
        <v>134.4534322456816</v>
      </c>
      <c r="I6">
        <v>176.414587964725</v>
      </c>
      <c r="J6">
        <v>256.52289676836426</v>
      </c>
      <c r="K6">
        <v>375.55929545363301</v>
      </c>
      <c r="L6">
        <v>672.6930273829073</v>
      </c>
      <c r="M6">
        <v>588.1279811687715</v>
      </c>
      <c r="N6">
        <v>819.06418978892475</v>
      </c>
      <c r="O6">
        <v>887.50868329055049</v>
      </c>
    </row>
    <row r="7" spans="1:15">
      <c r="B7">
        <f t="shared" ref="B7" si="0">SUM(B3:B6)</f>
        <v>75.26183926055738</v>
      </c>
      <c r="C7">
        <f t="shared" ref="C7" si="1">SUM(C3:C6)</f>
        <v>144.31712905914341</v>
      </c>
      <c r="D7">
        <f t="shared" ref="D7" si="2">SUM(D3:D6)</f>
        <v>309.76459081714796</v>
      </c>
      <c r="E7">
        <f t="shared" ref="E7" si="3">SUM(E3:E6)</f>
        <v>677.40959207542187</v>
      </c>
      <c r="F7">
        <f t="shared" ref="F7" si="4">SUM(F3:F6)</f>
        <v>1177.0428468495361</v>
      </c>
      <c r="G7">
        <f t="shared" ref="G7" si="5">SUM(G3:G6)</f>
        <v>1514.6149309748744</v>
      </c>
      <c r="H7">
        <f t="shared" ref="H7" si="6">SUM(H3:H6)</f>
        <v>1988.2163456044723</v>
      </c>
      <c r="I7">
        <f t="shared" ref="I7" si="7">SUM(I3:I6)</f>
        <v>2304.0434229999996</v>
      </c>
      <c r="J7">
        <f t="shared" ref="J7" si="8">SUM(J3:J6)</f>
        <v>2941.0199223985619</v>
      </c>
      <c r="K7">
        <f t="shared" ref="K7:N7" si="9">SUM(K3:K6)</f>
        <v>3513.3254201103828</v>
      </c>
      <c r="L7">
        <f t="shared" si="9"/>
        <v>4150.6233343611584</v>
      </c>
      <c r="M7">
        <f t="shared" si="9"/>
        <v>3950.1915028384788</v>
      </c>
      <c r="N7">
        <f t="shared" si="9"/>
        <v>4417.6858961605503</v>
      </c>
      <c r="O7">
        <f>SUM(O3:O6)</f>
        <v>4789.0542877151465</v>
      </c>
    </row>
  </sheetData>
  <mergeCells count="1">
    <mergeCell ref="A1:N1"/>
  </mergeCells>
  <pageMargins left="0.7" right="0.7" top="0.75" bottom="0.75" header="0.3" footer="0.3"/>
  <pageSetup orientation="portrait" horizontalDpi="0" verticalDpi="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3B0E7-2A96-8140-9639-3C3834F9F56C}">
  <dimension ref="A1:B12"/>
  <sheetViews>
    <sheetView zoomScale="130" zoomScaleNormal="130" workbookViewId="0">
      <pane xSplit="1" ySplit="1" topLeftCell="B2" activePane="bottomRight" state="frozen"/>
      <selection pane="topRight" activeCell="B1" sqref="B1"/>
      <selection pane="bottomLeft" activeCell="A2" sqref="A2"/>
      <selection pane="bottomRight" activeCell="D8" sqref="D8"/>
    </sheetView>
  </sheetViews>
  <sheetFormatPr baseColWidth="10" defaultColWidth="11" defaultRowHeight="16"/>
  <cols>
    <col min="1" max="1" width="48.1640625" customWidth="1"/>
    <col min="2" max="2" width="19" customWidth="1"/>
  </cols>
  <sheetData>
    <row r="1" spans="1:2">
      <c r="A1" s="627" t="s">
        <v>1086</v>
      </c>
      <c r="B1" s="627"/>
    </row>
    <row r="2" spans="1:2">
      <c r="A2" t="s">
        <v>910</v>
      </c>
      <c r="B2" s="617">
        <v>0.4241520761995165</v>
      </c>
    </row>
    <row r="3" spans="1:2">
      <c r="A3" t="s">
        <v>101</v>
      </c>
      <c r="B3" s="617">
        <v>0.3078738754436659</v>
      </c>
    </row>
    <row r="4" spans="1:2">
      <c r="A4" t="s">
        <v>461</v>
      </c>
      <c r="B4" s="617">
        <v>0.12166397715390023</v>
      </c>
    </row>
    <row r="5" spans="1:2">
      <c r="A5" t="s">
        <v>911</v>
      </c>
      <c r="B5" s="617">
        <v>6.7130391975383952E-2</v>
      </c>
    </row>
    <row r="6" spans="1:2">
      <c r="A6" t="s">
        <v>619</v>
      </c>
      <c r="B6" s="617">
        <v>3.4108890928261797E-2</v>
      </c>
    </row>
    <row r="7" spans="1:2">
      <c r="A7" t="s">
        <v>618</v>
      </c>
      <c r="B7" s="617">
        <v>2.9922329534483153E-2</v>
      </c>
    </row>
    <row r="8" spans="1:2">
      <c r="A8" t="s">
        <v>617</v>
      </c>
      <c r="B8" s="617">
        <v>1.4092065236879775E-2</v>
      </c>
    </row>
    <row r="9" spans="1:2">
      <c r="A9" t="s">
        <v>912</v>
      </c>
      <c r="B9" s="617">
        <v>8.4503144501783117E-3</v>
      </c>
    </row>
    <row r="10" spans="1:2">
      <c r="A10" t="s">
        <v>620</v>
      </c>
      <c r="B10">
        <v>18653.770368666199</v>
      </c>
    </row>
    <row r="11" spans="1:2">
      <c r="A11" t="s">
        <v>124</v>
      </c>
      <c r="B11" s="617">
        <v>0.92082032077246656</v>
      </c>
    </row>
    <row r="12" spans="1:2">
      <c r="A12" t="s">
        <v>359</v>
      </c>
      <c r="B12">
        <v>2963.2867615080945</v>
      </c>
    </row>
  </sheetData>
  <mergeCells count="1">
    <mergeCell ref="A1:B1"/>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1469A0-03FB-AE4B-A443-9E5A3BFE4AD5}">
  <dimension ref="A1:X26"/>
  <sheetViews>
    <sheetView zoomScale="115" zoomScaleNormal="115" workbookViewId="0">
      <pane xSplit="1" ySplit="2" topLeftCell="B3" activePane="bottomRight" state="frozen"/>
      <selection pane="topRight" activeCell="B1" sqref="B1"/>
      <selection pane="bottomLeft" activeCell="A3" sqref="A3"/>
      <selection pane="bottomRight" activeCell="E19" sqref="E19"/>
    </sheetView>
  </sheetViews>
  <sheetFormatPr baseColWidth="10" defaultColWidth="11" defaultRowHeight="16"/>
  <cols>
    <col min="1" max="1" width="24.5" customWidth="1"/>
    <col min="2" max="2" width="9.83203125" customWidth="1"/>
  </cols>
  <sheetData>
    <row r="1" spans="1:24" ht="29" customHeight="1">
      <c r="A1" s="627" t="s">
        <v>1087</v>
      </c>
      <c r="B1" s="627"/>
      <c r="C1" s="627"/>
      <c r="D1" s="627"/>
      <c r="E1" s="627"/>
      <c r="F1" s="627"/>
      <c r="G1" s="627"/>
      <c r="H1" s="627"/>
      <c r="I1" s="627"/>
      <c r="J1" s="627"/>
    </row>
    <row r="2" spans="1:24" ht="15" customHeight="1">
      <c r="B2">
        <v>1984</v>
      </c>
      <c r="C2">
        <v>1988</v>
      </c>
      <c r="D2">
        <v>1992</v>
      </c>
      <c r="E2">
        <v>1996</v>
      </c>
      <c r="F2">
        <v>2000</v>
      </c>
      <c r="G2">
        <v>2004</v>
      </c>
      <c r="H2">
        <v>2008</v>
      </c>
      <c r="I2">
        <v>2010</v>
      </c>
      <c r="J2">
        <v>2011</v>
      </c>
      <c r="K2">
        <v>2012</v>
      </c>
      <c r="L2">
        <v>2013</v>
      </c>
      <c r="M2">
        <v>2014</v>
      </c>
      <c r="N2">
        <v>2015</v>
      </c>
      <c r="O2">
        <v>2016</v>
      </c>
      <c r="P2">
        <v>2017</v>
      </c>
      <c r="Q2">
        <v>2018</v>
      </c>
      <c r="R2">
        <v>2019</v>
      </c>
      <c r="S2">
        <v>2020</v>
      </c>
      <c r="T2">
        <v>2021</v>
      </c>
      <c r="U2">
        <v>2022</v>
      </c>
      <c r="V2">
        <v>2023</v>
      </c>
      <c r="W2">
        <v>2024</v>
      </c>
    </row>
    <row r="3" spans="1:24" ht="14" customHeight="1">
      <c r="A3" t="s">
        <v>80</v>
      </c>
      <c r="B3">
        <v>1459.3229999999999</v>
      </c>
      <c r="C3">
        <v>1956.7870000000003</v>
      </c>
      <c r="D3">
        <v>2346.9160000000002</v>
      </c>
      <c r="E3">
        <v>2471.192</v>
      </c>
      <c r="F3">
        <v>2989.9110000000001</v>
      </c>
      <c r="G3">
        <v>2927.9520000000002</v>
      </c>
      <c r="H3">
        <v>3187.317</v>
      </c>
      <c r="I3">
        <v>3354.5639999999999</v>
      </c>
      <c r="J3">
        <v>3359.634</v>
      </c>
      <c r="K3">
        <v>3272.2000000000003</v>
      </c>
      <c r="L3">
        <v>3113.12</v>
      </c>
      <c r="M3">
        <v>3067.53</v>
      </c>
      <c r="N3">
        <v>2742.82</v>
      </c>
      <c r="O3">
        <v>2756.17</v>
      </c>
      <c r="P3">
        <v>2559.31</v>
      </c>
      <c r="Q3">
        <v>2623.1</v>
      </c>
      <c r="R3">
        <v>2564.12</v>
      </c>
      <c r="S3">
        <v>2315.7900000000004</v>
      </c>
      <c r="T3">
        <v>2526.6999999999998</v>
      </c>
      <c r="U3">
        <v>2571.4299999999998</v>
      </c>
      <c r="V3">
        <v>2404.3799999999997</v>
      </c>
      <c r="W3">
        <v>2510.9</v>
      </c>
    </row>
    <row r="4" spans="1:24">
      <c r="A4" t="s">
        <v>81</v>
      </c>
      <c r="B4">
        <v>93.8</v>
      </c>
      <c r="C4">
        <v>142.4</v>
      </c>
      <c r="D4">
        <v>395.18400000000003</v>
      </c>
      <c r="E4">
        <v>664.48</v>
      </c>
      <c r="F4">
        <v>1270.431</v>
      </c>
      <c r="G4">
        <v>2065.201</v>
      </c>
      <c r="H4">
        <v>2931.1410000000001</v>
      </c>
      <c r="I4">
        <v>3474.62</v>
      </c>
      <c r="J4">
        <v>3748.0920000000001</v>
      </c>
      <c r="K4">
        <v>3967.587</v>
      </c>
      <c r="L4">
        <v>4090.9940000000001</v>
      </c>
      <c r="M4">
        <v>4235.6000000000004</v>
      </c>
      <c r="N4">
        <v>4254.6000000000004</v>
      </c>
      <c r="O4">
        <v>4415.6000000000004</v>
      </c>
      <c r="P4">
        <v>4365</v>
      </c>
      <c r="Q4">
        <v>4247.16</v>
      </c>
      <c r="R4">
        <v>4233.1289999999999</v>
      </c>
      <c r="S4">
        <v>3929.1</v>
      </c>
      <c r="T4">
        <v>3960</v>
      </c>
      <c r="U4">
        <v>4091.87</v>
      </c>
      <c r="V4">
        <v>3833.65</v>
      </c>
      <c r="W4">
        <v>3764.067</v>
      </c>
    </row>
    <row r="5" spans="1:24">
      <c r="A5" t="s">
        <v>84</v>
      </c>
      <c r="B5">
        <v>769.2</v>
      </c>
      <c r="C5">
        <v>894.9</v>
      </c>
      <c r="D5">
        <v>985.9</v>
      </c>
      <c r="E5">
        <v>1043.4000000000001</v>
      </c>
      <c r="F5">
        <v>1256.2</v>
      </c>
      <c r="G5">
        <v>1513.8999999999999</v>
      </c>
      <c r="H5">
        <v>2078.64</v>
      </c>
      <c r="I5">
        <v>2211.9900000000002</v>
      </c>
      <c r="J5">
        <v>2301.3000000000002</v>
      </c>
      <c r="K5">
        <v>2295.7400000000002</v>
      </c>
      <c r="L5">
        <v>2261.13</v>
      </c>
      <c r="M5">
        <v>2169.7999999999997</v>
      </c>
      <c r="N5">
        <v>2175.66</v>
      </c>
      <c r="O5">
        <v>2119.19</v>
      </c>
      <c r="P5">
        <v>2257.0700000000002</v>
      </c>
      <c r="Q5">
        <v>2327.8199999999997</v>
      </c>
      <c r="R5">
        <v>2301.9100000000003</v>
      </c>
      <c r="S5">
        <v>2009.3899999999999</v>
      </c>
      <c r="T5">
        <v>1936.6100000000001</v>
      </c>
      <c r="U5">
        <v>2000.16</v>
      </c>
      <c r="V5">
        <v>1999.48</v>
      </c>
      <c r="W5">
        <v>2017.0687558415841</v>
      </c>
    </row>
    <row r="6" spans="1:24">
      <c r="A6" t="s">
        <v>242</v>
      </c>
      <c r="B6">
        <v>666.69</v>
      </c>
      <c r="C6">
        <v>874.9899999999999</v>
      </c>
      <c r="D6">
        <v>1234.28</v>
      </c>
      <c r="E6">
        <v>1626.73</v>
      </c>
      <c r="F6">
        <v>1742.6289999999999</v>
      </c>
      <c r="G6">
        <v>1478.049</v>
      </c>
      <c r="H6">
        <v>1242.742</v>
      </c>
      <c r="I6">
        <v>1179.6780000000001</v>
      </c>
      <c r="J6">
        <v>1146.9880000000001</v>
      </c>
      <c r="K6">
        <v>1135.96</v>
      </c>
      <c r="L6">
        <v>1131.453</v>
      </c>
      <c r="M6">
        <v>1123.405</v>
      </c>
      <c r="N6">
        <v>1145.72</v>
      </c>
      <c r="O6">
        <v>1195.8580000000002</v>
      </c>
      <c r="P6">
        <v>1221.2613460000002</v>
      </c>
      <c r="Q6">
        <v>1218.8</v>
      </c>
      <c r="R6">
        <v>1288.5100000000002</v>
      </c>
      <c r="S6">
        <v>655.97</v>
      </c>
      <c r="T6">
        <v>849.18</v>
      </c>
      <c r="U6">
        <v>1510.0173</v>
      </c>
      <c r="V6">
        <v>1822.7048</v>
      </c>
      <c r="W6">
        <v>1878.81</v>
      </c>
    </row>
    <row r="7" spans="1:24" ht="17" customHeight="1">
      <c r="A7" t="s">
        <v>423</v>
      </c>
      <c r="B7">
        <v>2190</v>
      </c>
      <c r="C7">
        <v>2925</v>
      </c>
      <c r="D7">
        <v>2790</v>
      </c>
      <c r="E7">
        <v>3310</v>
      </c>
      <c r="F7">
        <v>3999.960626</v>
      </c>
      <c r="G7">
        <v>4317.2183897396471</v>
      </c>
      <c r="H7">
        <v>4688.822254460445</v>
      </c>
      <c r="I7">
        <v>4358.1679999999997</v>
      </c>
      <c r="J7">
        <v>4263.8649999999998</v>
      </c>
      <c r="K7">
        <v>4335.7759999999998</v>
      </c>
      <c r="L7">
        <v>3726.8670000000002</v>
      </c>
      <c r="M7">
        <v>3430.2</v>
      </c>
      <c r="N7">
        <v>3031.2759999999998</v>
      </c>
      <c r="O7">
        <v>2807.19</v>
      </c>
      <c r="P7">
        <v>2469.5190000000002</v>
      </c>
      <c r="Q7">
        <v>2305.09</v>
      </c>
      <c r="R7">
        <v>2088.7919999999999</v>
      </c>
      <c r="S7">
        <v>1695.5</v>
      </c>
      <c r="T7">
        <v>1709.7324666666666</v>
      </c>
      <c r="U7">
        <v>1708.1324666666669</v>
      </c>
      <c r="V7">
        <v>1687.7727067232095</v>
      </c>
      <c r="W7">
        <v>1498.7351119700429</v>
      </c>
    </row>
    <row r="8" spans="1:24">
      <c r="A8" t="s">
        <v>28</v>
      </c>
      <c r="B8">
        <v>771</v>
      </c>
      <c r="C8">
        <v>775</v>
      </c>
      <c r="D8">
        <v>993.9</v>
      </c>
      <c r="E8">
        <v>1011.2</v>
      </c>
      <c r="F8">
        <v>1300</v>
      </c>
      <c r="G8">
        <v>1847.1</v>
      </c>
      <c r="H8">
        <v>2394.4</v>
      </c>
      <c r="I8">
        <v>2134.5</v>
      </c>
      <c r="J8">
        <v>2088</v>
      </c>
      <c r="K8">
        <v>1922</v>
      </c>
      <c r="L8">
        <v>1555.7</v>
      </c>
      <c r="M8">
        <v>1384.55</v>
      </c>
      <c r="N8">
        <v>1213.4000000000001</v>
      </c>
      <c r="O8">
        <v>1119.5</v>
      </c>
      <c r="P8">
        <v>1025.5999999999999</v>
      </c>
      <c r="Q8">
        <v>976.05</v>
      </c>
      <c r="R8">
        <v>926.5</v>
      </c>
      <c r="S8">
        <v>844.35</v>
      </c>
      <c r="T8">
        <v>762.2</v>
      </c>
      <c r="U8">
        <v>766.65</v>
      </c>
      <c r="V8">
        <v>771.1</v>
      </c>
      <c r="W8">
        <v>775.96034399999996</v>
      </c>
    </row>
    <row r="9" spans="1:24" ht="18" customHeight="1">
      <c r="A9" t="s">
        <v>26</v>
      </c>
      <c r="F9">
        <v>141.4</v>
      </c>
      <c r="G9">
        <v>364</v>
      </c>
      <c r="H9">
        <v>1609</v>
      </c>
      <c r="I9">
        <v>2279</v>
      </c>
      <c r="J9">
        <v>2674</v>
      </c>
      <c r="K9">
        <v>3085</v>
      </c>
      <c r="L9">
        <v>3418</v>
      </c>
      <c r="M9">
        <v>3793</v>
      </c>
      <c r="N9">
        <v>4604</v>
      </c>
      <c r="O9">
        <v>5485</v>
      </c>
      <c r="P9">
        <v>6771</v>
      </c>
      <c r="Q9">
        <v>7592</v>
      </c>
      <c r="R9">
        <v>8760</v>
      </c>
      <c r="S9">
        <v>9624</v>
      </c>
      <c r="T9">
        <v>12966.974416273639</v>
      </c>
      <c r="U9">
        <v>14670.258851878738</v>
      </c>
      <c r="V9">
        <v>16680.144172375414</v>
      </c>
      <c r="W9">
        <v>18437.693735673252</v>
      </c>
    </row>
    <row r="10" spans="1:24" ht="18" customHeight="1">
      <c r="A10" t="s">
        <v>86</v>
      </c>
      <c r="J10">
        <v>5.1909091794600002</v>
      </c>
      <c r="K10">
        <v>9.5942200112386793</v>
      </c>
      <c r="L10">
        <v>19.851234820679995</v>
      </c>
      <c r="M10">
        <v>44.190343834999993</v>
      </c>
      <c r="N10">
        <v>76.639321802499978</v>
      </c>
      <c r="O10">
        <v>101.67369179999999</v>
      </c>
      <c r="P10">
        <v>162.12586366099998</v>
      </c>
      <c r="Q10">
        <v>214.35330414999999</v>
      </c>
      <c r="R10">
        <v>271.16319449439999</v>
      </c>
      <c r="S10">
        <v>339.68351949919997</v>
      </c>
      <c r="T10">
        <v>465.17615990213369</v>
      </c>
      <c r="U10">
        <v>405.54146981945604</v>
      </c>
      <c r="V10">
        <v>485.78908330330444</v>
      </c>
      <c r="W10">
        <v>547.52432899873406</v>
      </c>
    </row>
    <row r="11" spans="1:24">
      <c r="A11" t="s">
        <v>241</v>
      </c>
      <c r="J11">
        <v>82.91</v>
      </c>
      <c r="K11">
        <v>182.95000000000002</v>
      </c>
      <c r="L11">
        <v>290.96000000000004</v>
      </c>
      <c r="M11">
        <v>436.86999999999995</v>
      </c>
      <c r="N11">
        <v>609.26</v>
      </c>
      <c r="O11">
        <v>821.1400000000001</v>
      </c>
      <c r="P11">
        <v>976.6849010050305</v>
      </c>
      <c r="Q11">
        <v>1367.7638915254599</v>
      </c>
      <c r="R11">
        <v>1950.4656765968634</v>
      </c>
      <c r="S11">
        <v>2579.9124582667914</v>
      </c>
      <c r="T11">
        <v>3053.2058856066988</v>
      </c>
      <c r="U11">
        <v>3633.4</v>
      </c>
      <c r="V11">
        <v>4091.8574704618518</v>
      </c>
      <c r="W11">
        <v>4814.7927980109298</v>
      </c>
    </row>
    <row r="12" spans="1:24">
      <c r="A12" t="s">
        <v>83</v>
      </c>
      <c r="I12">
        <v>915.26551180000001</v>
      </c>
      <c r="J12">
        <v>989.33585559999995</v>
      </c>
      <c r="K12">
        <v>1124.9397956999999</v>
      </c>
      <c r="L12">
        <v>1303.0980349999998</v>
      </c>
      <c r="M12">
        <v>1563.8880479999998</v>
      </c>
      <c r="N12">
        <v>2076.2889260000002</v>
      </c>
      <c r="O12">
        <v>2244.3016520000006</v>
      </c>
      <c r="P12">
        <v>2371.4710879999998</v>
      </c>
      <c r="Q12">
        <v>3507.25614</v>
      </c>
      <c r="R12">
        <v>3592.8869699999996</v>
      </c>
      <c r="S12">
        <v>3488.2343600000004</v>
      </c>
      <c r="T12">
        <v>3932.5196900000001</v>
      </c>
      <c r="U12">
        <v>4294.6438799999996</v>
      </c>
      <c r="V12">
        <v>4332.1270000000004</v>
      </c>
      <c r="W12">
        <v>4614.9742983774595</v>
      </c>
    </row>
    <row r="13" spans="1:24">
      <c r="A13" t="s">
        <v>243</v>
      </c>
      <c r="C13">
        <v>0</v>
      </c>
      <c r="D13">
        <v>0</v>
      </c>
      <c r="E13">
        <v>0</v>
      </c>
      <c r="F13">
        <v>0</v>
      </c>
      <c r="G13">
        <v>0</v>
      </c>
      <c r="H13">
        <v>146.69</v>
      </c>
      <c r="I13">
        <v>182.82</v>
      </c>
      <c r="J13">
        <v>209.72000000000003</v>
      </c>
      <c r="K13">
        <v>232.98000000000002</v>
      </c>
      <c r="L13">
        <v>273.58</v>
      </c>
      <c r="M13">
        <v>280.42</v>
      </c>
      <c r="N13">
        <v>354.67</v>
      </c>
      <c r="O13">
        <v>421.75</v>
      </c>
      <c r="P13">
        <v>518.16999999999996</v>
      </c>
      <c r="Q13">
        <v>698.57</v>
      </c>
      <c r="R13">
        <v>817.55000000000007</v>
      </c>
      <c r="S13">
        <v>904.72</v>
      </c>
      <c r="T13">
        <v>1032.1399999999999</v>
      </c>
      <c r="U13">
        <v>1114</v>
      </c>
      <c r="V13">
        <v>1194.8900000000001</v>
      </c>
      <c r="W13">
        <v>1277.7799999999997</v>
      </c>
      <c r="X13">
        <f>W12/W13</f>
        <v>3.611712734881952</v>
      </c>
    </row>
    <row r="14" spans="1:24">
      <c r="A14" t="s">
        <v>424</v>
      </c>
      <c r="I14">
        <v>245.709</v>
      </c>
      <c r="J14">
        <v>289.572</v>
      </c>
      <c r="K14">
        <v>277.315</v>
      </c>
      <c r="L14">
        <v>261.495</v>
      </c>
      <c r="M14">
        <v>274.38499999999999</v>
      </c>
      <c r="N14">
        <v>282.21100000000001</v>
      </c>
      <c r="O14">
        <v>275</v>
      </c>
      <c r="P14">
        <v>301</v>
      </c>
      <c r="Q14">
        <v>325</v>
      </c>
      <c r="R14">
        <v>275</v>
      </c>
      <c r="S14">
        <v>245</v>
      </c>
      <c r="T14">
        <v>275</v>
      </c>
      <c r="U14">
        <v>337.4</v>
      </c>
      <c r="V14">
        <v>378.24852173913041</v>
      </c>
      <c r="W14">
        <v>401.67310993090751</v>
      </c>
    </row>
    <row r="15" spans="1:24">
      <c r="A15" t="s">
        <v>244</v>
      </c>
      <c r="B15">
        <f t="shared" ref="B15:W15" si="0">SUM(B3:B14)</f>
        <v>5950.0129999999999</v>
      </c>
      <c r="C15">
        <f t="shared" si="0"/>
        <v>7569.0770000000002</v>
      </c>
      <c r="D15">
        <f t="shared" si="0"/>
        <v>8746.18</v>
      </c>
      <c r="E15">
        <f t="shared" si="0"/>
        <v>10127.002</v>
      </c>
      <c r="F15">
        <f t="shared" si="0"/>
        <v>12700.531626</v>
      </c>
      <c r="G15">
        <f t="shared" si="0"/>
        <v>14513.420389739647</v>
      </c>
      <c r="H15">
        <f t="shared" si="0"/>
        <v>18278.752254460444</v>
      </c>
      <c r="I15">
        <f t="shared" si="0"/>
        <v>20336.314511799996</v>
      </c>
      <c r="J15">
        <f t="shared" si="0"/>
        <v>21158.607764779459</v>
      </c>
      <c r="K15">
        <f t="shared" si="0"/>
        <v>21842.042015711238</v>
      </c>
      <c r="L15">
        <f t="shared" si="0"/>
        <v>21446.248269820677</v>
      </c>
      <c r="M15">
        <f t="shared" si="0"/>
        <v>21803.838391834994</v>
      </c>
      <c r="N15">
        <f t="shared" si="0"/>
        <v>22566.545247802496</v>
      </c>
      <c r="O15">
        <f t="shared" si="0"/>
        <v>23762.373343800002</v>
      </c>
      <c r="P15">
        <f t="shared" si="0"/>
        <v>24998.212198666031</v>
      </c>
      <c r="Q15">
        <f t="shared" si="0"/>
        <v>27402.96333567546</v>
      </c>
      <c r="R15">
        <f t="shared" si="0"/>
        <v>29070.026841091261</v>
      </c>
      <c r="S15">
        <f t="shared" si="0"/>
        <v>28631.65033776599</v>
      </c>
      <c r="T15">
        <f t="shared" si="0"/>
        <v>33469.438618449138</v>
      </c>
      <c r="U15">
        <f t="shared" si="0"/>
        <v>37103.503968364857</v>
      </c>
      <c r="V15">
        <f t="shared" si="0"/>
        <v>39682.143754602912</v>
      </c>
      <c r="W15">
        <f t="shared" si="0"/>
        <v>42539.979482802912</v>
      </c>
    </row>
    <row r="17" spans="1:23">
      <c r="W17">
        <f>W3+W7+W6+W8+W14</f>
        <v>7066.0785659009498</v>
      </c>
    </row>
    <row r="18" spans="1:23">
      <c r="W18">
        <f>58.7</f>
        <v>58.7</v>
      </c>
    </row>
    <row r="19" spans="1:23">
      <c r="W19">
        <f>W18/W17</f>
        <v>8.3072951216918069E-3</v>
      </c>
    </row>
    <row r="26" spans="1:23"/>
  </sheetData>
  <mergeCells count="1">
    <mergeCell ref="A1:J1"/>
  </mergeCells>
  <pageMargins left="0.7" right="0.7" top="0.75" bottom="0.75" header="0.3" footer="0.3"/>
  <pageSetup orientation="portrait" horizontalDpi="0" verticalDpi="0"/>
  <ignoredErrors>
    <ignoredError sqref="B15:V15" formulaRange="1"/>
  </ignoredErrors>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3C1424-DDA0-9C48-86E4-0B9E43377704}">
  <sheetPr>
    <tabColor rgb="FFFFC000"/>
  </sheetPr>
  <dimension ref="A1:S24"/>
  <sheetViews>
    <sheetView zoomScale="118" zoomScaleNormal="115" workbookViewId="0">
      <pane xSplit="1" ySplit="2" topLeftCell="B3" activePane="bottomRight" state="frozen"/>
      <selection pane="topRight" activeCell="B1" sqref="B1"/>
      <selection pane="bottomLeft" activeCell="A3" sqref="A3"/>
      <selection pane="bottomRight" activeCell="L15" sqref="L15"/>
    </sheetView>
  </sheetViews>
  <sheetFormatPr baseColWidth="10" defaultColWidth="11" defaultRowHeight="16"/>
  <cols>
    <col min="1" max="1" width="20.5" customWidth="1"/>
  </cols>
  <sheetData>
    <row r="1" spans="1:19">
      <c r="A1" s="627" t="s">
        <v>1088</v>
      </c>
      <c r="B1" s="627"/>
      <c r="C1" s="627"/>
      <c r="D1" s="627"/>
      <c r="E1" s="627"/>
      <c r="F1" s="627"/>
      <c r="G1" s="627"/>
      <c r="H1" s="627"/>
      <c r="I1" s="627"/>
      <c r="J1" s="627"/>
      <c r="K1" s="627"/>
    </row>
    <row r="2" spans="1:19">
      <c r="B2">
        <v>2000</v>
      </c>
      <c r="C2">
        <v>2004</v>
      </c>
      <c r="D2">
        <v>2008</v>
      </c>
      <c r="E2">
        <v>2010</v>
      </c>
      <c r="F2">
        <v>2011</v>
      </c>
      <c r="G2">
        <v>2012</v>
      </c>
      <c r="H2">
        <v>2013</v>
      </c>
      <c r="I2">
        <v>2014</v>
      </c>
      <c r="J2">
        <v>2015</v>
      </c>
      <c r="K2">
        <v>2016</v>
      </c>
      <c r="L2">
        <v>2017</v>
      </c>
      <c r="M2">
        <v>2018</v>
      </c>
      <c r="N2">
        <v>2019</v>
      </c>
      <c r="O2">
        <v>2020</v>
      </c>
      <c r="P2">
        <v>2021</v>
      </c>
      <c r="Q2">
        <v>2022</v>
      </c>
      <c r="R2">
        <v>2023</v>
      </c>
      <c r="S2">
        <v>2024</v>
      </c>
    </row>
    <row r="3" spans="1:19">
      <c r="A3" t="s">
        <v>252</v>
      </c>
      <c r="B3">
        <f>B5-B4</f>
        <v>141.39999999999964</v>
      </c>
      <c r="C3">
        <f t="shared" ref="C3:S3" si="0">C5-C4</f>
        <v>364</v>
      </c>
      <c r="D3">
        <f t="shared" si="0"/>
        <v>1936.4389999999985</v>
      </c>
      <c r="E3">
        <f t="shared" si="0"/>
        <v>3171.3245117999977</v>
      </c>
      <c r="F3">
        <f t="shared" si="0"/>
        <v>3813.2011854736193</v>
      </c>
      <c r="G3">
        <f t="shared" si="0"/>
        <v>4466.412453652807</v>
      </c>
      <c r="H3">
        <f t="shared" si="0"/>
        <v>5102.715076251945</v>
      </c>
      <c r="I3">
        <f t="shared" si="0"/>
        <v>5892.1872845190883</v>
      </c>
      <c r="J3">
        <f t="shared" si="0"/>
        <v>7405.8707274871595</v>
      </c>
      <c r="K3">
        <f t="shared" si="0"/>
        <v>8722.9744104852361</v>
      </c>
      <c r="L3">
        <f t="shared" si="0"/>
        <v>10465.647882339736</v>
      </c>
      <c r="M3">
        <f t="shared" si="0"/>
        <v>12753.977712064876</v>
      </c>
      <c r="N3">
        <f t="shared" si="0"/>
        <v>14594.492710121773</v>
      </c>
      <c r="O3">
        <f t="shared" si="0"/>
        <v>16222.198126402076</v>
      </c>
      <c r="P3">
        <f t="shared" si="0"/>
        <v>20713.464059997343</v>
      </c>
      <c r="Q3">
        <f t="shared" si="0"/>
        <v>23328.600036425458</v>
      </c>
      <c r="R3">
        <f t="shared" si="0"/>
        <v>26018.194221020596</v>
      </c>
      <c r="S3">
        <f t="shared" si="0"/>
        <v>29093.509199381442</v>
      </c>
    </row>
    <row r="4" spans="1:19">
      <c r="A4" t="s">
        <v>253</v>
      </c>
      <c r="B4">
        <v>12559.131626</v>
      </c>
      <c r="C4">
        <v>14149.420389739647</v>
      </c>
      <c r="D4">
        <v>16523.062254460445</v>
      </c>
      <c r="E4">
        <v>17164.989999999998</v>
      </c>
      <c r="F4">
        <v>17345.409</v>
      </c>
      <c r="G4">
        <v>17375.633000000002</v>
      </c>
      <c r="H4">
        <v>16343.534</v>
      </c>
      <c r="I4">
        <v>15911.654999999999</v>
      </c>
      <c r="J4">
        <v>15160.675999999999</v>
      </c>
      <c r="K4">
        <v>15039.398000000001</v>
      </c>
      <c r="L4">
        <v>14532.560346</v>
      </c>
      <c r="M4">
        <v>14634.55</v>
      </c>
      <c r="N4">
        <v>14475.530999999999</v>
      </c>
      <c r="O4">
        <v>12409.45</v>
      </c>
      <c r="P4">
        <v>12755.972466666666</v>
      </c>
      <c r="Q4">
        <v>13774.899766666664</v>
      </c>
      <c r="R4">
        <v>13663.947506723211</v>
      </c>
      <c r="S4">
        <v>13446.47271474282</v>
      </c>
    </row>
    <row r="5" spans="1:19">
      <c r="A5" t="s">
        <v>928</v>
      </c>
      <c r="B5">
        <v>12700.531626</v>
      </c>
      <c r="C5">
        <v>14513.420389739647</v>
      </c>
      <c r="D5">
        <v>18459.501254460443</v>
      </c>
      <c r="E5">
        <v>20336.314511799996</v>
      </c>
      <c r="F5">
        <v>21158.610185473619</v>
      </c>
      <c r="G5">
        <v>21842.045453652809</v>
      </c>
      <c r="H5">
        <v>21446.249076251945</v>
      </c>
      <c r="I5">
        <v>21803.842284519087</v>
      </c>
      <c r="J5">
        <v>22566.546727487159</v>
      </c>
      <c r="K5">
        <v>23762.372410485237</v>
      </c>
      <c r="L5">
        <v>24998.208228339736</v>
      </c>
      <c r="M5">
        <v>27388.527712064875</v>
      </c>
      <c r="N5">
        <v>29070.023710121772</v>
      </c>
      <c r="O5">
        <v>28631.648126402077</v>
      </c>
      <c r="P5">
        <v>33469.436526664009</v>
      </c>
      <c r="Q5">
        <v>37103.49980309212</v>
      </c>
      <c r="R5">
        <v>39682.141727743809</v>
      </c>
      <c r="S5">
        <v>42539.981914124262</v>
      </c>
    </row>
    <row r="7" spans="1:19">
      <c r="B7">
        <v>2000</v>
      </c>
      <c r="C7">
        <v>2004</v>
      </c>
      <c r="D7">
        <v>2008</v>
      </c>
      <c r="E7">
        <v>2010</v>
      </c>
      <c r="F7">
        <v>2011</v>
      </c>
      <c r="G7">
        <v>2012</v>
      </c>
      <c r="H7">
        <v>2013</v>
      </c>
      <c r="I7">
        <v>2014</v>
      </c>
      <c r="J7">
        <v>2015</v>
      </c>
      <c r="K7">
        <v>2016</v>
      </c>
      <c r="L7">
        <v>2017</v>
      </c>
      <c r="M7">
        <v>2018</v>
      </c>
      <c r="N7">
        <v>2019</v>
      </c>
      <c r="O7">
        <v>2020</v>
      </c>
      <c r="P7">
        <v>2021</v>
      </c>
      <c r="Q7">
        <v>2022</v>
      </c>
      <c r="R7">
        <v>2023</v>
      </c>
      <c r="S7">
        <v>2024</v>
      </c>
    </row>
    <row r="8" spans="1:19">
      <c r="A8" t="s">
        <v>252</v>
      </c>
      <c r="B8">
        <f>B3/B5</f>
        <v>1.113339222041158E-2</v>
      </c>
      <c r="C8">
        <f t="shared" ref="C8:S8" si="1">C3/C5</f>
        <v>2.5080235411449395E-2</v>
      </c>
      <c r="D8">
        <f t="shared" si="1"/>
        <v>0.10490202163680283</v>
      </c>
      <c r="E8">
        <f t="shared" si="1"/>
        <v>0.15594391549952968</v>
      </c>
      <c r="F8">
        <f t="shared" si="1"/>
        <v>0.18021983259049601</v>
      </c>
      <c r="G8">
        <f t="shared" si="1"/>
        <v>0.20448691323943086</v>
      </c>
      <c r="H8">
        <f t="shared" si="1"/>
        <v>0.23793042121768182</v>
      </c>
      <c r="I8">
        <f t="shared" si="1"/>
        <v>0.27023619083424538</v>
      </c>
      <c r="J8">
        <f t="shared" si="1"/>
        <v>0.32817917676639669</v>
      </c>
      <c r="K8">
        <f t="shared" si="1"/>
        <v>0.36709189889794802</v>
      </c>
      <c r="L8">
        <f t="shared" si="1"/>
        <v>0.41865592072615576</v>
      </c>
      <c r="M8">
        <f t="shared" si="1"/>
        <v>0.46566861301006124</v>
      </c>
      <c r="N8">
        <f t="shared" si="1"/>
        <v>0.50204612337623156</v>
      </c>
      <c r="O8">
        <f t="shared" si="1"/>
        <v>0.56658275677267478</v>
      </c>
      <c r="P8">
        <f t="shared" si="1"/>
        <v>0.61887698777048727</v>
      </c>
      <c r="Q8">
        <f t="shared" si="1"/>
        <v>0.62874392335575058</v>
      </c>
      <c r="R8">
        <f t="shared" si="1"/>
        <v>0.65566506968120497</v>
      </c>
      <c r="S8">
        <f t="shared" si="1"/>
        <v>0.68390976888783583</v>
      </c>
    </row>
    <row r="9" spans="1:19">
      <c r="A9" t="s">
        <v>253</v>
      </c>
      <c r="B9">
        <f>B4/B5</f>
        <v>0.98886660777958846</v>
      </c>
      <c r="C9">
        <f t="shared" ref="C9:S9" si="2">C4/C5</f>
        <v>0.97491976458855056</v>
      </c>
      <c r="D9">
        <f t="shared" si="2"/>
        <v>0.89509797836319716</v>
      </c>
      <c r="E9">
        <f t="shared" si="2"/>
        <v>0.84405608450047032</v>
      </c>
      <c r="F9">
        <f t="shared" si="2"/>
        <v>0.81978016740950399</v>
      </c>
      <c r="G9">
        <f t="shared" si="2"/>
        <v>0.7955130867605692</v>
      </c>
      <c r="H9">
        <f t="shared" si="2"/>
        <v>0.76206957878231818</v>
      </c>
      <c r="I9">
        <f t="shared" si="2"/>
        <v>0.72976380916575467</v>
      </c>
      <c r="J9">
        <f t="shared" si="2"/>
        <v>0.67182082323360326</v>
      </c>
      <c r="K9">
        <f t="shared" si="2"/>
        <v>0.63290810110205198</v>
      </c>
      <c r="L9">
        <f t="shared" si="2"/>
        <v>0.58134407927384424</v>
      </c>
      <c r="M9">
        <f t="shared" si="2"/>
        <v>0.53433138698993876</v>
      </c>
      <c r="N9">
        <f t="shared" si="2"/>
        <v>0.49795387662376839</v>
      </c>
      <c r="O9">
        <f t="shared" si="2"/>
        <v>0.43341724322732528</v>
      </c>
      <c r="P9">
        <f t="shared" si="2"/>
        <v>0.38112301222951273</v>
      </c>
      <c r="Q9">
        <f t="shared" si="2"/>
        <v>0.37125607664424948</v>
      </c>
      <c r="R9">
        <f t="shared" si="2"/>
        <v>0.34433493031879497</v>
      </c>
      <c r="S9">
        <f t="shared" si="2"/>
        <v>0.31609023111216411</v>
      </c>
    </row>
    <row r="11" spans="1:19">
      <c r="A11" s="579" t="s">
        <v>425</v>
      </c>
    </row>
    <row r="12" spans="1:19">
      <c r="A12" t="s">
        <v>252</v>
      </c>
      <c r="B12" t="s">
        <v>26</v>
      </c>
    </row>
    <row r="13" spans="1:19">
      <c r="B13" t="s">
        <v>426</v>
      </c>
    </row>
    <row r="14" spans="1:19">
      <c r="B14" t="s">
        <v>427</v>
      </c>
    </row>
    <row r="15" spans="1:19">
      <c r="B15" t="s">
        <v>929</v>
      </c>
    </row>
    <row r="16" spans="1:19">
      <c r="B16" t="s">
        <v>86</v>
      </c>
    </row>
    <row r="17" spans="1:2">
      <c r="B17" t="s">
        <v>428</v>
      </c>
    </row>
    <row r="19" spans="1:2">
      <c r="A19" t="s">
        <v>253</v>
      </c>
      <c r="B19" t="s">
        <v>429</v>
      </c>
    </row>
    <row r="20" spans="1:2">
      <c r="B20" t="s">
        <v>245</v>
      </c>
    </row>
    <row r="21" spans="1:2">
      <c r="B21" t="s">
        <v>930</v>
      </c>
    </row>
    <row r="22" spans="1:2">
      <c r="B22" t="s">
        <v>430</v>
      </c>
    </row>
    <row r="23" spans="1:2">
      <c r="B23" t="s">
        <v>431</v>
      </c>
    </row>
    <row r="24" spans="1:2">
      <c r="B24" t="s">
        <v>931</v>
      </c>
    </row>
  </sheetData>
  <mergeCells count="1">
    <mergeCell ref="A1:K1"/>
  </mergeCells>
  <pageMargins left="0.7" right="0.7" top="0.75" bottom="0.75" header="0.3" footer="0.3"/>
  <pageSetup orientation="portrait" horizontalDpi="0" verticalDpi="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1810A-77BD-9249-9145-FA7572830FE2}">
  <sheetPr>
    <tabColor rgb="FFC00000"/>
  </sheetPr>
  <dimension ref="A1:Z36"/>
  <sheetViews>
    <sheetView zoomScale="75" zoomScaleNormal="130" workbookViewId="0">
      <pane xSplit="1" ySplit="2" topLeftCell="B3" activePane="bottomRight" state="frozen"/>
      <selection pane="topRight" activeCell="B1" sqref="B1"/>
      <selection pane="bottomLeft" activeCell="A3" sqref="A3"/>
      <selection pane="bottomRight" activeCell="E14" sqref="E14"/>
    </sheetView>
  </sheetViews>
  <sheetFormatPr baseColWidth="10" defaultColWidth="11" defaultRowHeight="16"/>
  <cols>
    <col min="1" max="1" width="12.83203125" style="2" customWidth="1"/>
    <col min="2" max="5" width="11" style="2" bestFit="1" customWidth="1"/>
    <col min="6" max="6" width="11.33203125" style="2" bestFit="1" customWidth="1"/>
    <col min="7" max="23" width="11" style="2" bestFit="1" customWidth="1"/>
    <col min="24" max="16384" width="11" style="2"/>
  </cols>
  <sheetData>
    <row r="1" spans="1:26" ht="18">
      <c r="A1" s="633" t="s">
        <v>1089</v>
      </c>
      <c r="B1" s="634"/>
      <c r="C1" s="634"/>
      <c r="D1" s="634"/>
      <c r="E1" s="634"/>
      <c r="F1" s="634"/>
      <c r="G1" s="634"/>
      <c r="H1" s="634"/>
      <c r="I1" s="634"/>
      <c r="J1" s="634"/>
      <c r="K1" s="634"/>
      <c r="L1" s="634"/>
      <c r="M1" s="634"/>
    </row>
    <row r="2" spans="1:26">
      <c r="A2" s="1"/>
      <c r="B2" s="58">
        <v>1984</v>
      </c>
      <c r="C2" s="58">
        <v>1988</v>
      </c>
      <c r="D2" s="58">
        <v>1992</v>
      </c>
      <c r="E2" s="58">
        <v>1996</v>
      </c>
      <c r="F2" s="58">
        <v>2000</v>
      </c>
      <c r="G2" s="58">
        <v>2004</v>
      </c>
      <c r="H2" s="58">
        <v>2008</v>
      </c>
      <c r="I2" s="58">
        <v>2010</v>
      </c>
      <c r="J2" s="58">
        <v>2011</v>
      </c>
      <c r="K2" s="58">
        <v>2012</v>
      </c>
      <c r="L2" s="58">
        <v>2013</v>
      </c>
      <c r="M2" s="58">
        <v>2014</v>
      </c>
      <c r="N2" s="58">
        <v>2015</v>
      </c>
      <c r="O2" s="58">
        <v>2016</v>
      </c>
      <c r="P2" s="58">
        <v>2017</v>
      </c>
      <c r="Q2" s="58">
        <v>2018</v>
      </c>
      <c r="R2" s="58">
        <v>2019</v>
      </c>
      <c r="S2" s="58">
        <v>2020</v>
      </c>
      <c r="T2" s="58">
        <v>2021</v>
      </c>
      <c r="U2" s="212">
        <v>2022</v>
      </c>
      <c r="V2" s="31">
        <v>2023</v>
      </c>
      <c r="W2" s="31">
        <v>2024</v>
      </c>
    </row>
    <row r="3" spans="1:26" ht="17" customHeight="1">
      <c r="A3" s="310" t="s">
        <v>80</v>
      </c>
      <c r="B3" s="365">
        <v>1459.32</v>
      </c>
      <c r="C3" s="365">
        <v>1956.79</v>
      </c>
      <c r="D3" s="365">
        <v>2346.92</v>
      </c>
      <c r="E3" s="365">
        <v>2471.19</v>
      </c>
      <c r="F3" s="365">
        <v>2989.91</v>
      </c>
      <c r="G3" s="365">
        <v>2927.95</v>
      </c>
      <c r="H3" s="365">
        <v>3187.32</v>
      </c>
      <c r="I3" s="365">
        <v>3354.56</v>
      </c>
      <c r="J3" s="365">
        <v>3359.63</v>
      </c>
      <c r="K3" s="365">
        <v>3272.2</v>
      </c>
      <c r="L3" s="365">
        <v>3113.12</v>
      </c>
      <c r="M3" s="365">
        <v>3067.53</v>
      </c>
      <c r="N3" s="365">
        <v>2742.82</v>
      </c>
      <c r="O3" s="365">
        <v>2756.17</v>
      </c>
      <c r="P3" s="365">
        <v>2559.31</v>
      </c>
      <c r="Q3" s="365">
        <v>2623.1</v>
      </c>
      <c r="R3" s="365">
        <v>2564.12</v>
      </c>
      <c r="S3" s="365">
        <v>2315.79</v>
      </c>
      <c r="T3" s="365">
        <v>2526.6999999999998</v>
      </c>
      <c r="U3" s="365">
        <v>2571.4299999999998</v>
      </c>
      <c r="V3" s="365">
        <v>2404.38</v>
      </c>
      <c r="W3" s="366">
        <v>2510.9</v>
      </c>
    </row>
    <row r="4" spans="1:26">
      <c r="A4" s="11" t="s">
        <v>245</v>
      </c>
      <c r="B4" s="366">
        <v>769.2</v>
      </c>
      <c r="C4" s="366">
        <v>894.9</v>
      </c>
      <c r="D4" s="366">
        <v>985.9</v>
      </c>
      <c r="E4" s="366">
        <v>1043.4000000000001</v>
      </c>
      <c r="F4" s="366">
        <v>1256.2</v>
      </c>
      <c r="G4" s="366">
        <v>1513.8999999999999</v>
      </c>
      <c r="H4" s="366">
        <v>1956.63</v>
      </c>
      <c r="I4" s="366">
        <v>2022.51</v>
      </c>
      <c r="J4" s="366">
        <v>2062.91</v>
      </c>
      <c r="K4" s="366">
        <v>2036.14</v>
      </c>
      <c r="L4" s="366">
        <v>2028.78</v>
      </c>
      <c r="M4" s="366">
        <v>1907</v>
      </c>
      <c r="N4" s="366">
        <v>1877.4</v>
      </c>
      <c r="O4" s="366">
        <v>1831.56</v>
      </c>
      <c r="P4" s="366">
        <v>1834.9</v>
      </c>
      <c r="Q4" s="366">
        <v>1860.5</v>
      </c>
      <c r="R4" s="366">
        <v>1815</v>
      </c>
      <c r="S4" s="366">
        <v>1521.55</v>
      </c>
      <c r="T4" s="366">
        <v>1466.44</v>
      </c>
      <c r="U4" s="366">
        <v>1468.43</v>
      </c>
      <c r="V4" s="366">
        <v>1478.79</v>
      </c>
      <c r="W4" s="366">
        <v>1508.87</v>
      </c>
      <c r="Y4" s="64"/>
    </row>
    <row r="5" spans="1:26">
      <c r="A5" s="11" t="s">
        <v>21</v>
      </c>
      <c r="B5" s="367">
        <v>2190</v>
      </c>
      <c r="C5" s="366">
        <v>2925</v>
      </c>
      <c r="D5" s="366">
        <v>2790</v>
      </c>
      <c r="E5" s="362">
        <v>3310</v>
      </c>
      <c r="F5" s="362">
        <v>3999.960626</v>
      </c>
      <c r="G5" s="362">
        <v>4317.2183897396471</v>
      </c>
      <c r="H5" s="362">
        <v>4735.1822544604447</v>
      </c>
      <c r="I5" s="362">
        <v>4603.8769999999995</v>
      </c>
      <c r="J5" s="362">
        <v>4553.4369999999999</v>
      </c>
      <c r="K5" s="362">
        <v>4613.0909999999994</v>
      </c>
      <c r="L5" s="362">
        <v>3988.3620000000001</v>
      </c>
      <c r="M5" s="362">
        <v>3855.4900000000002</v>
      </c>
      <c r="N5" s="362">
        <v>3472.7670000000003</v>
      </c>
      <c r="O5" s="362">
        <v>3121.3050000000003</v>
      </c>
      <c r="P5" s="362">
        <v>2830.5190000000002</v>
      </c>
      <c r="Q5" s="363">
        <v>2721.09</v>
      </c>
      <c r="R5" s="363">
        <v>2363.7919999999999</v>
      </c>
      <c r="S5" s="363">
        <v>1940.5</v>
      </c>
      <c r="T5" s="363">
        <v>1984.7324666666666</v>
      </c>
      <c r="U5" s="365">
        <v>2045.5324666666666</v>
      </c>
      <c r="V5" s="363">
        <v>2067.8114533394109</v>
      </c>
      <c r="W5" s="363">
        <v>1900.457346203619</v>
      </c>
      <c r="Y5" s="64"/>
    </row>
    <row r="6" spans="1:26">
      <c r="A6" s="11" t="s">
        <v>28</v>
      </c>
      <c r="B6" s="364">
        <v>771</v>
      </c>
      <c r="C6" s="364">
        <v>775</v>
      </c>
      <c r="D6" s="364">
        <v>993.9</v>
      </c>
      <c r="E6" s="364">
        <v>1011.2</v>
      </c>
      <c r="F6" s="364">
        <v>1300</v>
      </c>
      <c r="G6" s="364">
        <v>1847.1</v>
      </c>
      <c r="H6" s="364">
        <v>2394.4</v>
      </c>
      <c r="I6" s="364">
        <v>2134.5</v>
      </c>
      <c r="J6" s="364">
        <v>2088</v>
      </c>
      <c r="K6" s="364">
        <v>1922</v>
      </c>
      <c r="L6" s="366">
        <v>1555.7</v>
      </c>
      <c r="M6" s="366">
        <v>1384.55</v>
      </c>
      <c r="N6" s="366">
        <v>1213.4000000000001</v>
      </c>
      <c r="O6" s="366">
        <v>1119.5</v>
      </c>
      <c r="P6" s="366">
        <v>1025.5999999999999</v>
      </c>
      <c r="Q6" s="366">
        <v>976.05</v>
      </c>
      <c r="R6" s="366">
        <v>926.5</v>
      </c>
      <c r="S6" s="366">
        <v>844.35</v>
      </c>
      <c r="T6" s="366">
        <v>762.2</v>
      </c>
      <c r="U6" s="366">
        <v>766.65</v>
      </c>
      <c r="V6" s="366">
        <v>771.1</v>
      </c>
      <c r="W6" s="366">
        <v>775.96034399999996</v>
      </c>
      <c r="Y6" s="64"/>
    </row>
    <row r="7" spans="1:26">
      <c r="A7" s="2" t="s">
        <v>432</v>
      </c>
      <c r="B7" s="366">
        <f t="shared" ref="B7:W7" si="0">SUM(B3:B6)</f>
        <v>5189.5200000000004</v>
      </c>
      <c r="C7" s="366">
        <f t="shared" si="0"/>
        <v>6551.6900000000005</v>
      </c>
      <c r="D7" s="366">
        <f t="shared" si="0"/>
        <v>7116.7199999999993</v>
      </c>
      <c r="E7" s="366">
        <f t="shared" si="0"/>
        <v>7835.79</v>
      </c>
      <c r="F7" s="366">
        <f t="shared" si="0"/>
        <v>9546.0706260000006</v>
      </c>
      <c r="G7" s="366">
        <f t="shared" si="0"/>
        <v>10606.168389739647</v>
      </c>
      <c r="H7" s="366">
        <f t="shared" si="0"/>
        <v>12273.532254460444</v>
      </c>
      <c r="I7" s="366">
        <f t="shared" si="0"/>
        <v>12115.447</v>
      </c>
      <c r="J7" s="366">
        <f t="shared" si="0"/>
        <v>12063.976999999999</v>
      </c>
      <c r="K7" s="366">
        <f t="shared" si="0"/>
        <v>11843.431</v>
      </c>
      <c r="L7" s="366">
        <f t="shared" si="0"/>
        <v>10685.962</v>
      </c>
      <c r="M7" s="366">
        <f t="shared" si="0"/>
        <v>10214.57</v>
      </c>
      <c r="N7" s="366">
        <f t="shared" si="0"/>
        <v>9306.3870000000006</v>
      </c>
      <c r="O7" s="366">
        <f t="shared" si="0"/>
        <v>8828.5349999999999</v>
      </c>
      <c r="P7" s="366">
        <f t="shared" si="0"/>
        <v>8250.3289999999997</v>
      </c>
      <c r="Q7" s="366">
        <f t="shared" si="0"/>
        <v>8180.7400000000007</v>
      </c>
      <c r="R7" s="366">
        <f t="shared" si="0"/>
        <v>7669.4120000000003</v>
      </c>
      <c r="S7" s="366">
        <f t="shared" si="0"/>
        <v>6622.1900000000005</v>
      </c>
      <c r="T7" s="366">
        <f t="shared" si="0"/>
        <v>6740.0724666666665</v>
      </c>
      <c r="U7" s="366">
        <f t="shared" si="0"/>
        <v>6852.0424666666659</v>
      </c>
      <c r="V7" s="366">
        <f t="shared" si="0"/>
        <v>6722.0814533394114</v>
      </c>
      <c r="W7" s="366">
        <f t="shared" si="0"/>
        <v>6696.1876902036192</v>
      </c>
      <c r="X7" s="534"/>
      <c r="Y7" s="6"/>
      <c r="Z7" s="6"/>
    </row>
    <row r="8" spans="1:26">
      <c r="B8" s="64"/>
      <c r="X8" s="6"/>
    </row>
    <row r="9" spans="1:26">
      <c r="B9" s="26"/>
    </row>
    <row r="10" spans="1:26">
      <c r="A10" s="31"/>
      <c r="B10" s="11"/>
    </row>
    <row r="11" spans="1:26">
      <c r="B11" s="11"/>
      <c r="J11" s="6"/>
      <c r="K11" s="6"/>
      <c r="L11" s="6"/>
      <c r="M11" s="6"/>
      <c r="N11" s="6"/>
      <c r="O11" s="6"/>
      <c r="P11" s="6"/>
      <c r="Q11" s="6"/>
      <c r="R11" s="6"/>
      <c r="S11" s="6"/>
      <c r="T11" s="6"/>
      <c r="U11" s="6"/>
      <c r="V11" s="6"/>
      <c r="W11" s="6"/>
    </row>
    <row r="12" spans="1:26">
      <c r="B12" s="11"/>
    </row>
    <row r="15" spans="1:26">
      <c r="B15" s="107"/>
    </row>
    <row r="16" spans="1:26">
      <c r="B16" s="107"/>
    </row>
    <row r="17" spans="2:3">
      <c r="B17" s="107"/>
    </row>
    <row r="18" spans="2:3">
      <c r="B18" s="304"/>
    </row>
    <row r="19" spans="2:3">
      <c r="B19" s="304"/>
    </row>
    <row r="20" spans="2:3">
      <c r="B20" s="304"/>
    </row>
    <row r="21" spans="2:3">
      <c r="B21" s="304"/>
      <c r="C21" s="11"/>
    </row>
    <row r="22" spans="2:3">
      <c r="B22" s="304"/>
      <c r="C22" s="11"/>
    </row>
    <row r="23" spans="2:3">
      <c r="B23" s="304"/>
      <c r="C23" s="11"/>
    </row>
    <row r="24" spans="2:3">
      <c r="B24" s="304"/>
      <c r="C24" s="11"/>
    </row>
    <row r="25" spans="2:3">
      <c r="B25" s="304"/>
      <c r="C25" s="11"/>
    </row>
    <row r="26" spans="2:3">
      <c r="B26" s="304"/>
      <c r="C26" s="11"/>
    </row>
    <row r="27" spans="2:3">
      <c r="B27" s="303"/>
      <c r="C27" s="11"/>
    </row>
    <row r="28" spans="2:3">
      <c r="B28" s="303"/>
      <c r="C28" s="11"/>
    </row>
    <row r="29" spans="2:3">
      <c r="B29" s="303"/>
      <c r="C29" s="11"/>
    </row>
    <row r="30" spans="2:3">
      <c r="B30" s="77"/>
      <c r="C30" s="11"/>
    </row>
    <row r="31" spans="2:3">
      <c r="B31" s="26"/>
      <c r="C31" s="11"/>
    </row>
    <row r="32" spans="2:3">
      <c r="B32" s="303"/>
      <c r="C32" s="11"/>
    </row>
    <row r="33" spans="2:3">
      <c r="B33" s="106"/>
      <c r="C33" s="11"/>
    </row>
    <row r="34" spans="2:3">
      <c r="B34" s="106"/>
      <c r="C34" s="11"/>
    </row>
    <row r="35" spans="2:3">
      <c r="B35" s="106"/>
      <c r="C35" s="11"/>
    </row>
    <row r="36" spans="2:3">
      <c r="B36" s="28"/>
    </row>
  </sheetData>
  <mergeCells count="1">
    <mergeCell ref="A1:M1"/>
  </mergeCells>
  <pageMargins left="0.7" right="0.7" top="0.75" bottom="0.75" header="0.3" footer="0.3"/>
  <pageSetup orientation="portrait" horizontalDpi="0" verticalDpi="0"/>
  <ignoredErrors>
    <ignoredError sqref="B7:V7" formulaRange="1"/>
  </ignoredErrors>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177449-2AE7-1C48-862C-D5D80E94C148}">
  <sheetPr>
    <tabColor rgb="FFFFC000"/>
  </sheetPr>
  <dimension ref="A1:AC22"/>
  <sheetViews>
    <sheetView zoomScale="115" zoomScaleNormal="115" workbookViewId="0">
      <pane xSplit="1" ySplit="2" topLeftCell="B3" activePane="bottomRight" state="frozen"/>
      <selection pane="topRight" activeCell="B1" sqref="B1"/>
      <selection pane="bottomLeft" activeCell="A3" sqref="A3"/>
      <selection pane="bottomRight" activeCell="Y31" sqref="Y31"/>
    </sheetView>
  </sheetViews>
  <sheetFormatPr baseColWidth="10" defaultColWidth="11" defaultRowHeight="16"/>
  <cols>
    <col min="1" max="2" width="11" style="2"/>
    <col min="3" max="17" width="11" style="2" customWidth="1"/>
    <col min="18" max="25" width="11" style="2"/>
    <col min="28" max="16384" width="11" style="2"/>
  </cols>
  <sheetData>
    <row r="1" spans="1:29">
      <c r="A1" s="635" t="s">
        <v>1090</v>
      </c>
      <c r="B1" s="635"/>
      <c r="C1" s="635"/>
      <c r="D1" s="635"/>
      <c r="E1" s="635"/>
      <c r="F1" s="635"/>
      <c r="G1" s="635"/>
      <c r="H1" s="635"/>
      <c r="I1" s="635"/>
      <c r="J1" s="635"/>
      <c r="K1" s="635"/>
      <c r="L1" s="635"/>
      <c r="M1" s="635"/>
      <c r="N1" s="635"/>
    </row>
    <row r="2" spans="1:29">
      <c r="A2" s="268"/>
      <c r="B2" s="268">
        <v>1984</v>
      </c>
      <c r="C2" s="268">
        <v>1988</v>
      </c>
      <c r="D2" s="268">
        <v>1992</v>
      </c>
      <c r="E2" s="268">
        <v>1996</v>
      </c>
      <c r="F2" s="268">
        <v>2000</v>
      </c>
      <c r="G2" s="268">
        <v>2004</v>
      </c>
      <c r="H2" s="268">
        <v>2008</v>
      </c>
      <c r="I2" s="268">
        <v>2010</v>
      </c>
      <c r="J2" s="268">
        <v>2011</v>
      </c>
      <c r="K2" s="268">
        <v>2012</v>
      </c>
      <c r="L2" s="268">
        <v>2013</v>
      </c>
      <c r="M2" s="268">
        <v>2014</v>
      </c>
      <c r="N2" s="268">
        <v>2015</v>
      </c>
      <c r="O2" s="268">
        <v>2016</v>
      </c>
      <c r="P2" s="268">
        <v>2017</v>
      </c>
      <c r="Q2" s="268">
        <v>2018</v>
      </c>
      <c r="R2" s="268">
        <v>2019</v>
      </c>
      <c r="S2" s="268">
        <v>2020</v>
      </c>
      <c r="T2" s="268">
        <v>2021</v>
      </c>
      <c r="U2" s="80">
        <v>2022</v>
      </c>
      <c r="V2" s="80">
        <v>2023</v>
      </c>
      <c r="W2" s="268">
        <v>2024</v>
      </c>
      <c r="X2" s="268"/>
      <c r="Y2" s="2" t="s">
        <v>1059</v>
      </c>
      <c r="Z2" t="s">
        <v>1060</v>
      </c>
      <c r="AA2" t="s">
        <v>1062</v>
      </c>
      <c r="AB2" s="2" t="s">
        <v>1061</v>
      </c>
      <c r="AC2" s="2" t="s">
        <v>1063</v>
      </c>
    </row>
    <row r="3" spans="1:29">
      <c r="A3" s="268" t="s">
        <v>433</v>
      </c>
      <c r="B3" s="475"/>
      <c r="C3" s="475"/>
      <c r="D3" s="475"/>
      <c r="E3" s="475"/>
      <c r="F3" s="361">
        <v>1241</v>
      </c>
      <c r="G3" s="361">
        <v>1602</v>
      </c>
      <c r="H3" s="361">
        <v>1822</v>
      </c>
      <c r="I3" s="361">
        <v>2232</v>
      </c>
      <c r="J3" s="361">
        <v>2674</v>
      </c>
      <c r="K3" s="361">
        <v>3085</v>
      </c>
      <c r="L3" s="361">
        <v>3418</v>
      </c>
      <c r="M3" s="361">
        <v>3793</v>
      </c>
      <c r="N3" s="361">
        <v>4604</v>
      </c>
      <c r="O3" s="361">
        <v>5485</v>
      </c>
      <c r="P3" s="361">
        <v>6771</v>
      </c>
      <c r="Q3" s="361">
        <v>7592</v>
      </c>
      <c r="R3" s="361">
        <v>8760</v>
      </c>
      <c r="S3" s="361">
        <v>9624</v>
      </c>
      <c r="T3" s="361">
        <v>12869.49</v>
      </c>
      <c r="U3" s="361">
        <v>14391</v>
      </c>
      <c r="V3" s="361">
        <v>16551.3711</v>
      </c>
      <c r="W3" s="376">
        <v>18437.693735673252</v>
      </c>
      <c r="X3" s="361"/>
      <c r="Y3" s="2">
        <f>(W3-V3)/V3</f>
        <v>0.11396775676628096</v>
      </c>
      <c r="Z3">
        <f>(W3-T3)/T3</f>
        <v>0.43266700822435489</v>
      </c>
      <c r="AA3">
        <f>(W3-S3)/S3</f>
        <v>0.91580358849472698</v>
      </c>
      <c r="AB3" s="2">
        <f t="shared" ref="AB3:AB11" si="0">(W3-R3)/R3</f>
        <v>1.1047595588668095</v>
      </c>
      <c r="AC3" s="2">
        <f>(W3-H3)/H3</f>
        <v>9.1194806452652326</v>
      </c>
    </row>
    <row r="4" spans="1:29">
      <c r="A4" s="268" t="s">
        <v>434</v>
      </c>
      <c r="B4" s="475">
        <v>873.22299999999996</v>
      </c>
      <c r="C4" s="475">
        <v>1250.4870000000001</v>
      </c>
      <c r="D4" s="475">
        <v>1588.5160000000001</v>
      </c>
      <c r="E4" s="475">
        <v>1567.692</v>
      </c>
      <c r="F4" s="361">
        <v>2111.4110000000001</v>
      </c>
      <c r="G4" s="361">
        <v>2136.652</v>
      </c>
      <c r="H4" s="361">
        <v>2344.5</v>
      </c>
      <c r="I4" s="361">
        <v>2491.4</v>
      </c>
      <c r="J4" s="361">
        <v>2530.6</v>
      </c>
      <c r="K4" s="361">
        <v>2426.4</v>
      </c>
      <c r="L4" s="361">
        <v>2322.6</v>
      </c>
      <c r="M4" s="361">
        <v>2294.9</v>
      </c>
      <c r="N4" s="361">
        <v>2091.5</v>
      </c>
      <c r="O4" s="361">
        <v>1931</v>
      </c>
      <c r="P4" s="361">
        <v>1652.6151910000001</v>
      </c>
      <c r="Q4" s="361">
        <v>1634.6550319999999</v>
      </c>
      <c r="R4" s="361">
        <v>1607.1398830000001</v>
      </c>
      <c r="S4" s="361">
        <v>1381.4315079999999</v>
      </c>
      <c r="T4" s="361">
        <v>1516.9285460000001</v>
      </c>
      <c r="U4" s="361">
        <v>1624.1</v>
      </c>
      <c r="V4" s="361">
        <v>1456.79</v>
      </c>
      <c r="W4" s="245">
        <v>1540</v>
      </c>
      <c r="X4" s="245"/>
      <c r="Y4" s="2">
        <f t="shared" ref="Y4:Y9" si="1">(W4-V4)/V4</f>
        <v>5.7118733654129998E-2</v>
      </c>
      <c r="Z4">
        <f t="shared" ref="Z4:Z9" si="2">(W4-T4)/T4</f>
        <v>1.5209321533856811E-2</v>
      </c>
      <c r="AA4">
        <f t="shared" ref="AA4:AA9" si="3">(W4-S4)/S4</f>
        <v>0.11478563438123066</v>
      </c>
      <c r="AB4" s="2">
        <f t="shared" si="0"/>
        <v>-4.1776004509745619E-2</v>
      </c>
      <c r="AC4" s="2">
        <f t="shared" ref="AC4:AC11" si="4">(W4-H4)/H4</f>
        <v>-0.34314352740456389</v>
      </c>
    </row>
    <row r="5" spans="1:29">
      <c r="A5" s="268" t="s">
        <v>435</v>
      </c>
      <c r="B5" s="475">
        <v>40.333999999999996</v>
      </c>
      <c r="C5" s="475">
        <v>61.231999999999999</v>
      </c>
      <c r="D5" s="475">
        <v>169.92911999999998</v>
      </c>
      <c r="E5" s="475">
        <v>285.72640000000001</v>
      </c>
      <c r="F5" s="475">
        <v>546.28533000000004</v>
      </c>
      <c r="G5" s="475">
        <v>708.41648602544217</v>
      </c>
      <c r="H5" s="475">
        <v>1026.9592998262888</v>
      </c>
      <c r="I5" s="361">
        <v>1112.8</v>
      </c>
      <c r="J5" s="361">
        <v>1232.6600000000001</v>
      </c>
      <c r="K5" s="361">
        <v>1233.23</v>
      </c>
      <c r="L5" s="361">
        <v>1266.58</v>
      </c>
      <c r="M5" s="361">
        <v>1223.5</v>
      </c>
      <c r="N5" s="361">
        <v>1235.3</v>
      </c>
      <c r="O5" s="361">
        <v>1348</v>
      </c>
      <c r="P5" s="361">
        <v>1329</v>
      </c>
      <c r="Q5" s="361">
        <v>1268</v>
      </c>
      <c r="R5" s="361">
        <v>1296</v>
      </c>
      <c r="S5" s="361">
        <v>1017</v>
      </c>
      <c r="T5" s="361">
        <v>1161.1088999999999</v>
      </c>
      <c r="U5" s="361">
        <v>1349.72</v>
      </c>
      <c r="V5" s="361">
        <v>1196.17</v>
      </c>
      <c r="W5" s="245">
        <v>1229.27</v>
      </c>
      <c r="X5" s="245"/>
      <c r="Y5" s="2">
        <f t="shared" si="1"/>
        <v>2.7671652022705724E-2</v>
      </c>
      <c r="Z5">
        <f t="shared" si="2"/>
        <v>5.8703451502266531E-2</v>
      </c>
      <c r="AA5">
        <f t="shared" si="3"/>
        <v>0.20872173058013765</v>
      </c>
      <c r="AB5" s="2">
        <f t="shared" si="0"/>
        <v>-5.1489197530864214E-2</v>
      </c>
      <c r="AC5" s="2">
        <f t="shared" si="4"/>
        <v>0.19699972550804329</v>
      </c>
    </row>
    <row r="6" spans="1:29">
      <c r="A6" s="268" t="s">
        <v>245</v>
      </c>
      <c r="B6" s="475">
        <v>559.70000000000005</v>
      </c>
      <c r="C6" s="475">
        <v>723.6</v>
      </c>
      <c r="D6" s="475">
        <v>767.9</v>
      </c>
      <c r="E6" s="475">
        <v>809.99999999999989</v>
      </c>
      <c r="F6" s="475">
        <v>1050.5</v>
      </c>
      <c r="G6" s="475">
        <v>1266.9000000000001</v>
      </c>
      <c r="H6" s="75">
        <v>1560.03</v>
      </c>
      <c r="I6" s="75">
        <v>1596.6</v>
      </c>
      <c r="J6" s="75">
        <v>1596.6</v>
      </c>
      <c r="K6" s="75">
        <v>1576.6</v>
      </c>
      <c r="L6" s="75">
        <v>1573.6</v>
      </c>
      <c r="M6" s="75">
        <v>1571.6</v>
      </c>
      <c r="N6" s="75">
        <v>1525.2</v>
      </c>
      <c r="O6" s="75">
        <v>1550.6</v>
      </c>
      <c r="P6" s="75">
        <v>1521.3</v>
      </c>
      <c r="Q6" s="75">
        <v>1513.1</v>
      </c>
      <c r="R6" s="75">
        <v>1453</v>
      </c>
      <c r="S6" s="75">
        <v>1149.4000000000001</v>
      </c>
      <c r="T6" s="75">
        <v>1069.94</v>
      </c>
      <c r="U6" s="75">
        <v>1108.22</v>
      </c>
      <c r="V6" s="75">
        <v>1103.79</v>
      </c>
      <c r="W6" s="245">
        <v>1093.57</v>
      </c>
      <c r="X6" s="245"/>
      <c r="Y6" s="2">
        <f t="shared" si="1"/>
        <v>-9.2590076010835645E-3</v>
      </c>
      <c r="Z6">
        <f t="shared" si="2"/>
        <v>2.2085350580406265E-2</v>
      </c>
      <c r="AA6">
        <f t="shared" si="3"/>
        <v>-4.8573168609709547E-2</v>
      </c>
      <c r="AB6" s="2">
        <f t="shared" si="0"/>
        <v>-0.24737095664143158</v>
      </c>
      <c r="AC6" s="2">
        <f t="shared" si="4"/>
        <v>-0.29900707037685176</v>
      </c>
    </row>
    <row r="7" spans="1:29">
      <c r="A7" s="268" t="s">
        <v>21</v>
      </c>
      <c r="B7" s="475">
        <v>1642.5</v>
      </c>
      <c r="C7" s="475">
        <v>2193.75</v>
      </c>
      <c r="D7" s="475">
        <v>2036.7</v>
      </c>
      <c r="E7" s="475">
        <v>2416.2999999999997</v>
      </c>
      <c r="F7" s="475">
        <v>2880</v>
      </c>
      <c r="G7" s="475">
        <v>3572.1478897396473</v>
      </c>
      <c r="H7" s="475">
        <v>3880.4952544604448</v>
      </c>
      <c r="I7" s="361">
        <v>3491</v>
      </c>
      <c r="J7" s="361">
        <v>3427</v>
      </c>
      <c r="K7" s="361">
        <v>3549</v>
      </c>
      <c r="L7" s="361">
        <v>2935</v>
      </c>
      <c r="M7" s="361">
        <v>2646</v>
      </c>
      <c r="N7" s="361">
        <v>2304</v>
      </c>
      <c r="O7" s="361">
        <v>2130</v>
      </c>
      <c r="P7" s="361">
        <v>1835</v>
      </c>
      <c r="Q7" s="361">
        <v>1655.9</v>
      </c>
      <c r="R7" s="361">
        <v>1408</v>
      </c>
      <c r="S7" s="361">
        <v>978.8</v>
      </c>
      <c r="T7" s="361">
        <v>967.1</v>
      </c>
      <c r="U7" s="361">
        <v>951</v>
      </c>
      <c r="V7" s="361">
        <v>937.98942961165051</v>
      </c>
      <c r="W7" s="361">
        <v>904.7842362727115</v>
      </c>
      <c r="X7" s="361"/>
      <c r="Y7" s="2">
        <f t="shared" si="1"/>
        <v>-3.5400391828175226E-2</v>
      </c>
      <c r="Z7">
        <f t="shared" si="2"/>
        <v>-6.4435698198002822E-2</v>
      </c>
      <c r="AA7">
        <f t="shared" si="3"/>
        <v>-7.56188840695632E-2</v>
      </c>
      <c r="AB7" s="2">
        <f t="shared" si="0"/>
        <v>-0.35739755946540375</v>
      </c>
      <c r="AC7" s="2">
        <f t="shared" si="4"/>
        <v>-0.76683794800864524</v>
      </c>
    </row>
    <row r="8" spans="1:29">
      <c r="A8" s="268" t="s">
        <v>28</v>
      </c>
      <c r="B8" s="475">
        <v>385.5</v>
      </c>
      <c r="C8" s="475">
        <v>358.49152049158141</v>
      </c>
      <c r="D8" s="475">
        <v>422.54605733311678</v>
      </c>
      <c r="E8" s="475">
        <v>392.05145363001463</v>
      </c>
      <c r="F8" s="475">
        <v>479.69215256347792</v>
      </c>
      <c r="G8" s="475">
        <v>647</v>
      </c>
      <c r="H8" s="475">
        <v>691.68</v>
      </c>
      <c r="I8" s="361">
        <v>606</v>
      </c>
      <c r="J8" s="361">
        <v>593</v>
      </c>
      <c r="K8" s="361">
        <v>573</v>
      </c>
      <c r="L8" s="361">
        <v>1071.5</v>
      </c>
      <c r="M8" s="361">
        <v>937.85</v>
      </c>
      <c r="N8" s="361">
        <v>804.2</v>
      </c>
      <c r="O8" s="361">
        <v>706.25</v>
      </c>
      <c r="P8" s="361">
        <v>608.29999999999995</v>
      </c>
      <c r="Q8" s="361">
        <v>584.04999999999995</v>
      </c>
      <c r="R8" s="361">
        <v>559.79999999999995</v>
      </c>
      <c r="S8" s="361">
        <v>492.25</v>
      </c>
      <c r="T8" s="361">
        <v>424.7</v>
      </c>
      <c r="U8" s="361">
        <v>430.25</v>
      </c>
      <c r="V8" s="361">
        <v>435.8</v>
      </c>
      <c r="W8" s="245">
        <v>441.456684</v>
      </c>
      <c r="X8" s="245"/>
      <c r="Y8" s="2">
        <f t="shared" si="1"/>
        <v>1.2979999999999964E-2</v>
      </c>
      <c r="Z8">
        <f t="shared" si="2"/>
        <v>3.9455342594772798E-2</v>
      </c>
      <c r="AA8">
        <f t="shared" si="3"/>
        <v>-0.1031860152361605</v>
      </c>
      <c r="AB8" s="2">
        <f t="shared" si="0"/>
        <v>-0.21140285101822073</v>
      </c>
      <c r="AC8" s="2">
        <f t="shared" si="4"/>
        <v>-0.36176167591950031</v>
      </c>
    </row>
    <row r="9" spans="1:29">
      <c r="A9" s="80" t="s">
        <v>436</v>
      </c>
      <c r="B9" s="361">
        <v>140.05028000000001</v>
      </c>
      <c r="C9" s="361">
        <v>183.50242081966323</v>
      </c>
      <c r="D9" s="361">
        <v>199.42364709332466</v>
      </c>
      <c r="E9" s="361">
        <v>218.87079414520056</v>
      </c>
      <c r="F9" s="361">
        <v>283.61953930253907</v>
      </c>
      <c r="G9" s="361">
        <v>302.5</v>
      </c>
      <c r="H9" s="361">
        <v>463.03</v>
      </c>
      <c r="I9" s="361">
        <v>481.58</v>
      </c>
      <c r="J9" s="361">
        <v>483.95</v>
      </c>
      <c r="K9" s="361">
        <v>486.4</v>
      </c>
      <c r="L9" s="361">
        <v>513.5</v>
      </c>
      <c r="M9" s="361">
        <v>521</v>
      </c>
      <c r="N9" s="361">
        <v>542</v>
      </c>
      <c r="O9" s="361">
        <v>569</v>
      </c>
      <c r="P9" s="361">
        <v>624</v>
      </c>
      <c r="Q9" s="361">
        <v>654</v>
      </c>
      <c r="R9" s="361">
        <v>671</v>
      </c>
      <c r="S9" s="361">
        <v>412</v>
      </c>
      <c r="T9" s="361">
        <v>438</v>
      </c>
      <c r="U9" s="361">
        <v>565</v>
      </c>
      <c r="V9" s="361">
        <v>565</v>
      </c>
      <c r="W9" s="245">
        <v>600.65275204</v>
      </c>
      <c r="X9" s="245"/>
      <c r="Y9" s="2">
        <f t="shared" si="1"/>
        <v>6.3102215999999989E-2</v>
      </c>
      <c r="Z9">
        <f t="shared" si="2"/>
        <v>0.37135331515981734</v>
      </c>
      <c r="AA9">
        <f t="shared" si="3"/>
        <v>0.45789502922330094</v>
      </c>
      <c r="AB9" s="2">
        <f t="shared" si="0"/>
        <v>-0.10483941573770493</v>
      </c>
      <c r="AC9" s="2">
        <f t="shared" si="4"/>
        <v>0.29722210664535781</v>
      </c>
    </row>
    <row r="10" spans="1:29">
      <c r="A10" s="268" t="s">
        <v>437</v>
      </c>
      <c r="B10" s="360">
        <f t="shared" ref="B10:R10" si="5">SUM(B3:B9)</f>
        <v>3641.30728</v>
      </c>
      <c r="C10" s="360">
        <f t="shared" si="5"/>
        <v>4771.0629413112438</v>
      </c>
      <c r="D10" s="360">
        <f t="shared" si="5"/>
        <v>5185.014824426441</v>
      </c>
      <c r="E10" s="360">
        <f t="shared" si="5"/>
        <v>5690.6406477752143</v>
      </c>
      <c r="F10" s="360">
        <f t="shared" si="5"/>
        <v>8592.5080218660169</v>
      </c>
      <c r="G10" s="360">
        <f t="shared" si="5"/>
        <v>10235.61637576509</v>
      </c>
      <c r="H10" s="360">
        <f t="shared" si="5"/>
        <v>11788.694554286734</v>
      </c>
      <c r="I10" s="360">
        <f t="shared" si="5"/>
        <v>12011.38</v>
      </c>
      <c r="J10" s="360">
        <f t="shared" si="5"/>
        <v>12537.810000000001</v>
      </c>
      <c r="K10" s="360">
        <f t="shared" si="5"/>
        <v>12929.63</v>
      </c>
      <c r="L10" s="360">
        <f t="shared" si="5"/>
        <v>13100.78</v>
      </c>
      <c r="M10" s="360">
        <f t="shared" si="5"/>
        <v>12987.85</v>
      </c>
      <c r="N10" s="360">
        <f t="shared" si="5"/>
        <v>13106.2</v>
      </c>
      <c r="O10" s="360">
        <f t="shared" si="5"/>
        <v>13719.85</v>
      </c>
      <c r="P10" s="360">
        <f t="shared" si="5"/>
        <v>14341.215190999999</v>
      </c>
      <c r="Q10" s="360">
        <f t="shared" si="5"/>
        <v>14901.705032</v>
      </c>
      <c r="R10" s="360">
        <f t="shared" si="5"/>
        <v>15754.939882999999</v>
      </c>
      <c r="S10" s="360">
        <f>SUM(S3:S9)</f>
        <v>15054.881507999999</v>
      </c>
      <c r="T10" s="360">
        <f>SUM(T3:T9)</f>
        <v>18447.267445999998</v>
      </c>
      <c r="U10" s="360">
        <f>SUM(U3:U9)</f>
        <v>20419.29</v>
      </c>
      <c r="V10" s="360">
        <f>SUM(V3:V9)</f>
        <v>22246.910529611654</v>
      </c>
      <c r="W10" s="535">
        <f>SUM(W3:W9)</f>
        <v>24247.427407985968</v>
      </c>
      <c r="X10" s="360"/>
      <c r="AB10" s="2">
        <f t="shared" si="0"/>
        <v>0.53903649192273906</v>
      </c>
      <c r="AC10" s="2">
        <f t="shared" si="4"/>
        <v>1.0568373619595439</v>
      </c>
    </row>
    <row r="11" spans="1:29">
      <c r="B11" s="245"/>
      <c r="C11" s="245"/>
      <c r="D11" s="245"/>
      <c r="E11" s="245"/>
      <c r="F11" s="245"/>
      <c r="G11" s="245"/>
      <c r="H11" s="245">
        <f t="shared" ref="H11" si="6">H10-H3</f>
        <v>9966.6945542867343</v>
      </c>
      <c r="I11" s="245">
        <f t="shared" ref="I11" si="7">I10-I3</f>
        <v>9779.3799999999992</v>
      </c>
      <c r="J11" s="245">
        <f t="shared" ref="J11" si="8">J10-J3</f>
        <v>9863.8100000000013</v>
      </c>
      <c r="K11" s="245">
        <f t="shared" ref="K11" si="9">K10-K3</f>
        <v>9844.6299999999992</v>
      </c>
      <c r="L11" s="245">
        <f t="shared" ref="L11" si="10">L10-L3</f>
        <v>9682.7800000000007</v>
      </c>
      <c r="M11" s="245">
        <f t="shared" ref="M11" si="11">M10-M3</f>
        <v>9194.85</v>
      </c>
      <c r="N11" s="245">
        <f t="shared" ref="N11" si="12">N10-N3</f>
        <v>8502.2000000000007</v>
      </c>
      <c r="O11" s="245">
        <f t="shared" ref="O11" si="13">O10-O3</f>
        <v>8234.85</v>
      </c>
      <c r="P11" s="245">
        <f t="shared" ref="P11" si="14">P10-P3</f>
        <v>7570.2151909999993</v>
      </c>
      <c r="Q11" s="245">
        <f t="shared" ref="Q11" si="15">Q10-Q3</f>
        <v>7309.7050319999998</v>
      </c>
      <c r="R11" s="245">
        <f t="shared" ref="R11:V11" si="16">R10-R3</f>
        <v>6994.9398829999991</v>
      </c>
      <c r="S11" s="245">
        <f t="shared" si="16"/>
        <v>5430.8815079999986</v>
      </c>
      <c r="T11" s="245">
        <f t="shared" si="16"/>
        <v>5577.7774459999982</v>
      </c>
      <c r="U11" s="245">
        <f t="shared" si="16"/>
        <v>6028.2900000000009</v>
      </c>
      <c r="V11" s="245">
        <f t="shared" si="16"/>
        <v>5695.5394296116538</v>
      </c>
      <c r="W11" s="245">
        <f>W10-W3</f>
        <v>5809.7336723127155</v>
      </c>
      <c r="X11" s="245"/>
      <c r="AB11" s="2">
        <f t="shared" si="0"/>
        <v>-0.16943765500654606</v>
      </c>
      <c r="AC11" s="2">
        <f t="shared" si="4"/>
        <v>-0.41708520907627145</v>
      </c>
    </row>
    <row r="12" spans="1:29">
      <c r="B12" s="245">
        <f t="shared" ref="B12:V12" si="17">B3/B10</f>
        <v>0</v>
      </c>
      <c r="C12" s="245">
        <f t="shared" si="17"/>
        <v>0</v>
      </c>
      <c r="D12" s="245">
        <f t="shared" si="17"/>
        <v>0</v>
      </c>
      <c r="E12" s="245">
        <f t="shared" si="17"/>
        <v>0</v>
      </c>
      <c r="F12" s="245">
        <f t="shared" si="17"/>
        <v>0.14442814564058964</v>
      </c>
      <c r="G12" s="245">
        <f t="shared" si="17"/>
        <v>0.15651231359091006</v>
      </c>
      <c r="H12" s="245">
        <f t="shared" si="17"/>
        <v>0.15455485691055287</v>
      </c>
      <c r="I12" s="245">
        <f t="shared" si="17"/>
        <v>0.18582377711803308</v>
      </c>
      <c r="J12" s="245">
        <f t="shared" si="17"/>
        <v>0.21327488612445075</v>
      </c>
      <c r="K12" s="245">
        <f t="shared" si="17"/>
        <v>0.23859924839303215</v>
      </c>
      <c r="L12" s="245">
        <f t="shared" si="17"/>
        <v>0.26090049600100146</v>
      </c>
      <c r="M12" s="245">
        <f t="shared" si="17"/>
        <v>0.2920421778816355</v>
      </c>
      <c r="N12" s="245">
        <f t="shared" si="17"/>
        <v>0.35128412507057727</v>
      </c>
      <c r="O12" s="245">
        <f t="shared" si="17"/>
        <v>0.39978571194291479</v>
      </c>
      <c r="P12" s="245">
        <f t="shared" si="17"/>
        <v>0.47213572279769023</v>
      </c>
      <c r="Q12" s="245">
        <f t="shared" si="17"/>
        <v>0.50947190161776112</v>
      </c>
      <c r="R12" s="245">
        <f t="shared" si="17"/>
        <v>0.55601608543440229</v>
      </c>
      <c r="S12" s="245">
        <f t="shared" si="17"/>
        <v>0.63926109248258856</v>
      </c>
      <c r="T12" s="245">
        <f t="shared" si="17"/>
        <v>0.69763665744383985</v>
      </c>
      <c r="U12" s="245">
        <f t="shared" si="17"/>
        <v>0.70477474975868404</v>
      </c>
      <c r="V12" s="245">
        <f t="shared" si="17"/>
        <v>0.74398515146493571</v>
      </c>
      <c r="W12" s="71">
        <f>W3/W10</f>
        <v>0.76039793523005816</v>
      </c>
      <c r="X12" s="471"/>
    </row>
    <row r="15" spans="1:29">
      <c r="Z15" s="139"/>
    </row>
    <row r="16" spans="1:29">
      <c r="AB16" s="11"/>
    </row>
    <row r="17" spans="28:28">
      <c r="AB17" s="11"/>
    </row>
    <row r="18" spans="28:28">
      <c r="AB18" s="11"/>
    </row>
    <row r="19" spans="28:28">
      <c r="AB19" s="11"/>
    </row>
    <row r="20" spans="28:28">
      <c r="AB20" s="11"/>
    </row>
    <row r="21" spans="28:28">
      <c r="AB21" s="11"/>
    </row>
    <row r="22" spans="28:28">
      <c r="AB22" s="11"/>
    </row>
  </sheetData>
  <mergeCells count="1">
    <mergeCell ref="A1:N1"/>
  </mergeCells>
  <pageMargins left="0.7" right="0.7" top="0.75" bottom="0.75" header="0.3" footer="0.3"/>
  <pageSetup orientation="portrait" horizontalDpi="0" verticalDpi="0"/>
  <ignoredErrors>
    <ignoredError sqref="B10:V10" formulaRange="1"/>
  </ignoredErrors>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86CF0-3510-3C40-A6D1-4F996DE1817D}">
  <sheetPr>
    <tabColor rgb="FFFFC000"/>
  </sheetPr>
  <dimension ref="A1:W26"/>
  <sheetViews>
    <sheetView zoomScale="93" zoomScaleNormal="115" workbookViewId="0">
      <pane xSplit="1" ySplit="2" topLeftCell="B12" activePane="bottomRight" state="frozen"/>
      <selection pane="topRight" activeCell="B1" sqref="B1"/>
      <selection pane="bottomLeft" activeCell="A3" sqref="A3"/>
      <selection pane="bottomRight" activeCell="A26" sqref="A26:A29"/>
    </sheetView>
  </sheetViews>
  <sheetFormatPr baseColWidth="10" defaultColWidth="11" defaultRowHeight="16"/>
  <cols>
    <col min="1" max="1" width="46" style="81" customWidth="1"/>
    <col min="2" max="16384" width="11" style="81"/>
  </cols>
  <sheetData>
    <row r="1" spans="1:23">
      <c r="A1" s="636" t="s">
        <v>1091</v>
      </c>
      <c r="B1" s="636"/>
      <c r="C1" s="636"/>
      <c r="D1" s="636"/>
      <c r="E1" s="636"/>
      <c r="F1" s="636"/>
      <c r="G1" s="636"/>
      <c r="H1" s="636"/>
      <c r="I1" s="636"/>
      <c r="J1" s="636"/>
      <c r="K1" s="636"/>
      <c r="L1" s="636"/>
      <c r="M1" s="636"/>
      <c r="N1" s="636"/>
    </row>
    <row r="2" spans="1:23">
      <c r="A2" s="85"/>
      <c r="B2" s="84">
        <v>2004</v>
      </c>
      <c r="C2" s="84">
        <v>2005</v>
      </c>
      <c r="D2" s="84">
        <v>2006</v>
      </c>
      <c r="E2" s="84">
        <v>2007</v>
      </c>
      <c r="F2" s="84">
        <v>2008</v>
      </c>
      <c r="G2" s="84">
        <v>2009</v>
      </c>
      <c r="H2" s="84">
        <v>2010</v>
      </c>
      <c r="I2" s="84">
        <v>2011</v>
      </c>
      <c r="J2" s="84">
        <v>2012</v>
      </c>
      <c r="K2" s="84">
        <v>2013</v>
      </c>
      <c r="L2" s="84">
        <v>2014</v>
      </c>
      <c r="M2" s="84">
        <v>2015</v>
      </c>
      <c r="N2" s="84">
        <v>2016</v>
      </c>
      <c r="O2" s="84">
        <v>2017</v>
      </c>
      <c r="P2" s="84">
        <v>2018</v>
      </c>
      <c r="Q2" s="84">
        <v>2019</v>
      </c>
      <c r="R2" s="84">
        <v>2020</v>
      </c>
      <c r="S2" s="84">
        <v>2021</v>
      </c>
      <c r="T2" s="83">
        <v>2022</v>
      </c>
      <c r="U2" s="82">
        <v>2023</v>
      </c>
      <c r="V2" s="82">
        <v>2024</v>
      </c>
    </row>
    <row r="3" spans="1:23" ht="17">
      <c r="A3" s="214" t="s">
        <v>438</v>
      </c>
      <c r="B3" s="215">
        <v>0.68321066003194164</v>
      </c>
      <c r="C3" s="215">
        <v>0.67711576623750558</v>
      </c>
      <c r="D3" s="215">
        <v>0.70080223454252655</v>
      </c>
      <c r="E3" s="215">
        <v>0.70345566534395243</v>
      </c>
      <c r="F3" s="215">
        <v>0.70385916343350541</v>
      </c>
      <c r="G3" s="215">
        <v>0.69934380313456024</v>
      </c>
      <c r="H3" s="215">
        <v>0.72364014848417391</v>
      </c>
      <c r="I3" s="215">
        <v>0.70838246452807796</v>
      </c>
      <c r="J3" s="215">
        <v>0.70932484386726402</v>
      </c>
      <c r="K3" s="215">
        <v>0.69041190894905013</v>
      </c>
      <c r="L3" s="215">
        <v>0.65105333706284729</v>
      </c>
      <c r="M3" s="215">
        <v>0.65845709568884481</v>
      </c>
      <c r="N3" s="215">
        <v>0.67734450404461044</v>
      </c>
      <c r="O3" s="215">
        <v>0.67043002871878887</v>
      </c>
      <c r="P3" s="215">
        <v>0.67076952878243912</v>
      </c>
      <c r="Q3" s="468">
        <v>0.68162766546664166</v>
      </c>
      <c r="R3" s="468">
        <v>0.68472045670845705</v>
      </c>
      <c r="S3" s="468">
        <v>0.73683365981718019</v>
      </c>
      <c r="T3" s="469">
        <v>0.72619343409084514</v>
      </c>
      <c r="U3" s="469">
        <v>0.7533594470612287</v>
      </c>
      <c r="V3" s="469">
        <v>0.76543961866067878</v>
      </c>
      <c r="W3" s="202">
        <f>AVERAGE(B3:V3)</f>
        <v>0.69884644926929129</v>
      </c>
    </row>
    <row r="4" spans="1:23" s="8" customFormat="1">
      <c r="A4" s="217" t="s">
        <v>824</v>
      </c>
      <c r="B4" s="202">
        <v>1.2265525951768246</v>
      </c>
      <c r="C4" s="218">
        <v>1.2265525951768246</v>
      </c>
      <c r="D4" s="218">
        <v>1.2265525951768246</v>
      </c>
      <c r="E4" s="218">
        <v>1.2188919732692529</v>
      </c>
      <c r="F4" s="218">
        <v>1.2188919732692529</v>
      </c>
      <c r="G4" s="202">
        <v>1.2188919732692529</v>
      </c>
      <c r="H4" s="216">
        <v>1.1773687587240229</v>
      </c>
      <c r="I4" s="216">
        <v>1.1869275777689696</v>
      </c>
      <c r="J4" s="216">
        <v>1.1478487987384305</v>
      </c>
      <c r="K4" s="216">
        <v>1.1218467469817384</v>
      </c>
      <c r="L4" s="216">
        <v>1.0737643197244733</v>
      </c>
      <c r="M4" s="216">
        <v>1.0575645954236765</v>
      </c>
      <c r="N4" s="216">
        <v>1.0942420364179106</v>
      </c>
      <c r="O4" s="216">
        <v>1.0832432442143258</v>
      </c>
      <c r="P4" s="216">
        <v>1.0814702486635692</v>
      </c>
      <c r="Q4" s="216">
        <v>1.105978221704258</v>
      </c>
      <c r="R4" s="216">
        <v>0.98915778219119854</v>
      </c>
      <c r="S4" s="216">
        <v>1.163180516423254</v>
      </c>
      <c r="T4" s="216">
        <v>1.2280183184334288</v>
      </c>
      <c r="U4" s="216">
        <v>1.2384155768223695</v>
      </c>
      <c r="V4" s="216">
        <v>1.2579979919321542</v>
      </c>
      <c r="W4" s="202">
        <f>AVERAGE(B4:V4)</f>
        <v>1.1592075447381911</v>
      </c>
    </row>
    <row r="26" spans="3:23">
      <c r="C26" s="402"/>
      <c r="D26" s="402"/>
      <c r="E26" s="402"/>
      <c r="F26" s="402"/>
      <c r="G26" s="402"/>
      <c r="H26" s="402"/>
      <c r="I26" s="402"/>
      <c r="J26" s="402"/>
      <c r="K26" s="402"/>
      <c r="L26" s="402"/>
      <c r="M26" s="402"/>
      <c r="N26" s="402"/>
      <c r="O26" s="402"/>
      <c r="P26" s="402"/>
      <c r="Q26" s="402"/>
      <c r="R26" s="402"/>
      <c r="S26" s="402"/>
      <c r="T26" s="402"/>
      <c r="U26" s="402"/>
      <c r="V26" s="402"/>
      <c r="W26" s="403"/>
    </row>
  </sheetData>
  <mergeCells count="1">
    <mergeCell ref="A1:N1"/>
  </mergeCells>
  <pageMargins left="0.7" right="0.7" top="0.75" bottom="0.75" header="0.3" footer="0.3"/>
  <pageSetup orientation="portrait" horizontalDpi="0" verticalDpi="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F712A-B07E-A548-A8FF-D4B4BAA25FC4}">
  <sheetPr>
    <tabColor rgb="FFFFC000"/>
  </sheetPr>
  <dimension ref="A1:W24"/>
  <sheetViews>
    <sheetView zoomScale="130" zoomScaleNormal="130" workbookViewId="0">
      <pane xSplit="1" ySplit="2" topLeftCell="B3" activePane="bottomRight" state="frozen"/>
      <selection pane="topRight" activeCell="B1" sqref="B1"/>
      <selection pane="bottomLeft" activeCell="A3" sqref="A3"/>
      <selection pane="bottomRight" activeCell="B13" sqref="B13"/>
    </sheetView>
  </sheetViews>
  <sheetFormatPr baseColWidth="10" defaultColWidth="11" defaultRowHeight="16"/>
  <cols>
    <col min="1" max="1" width="38.33203125" customWidth="1"/>
  </cols>
  <sheetData>
    <row r="1" spans="1:23" ht="16.25" customHeight="1">
      <c r="A1" s="637" t="s">
        <v>1092</v>
      </c>
      <c r="B1" s="637"/>
      <c r="C1" s="637"/>
      <c r="D1" s="637"/>
      <c r="E1" s="637"/>
      <c r="F1" s="637"/>
      <c r="G1" s="637"/>
      <c r="H1" s="637"/>
      <c r="I1" s="637"/>
      <c r="J1" s="637"/>
      <c r="K1" s="637"/>
      <c r="L1" s="637"/>
      <c r="M1" s="637"/>
      <c r="N1" s="637"/>
      <c r="O1" s="5"/>
      <c r="P1" s="5"/>
      <c r="Q1" s="5"/>
      <c r="R1" s="5"/>
      <c r="S1" s="5"/>
      <c r="T1" s="5"/>
      <c r="U1" s="5"/>
    </row>
    <row r="2" spans="1:23">
      <c r="A2" s="5"/>
      <c r="B2" s="86">
        <v>2004</v>
      </c>
      <c r="C2" s="86">
        <v>2005</v>
      </c>
      <c r="D2" s="86">
        <v>2006</v>
      </c>
      <c r="E2" s="86">
        <v>2007</v>
      </c>
      <c r="F2" s="86">
        <v>2008</v>
      </c>
      <c r="G2" s="86">
        <v>2009</v>
      </c>
      <c r="H2" s="86">
        <v>2010</v>
      </c>
      <c r="I2" s="86">
        <v>2011</v>
      </c>
      <c r="J2" s="86">
        <v>2012</v>
      </c>
      <c r="K2" s="86">
        <v>2013</v>
      </c>
      <c r="L2" s="86">
        <v>2014</v>
      </c>
      <c r="M2" s="86">
        <v>2015</v>
      </c>
      <c r="N2" s="86">
        <v>2016</v>
      </c>
      <c r="O2" s="86">
        <v>2017</v>
      </c>
      <c r="P2" s="86">
        <v>2018</v>
      </c>
      <c r="Q2" s="86">
        <v>2019</v>
      </c>
      <c r="R2" s="86">
        <v>2020</v>
      </c>
      <c r="S2" s="86">
        <v>2021</v>
      </c>
      <c r="T2" s="66">
        <v>2022</v>
      </c>
      <c r="U2" s="65">
        <v>2023</v>
      </c>
      <c r="V2" s="86">
        <v>2024</v>
      </c>
    </row>
    <row r="3" spans="1:23">
      <c r="A3" s="5" t="s">
        <v>439</v>
      </c>
      <c r="B3" s="79">
        <v>16.899999999999999</v>
      </c>
      <c r="C3" s="79">
        <v>16.7</v>
      </c>
      <c r="D3" s="79">
        <v>17.2</v>
      </c>
      <c r="E3" s="79">
        <v>17.399999999999999</v>
      </c>
      <c r="F3" s="79">
        <v>17.399999999999999</v>
      </c>
      <c r="G3" s="79">
        <v>15.9</v>
      </c>
      <c r="H3" s="79">
        <v>17.107931189073785</v>
      </c>
      <c r="I3" s="79">
        <v>17.419410663702941</v>
      </c>
      <c r="J3" s="79">
        <v>17.46929615785951</v>
      </c>
      <c r="K3" s="79">
        <v>17.4137843031126</v>
      </c>
      <c r="L3" s="79">
        <v>16.873457029708501</v>
      </c>
      <c r="M3" s="79">
        <v>16.566396892146269</v>
      </c>
      <c r="N3" s="79">
        <v>17.249141632672956</v>
      </c>
      <c r="O3" s="79">
        <v>17.484978639886023</v>
      </c>
      <c r="P3" s="79">
        <v>17.016974077953854</v>
      </c>
      <c r="Q3" s="79">
        <v>17.168763774073007</v>
      </c>
      <c r="R3" s="79">
        <v>16.586574752561223</v>
      </c>
      <c r="S3" s="79">
        <v>18.992918420220803</v>
      </c>
      <c r="T3" s="79">
        <v>19.575807196237484</v>
      </c>
      <c r="U3" s="68">
        <v>20.295247149044947</v>
      </c>
      <c r="V3" s="15">
        <v>21.131873697679818</v>
      </c>
      <c r="W3" s="15">
        <f>AVERAGE(B3:V3)</f>
        <v>17.61202645599684</v>
      </c>
    </row>
    <row r="4" spans="1:23">
      <c r="A4" s="5"/>
      <c r="B4" s="5"/>
      <c r="C4" s="5"/>
      <c r="D4" s="5"/>
      <c r="E4" s="5"/>
      <c r="F4" s="5"/>
      <c r="G4" s="5"/>
      <c r="H4" s="5"/>
      <c r="I4" s="5"/>
      <c r="J4" s="5"/>
      <c r="K4" s="5"/>
      <c r="L4" s="5"/>
      <c r="M4" s="5"/>
      <c r="N4" s="5"/>
      <c r="O4" s="5"/>
      <c r="P4" s="5"/>
      <c r="Q4" s="5"/>
      <c r="R4" s="5"/>
      <c r="S4" s="79"/>
      <c r="T4" s="79"/>
      <c r="U4" s="68"/>
      <c r="V4" s="15"/>
      <c r="W4" s="15"/>
    </row>
    <row r="5" spans="1:23">
      <c r="B5" s="79"/>
      <c r="C5" s="79"/>
      <c r="D5" s="79"/>
      <c r="E5" s="79"/>
      <c r="F5" s="79"/>
      <c r="G5" s="79"/>
      <c r="H5" s="79"/>
      <c r="I5" s="79"/>
      <c r="J5" s="79"/>
      <c r="K5" s="79"/>
      <c r="L5" s="79"/>
      <c r="M5" s="79"/>
      <c r="N5" s="79"/>
      <c r="O5" s="79"/>
      <c r="P5" s="79"/>
      <c r="Q5" s="79"/>
      <c r="R5" s="15"/>
    </row>
    <row r="7" spans="1:23">
      <c r="B7" s="79"/>
      <c r="C7" s="79"/>
      <c r="D7" s="79"/>
      <c r="E7" s="79"/>
      <c r="F7" s="79"/>
      <c r="G7" s="79"/>
      <c r="H7" s="15"/>
    </row>
    <row r="8" spans="1:23">
      <c r="B8" s="79"/>
      <c r="C8" s="79"/>
      <c r="D8" s="79"/>
      <c r="E8" s="79"/>
      <c r="F8" s="79"/>
      <c r="G8" s="79"/>
      <c r="H8" s="79"/>
      <c r="I8" s="79"/>
      <c r="J8" s="15"/>
    </row>
    <row r="18" spans="6:6">
      <c r="F18" s="11"/>
    </row>
    <row r="19" spans="6:6">
      <c r="F19" s="11"/>
    </row>
    <row r="20" spans="6:6">
      <c r="F20" s="11"/>
    </row>
    <row r="21" spans="6:6">
      <c r="F21" s="11"/>
    </row>
    <row r="22" spans="6:6">
      <c r="F22" s="11"/>
    </row>
    <row r="23" spans="6:6">
      <c r="F23" s="11"/>
    </row>
    <row r="24" spans="6:6">
      <c r="F24" s="11"/>
    </row>
  </sheetData>
  <mergeCells count="1">
    <mergeCell ref="A1:N1"/>
  </mergeCells>
  <pageMargins left="0.7" right="0.7" top="0.75" bottom="0.75" header="0.3" footer="0.3"/>
  <pageSetup orientation="portrait" horizontalDpi="0" verticalDpi="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262E0-85A4-E54D-9B6A-67043733557C}">
  <dimension ref="A1:W122"/>
  <sheetViews>
    <sheetView zoomScale="75" zoomScaleNormal="130" workbookViewId="0">
      <pane xSplit="1" ySplit="2" topLeftCell="B68" activePane="bottomRight" state="frozen"/>
      <selection pane="topRight" activeCell="B1" sqref="B1"/>
      <selection pane="bottomLeft" activeCell="A4" sqref="A4"/>
      <selection pane="bottomRight" activeCell="J40" sqref="J40"/>
    </sheetView>
  </sheetViews>
  <sheetFormatPr baseColWidth="10" defaultColWidth="10.83203125" defaultRowHeight="16"/>
  <cols>
    <col min="1" max="1" width="42.1640625" customWidth="1"/>
    <col min="2" max="28" width="10.83203125" customWidth="1"/>
    <col min="29" max="29" width="11.6640625" bestFit="1" customWidth="1"/>
    <col min="30" max="30" width="12.33203125" bestFit="1" customWidth="1"/>
    <col min="31" max="31" width="12.1640625" bestFit="1" customWidth="1"/>
    <col min="32" max="32" width="12.83203125" bestFit="1" customWidth="1"/>
    <col min="33" max="33" width="12" customWidth="1"/>
    <col min="34" max="38" width="12.5" customWidth="1"/>
    <col min="39" max="40" width="14.33203125" customWidth="1"/>
    <col min="41" max="42" width="14" customWidth="1"/>
    <col min="43" max="43" width="27.5" customWidth="1"/>
    <col min="44" max="46" width="14.5" customWidth="1"/>
    <col min="47" max="47" width="12.1640625" bestFit="1" customWidth="1"/>
    <col min="49" max="49" width="15.6640625" customWidth="1"/>
  </cols>
  <sheetData>
    <row r="1" spans="1:23" ht="19" customHeight="1">
      <c r="A1" s="627" t="s">
        <v>1003</v>
      </c>
      <c r="B1" s="627"/>
      <c r="C1" s="627"/>
      <c r="D1" s="627"/>
      <c r="E1" s="627"/>
      <c r="F1" s="627"/>
      <c r="G1" s="627"/>
      <c r="H1" s="627"/>
      <c r="I1" s="627"/>
      <c r="J1" s="627"/>
      <c r="K1" s="627"/>
      <c r="L1" s="627"/>
      <c r="M1" s="627"/>
      <c r="N1" s="627"/>
      <c r="O1" s="627"/>
      <c r="P1" s="627"/>
      <c r="Q1" s="627"/>
      <c r="R1" s="627"/>
      <c r="S1" s="627"/>
    </row>
    <row r="2" spans="1:23" ht="16.25" customHeight="1">
      <c r="B2">
        <v>1982</v>
      </c>
      <c r="C2">
        <v>1986</v>
      </c>
      <c r="D2">
        <v>1992</v>
      </c>
      <c r="E2">
        <v>1996</v>
      </c>
      <c r="F2">
        <v>2000</v>
      </c>
      <c r="G2">
        <v>2005</v>
      </c>
      <c r="H2">
        <v>2009</v>
      </c>
      <c r="I2">
        <v>2010</v>
      </c>
      <c r="J2">
        <v>2011</v>
      </c>
      <c r="K2">
        <v>2012</v>
      </c>
      <c r="L2">
        <v>2013</v>
      </c>
      <c r="M2">
        <v>2014</v>
      </c>
      <c r="N2">
        <v>2015</v>
      </c>
      <c r="O2">
        <v>2016</v>
      </c>
      <c r="P2">
        <v>2017</v>
      </c>
      <c r="Q2">
        <v>2018</v>
      </c>
      <c r="R2">
        <v>2019</v>
      </c>
      <c r="S2">
        <v>2020</v>
      </c>
      <c r="T2">
        <v>2021</v>
      </c>
      <c r="U2">
        <v>2022</v>
      </c>
      <c r="V2">
        <v>2023</v>
      </c>
      <c r="W2">
        <v>2024</v>
      </c>
    </row>
    <row r="3" spans="1:23">
      <c r="A3" t="s">
        <v>36</v>
      </c>
      <c r="B3">
        <v>8.8439700000000006</v>
      </c>
      <c r="C3">
        <v>9.4239800000000002</v>
      </c>
      <c r="D3">
        <v>9.7929099999999991</v>
      </c>
      <c r="E3">
        <v>10.66255</v>
      </c>
      <c r="F3">
        <v>11.62175</v>
      </c>
      <c r="G3">
        <v>12.58677</v>
      </c>
      <c r="H3">
        <v>13.417</v>
      </c>
      <c r="I3">
        <v>13.31925</v>
      </c>
      <c r="J3">
        <v>13.320615</v>
      </c>
      <c r="K3">
        <v>13.670178999999999</v>
      </c>
      <c r="L3">
        <v>13.819964000000001</v>
      </c>
      <c r="M3">
        <v>13.871129</v>
      </c>
      <c r="N3">
        <v>13.971603999999999</v>
      </c>
      <c r="O3">
        <v>14.072079</v>
      </c>
      <c r="P3">
        <v>14.248950960951001</v>
      </c>
      <c r="Q3">
        <v>14.428046025579194</v>
      </c>
      <c r="R3">
        <v>14.6093921360747</v>
      </c>
      <c r="S3">
        <v>14.79301758583302</v>
      </c>
      <c r="T3">
        <v>14.978941000000001</v>
      </c>
      <c r="U3">
        <v>15.167211309429</v>
      </c>
      <c r="V3">
        <v>15.357799999999999</v>
      </c>
      <c r="W3">
        <v>15.4544</v>
      </c>
    </row>
    <row r="4" spans="1:23">
      <c r="A4" t="s">
        <v>37</v>
      </c>
      <c r="I4">
        <v>13075</v>
      </c>
      <c r="J4">
        <v>11746</v>
      </c>
      <c r="K4">
        <v>11381</v>
      </c>
      <c r="L4">
        <v>11686</v>
      </c>
      <c r="M4">
        <v>11413</v>
      </c>
      <c r="N4">
        <v>10723</v>
      </c>
      <c r="O4">
        <v>11446</v>
      </c>
      <c r="P4">
        <v>11894</v>
      </c>
      <c r="Q4">
        <f>(P4+R4)/2</f>
        <v>11392</v>
      </c>
      <c r="R4">
        <v>10890</v>
      </c>
      <c r="S4">
        <f>AVERAGE(O4:R4)</f>
        <v>11405.5</v>
      </c>
    </row>
    <row r="5" spans="1:23">
      <c r="A5" t="s">
        <v>38</v>
      </c>
      <c r="B5">
        <v>30000</v>
      </c>
      <c r="C5">
        <v>32400</v>
      </c>
      <c r="D5">
        <v>46000</v>
      </c>
      <c r="E5">
        <v>48000</v>
      </c>
      <c r="F5">
        <v>57100</v>
      </c>
      <c r="G5">
        <v>66300</v>
      </c>
      <c r="H5">
        <v>75100</v>
      </c>
      <c r="I5">
        <v>76700</v>
      </c>
      <c r="J5">
        <v>79300</v>
      </c>
      <c r="K5">
        <v>82400</v>
      </c>
      <c r="L5">
        <v>84500</v>
      </c>
      <c r="M5">
        <v>87200</v>
      </c>
      <c r="N5">
        <v>88700</v>
      </c>
      <c r="O5">
        <v>89100</v>
      </c>
      <c r="P5">
        <v>93000</v>
      </c>
      <c r="Q5">
        <v>95600</v>
      </c>
      <c r="R5">
        <v>97600</v>
      </c>
      <c r="S5">
        <v>103400</v>
      </c>
      <c r="T5">
        <v>106450</v>
      </c>
      <c r="U5">
        <v>109687.23360000001</v>
      </c>
      <c r="V5">
        <v>116946</v>
      </c>
      <c r="W5">
        <f>V5+(V5*0.0481)</f>
        <v>122571.1026</v>
      </c>
    </row>
    <row r="6" spans="1:23">
      <c r="A6" t="s">
        <v>843</v>
      </c>
      <c r="B6">
        <v>23031.059580708661</v>
      </c>
      <c r="C6">
        <v>30376.550035123164</v>
      </c>
      <c r="D6">
        <v>41396.581812760458</v>
      </c>
      <c r="E6">
        <v>44508.208636770752</v>
      </c>
      <c r="F6">
        <v>50683.244778110005</v>
      </c>
      <c r="G6">
        <v>59778.084448988899</v>
      </c>
      <c r="H6">
        <v>65714.764850562715</v>
      </c>
      <c r="I6">
        <v>69577.491225106511</v>
      </c>
      <c r="J6">
        <v>72600.551851397249</v>
      </c>
      <c r="K6">
        <v>73009.504849936493</v>
      </c>
      <c r="L6">
        <v>75114.956884113446</v>
      </c>
      <c r="M6">
        <v>78310.352387321895</v>
      </c>
      <c r="N6">
        <v>80311.39445406555</v>
      </c>
      <c r="O6">
        <v>81982.76885739484</v>
      </c>
      <c r="P6">
        <v>84859.089157767652</v>
      </c>
      <c r="Q6">
        <v>87360.824727435756</v>
      </c>
      <c r="R6">
        <v>89039.707325530631</v>
      </c>
      <c r="S6">
        <v>82876.667514686938</v>
      </c>
      <c r="T6">
        <v>89215.719589255343</v>
      </c>
      <c r="U6">
        <v>98164.057296044339</v>
      </c>
      <c r="V6">
        <v>102364.79754128082</v>
      </c>
      <c r="W6">
        <v>107750.83861048536</v>
      </c>
    </row>
    <row r="8" spans="1:23">
      <c r="A8" t="s">
        <v>844</v>
      </c>
      <c r="B8">
        <f t="shared" ref="B8:V8" si="0">B3*B19</f>
        <v>3324</v>
      </c>
      <c r="C8">
        <f t="shared" si="0"/>
        <v>4568</v>
      </c>
      <c r="D8">
        <f t="shared" si="0"/>
        <v>6378</v>
      </c>
      <c r="E8">
        <f t="shared" si="0"/>
        <v>8167.9999999999991</v>
      </c>
      <c r="F8">
        <f t="shared" si="0"/>
        <v>11326</v>
      </c>
      <c r="G8">
        <f t="shared" si="0"/>
        <v>16397</v>
      </c>
      <c r="H8">
        <f t="shared" si="0"/>
        <v>20621</v>
      </c>
      <c r="I8">
        <f t="shared" si="0"/>
        <v>21723.696749999999</v>
      </c>
      <c r="J8">
        <f t="shared" si="0"/>
        <v>22698.327959999999</v>
      </c>
      <c r="K8">
        <f t="shared" si="0"/>
        <v>23499.037700999997</v>
      </c>
      <c r="L8">
        <f t="shared" si="0"/>
        <v>25732.772968000001</v>
      </c>
      <c r="M8">
        <f t="shared" si="0"/>
        <v>26369.016229000001</v>
      </c>
      <c r="N8">
        <f t="shared" si="0"/>
        <v>27482.145067999998</v>
      </c>
      <c r="O8">
        <f t="shared" si="0"/>
        <v>28552.248291</v>
      </c>
      <c r="P8">
        <f t="shared" si="0"/>
        <v>30905.974634302722</v>
      </c>
      <c r="Q8">
        <f t="shared" si="0"/>
        <v>32441.461488514818</v>
      </c>
      <c r="R8">
        <f t="shared" si="0"/>
        <v>34010.664892781904</v>
      </c>
      <c r="S8">
        <f t="shared" si="0"/>
        <v>35096.434222388838</v>
      </c>
      <c r="T8">
        <f t="shared" si="0"/>
        <v>36204.100397000002</v>
      </c>
      <c r="U8">
        <f t="shared" si="0"/>
        <v>39070.736333089102</v>
      </c>
      <c r="V8">
        <f t="shared" si="0"/>
        <v>42003.582999999999</v>
      </c>
      <c r="W8">
        <f>W3*W19</f>
        <v>40054.868463999999</v>
      </c>
    </row>
    <row r="9" spans="1:23">
      <c r="A9" t="s">
        <v>845</v>
      </c>
      <c r="B9">
        <f t="shared" ref="B9:T9" si="1">B3*B20</f>
        <v>2334.16</v>
      </c>
      <c r="C9">
        <f t="shared" si="1"/>
        <v>4042.88742</v>
      </c>
      <c r="D9">
        <f t="shared" si="1"/>
        <v>5337.1359499999999</v>
      </c>
      <c r="E9">
        <f t="shared" si="1"/>
        <v>7802.2600500000008</v>
      </c>
      <c r="F9">
        <f t="shared" si="1"/>
        <v>9541.4567500000012</v>
      </c>
      <c r="G9">
        <f t="shared" si="1"/>
        <v>11416.20039</v>
      </c>
      <c r="H9">
        <f t="shared" si="1"/>
        <v>12303.388999999999</v>
      </c>
      <c r="I9">
        <f t="shared" si="1"/>
        <v>12826.437750000001</v>
      </c>
      <c r="J9">
        <f t="shared" si="1"/>
        <v>11509.01136</v>
      </c>
      <c r="K9">
        <f t="shared" si="1"/>
        <v>11400.929285999999</v>
      </c>
      <c r="L9">
        <f t="shared" si="1"/>
        <v>10821.031812000001</v>
      </c>
      <c r="M9">
        <f t="shared" si="1"/>
        <v>9959.4706220000007</v>
      </c>
      <c r="N9">
        <f t="shared" si="1"/>
        <v>9836.0092159999986</v>
      </c>
      <c r="O9">
        <f t="shared" si="1"/>
        <v>8780.9772960000009</v>
      </c>
      <c r="P9">
        <f t="shared" si="1"/>
        <v>10487.227907259938</v>
      </c>
      <c r="Q9">
        <f t="shared" si="1"/>
        <v>10828.248542197185</v>
      </c>
      <c r="R9">
        <f t="shared" si="1"/>
        <v>11176.184984097144</v>
      </c>
      <c r="S9">
        <f t="shared" si="1"/>
        <v>16035.631063042994</v>
      </c>
      <c r="T9">
        <f t="shared" si="1"/>
        <v>21015.454223000001</v>
      </c>
      <c r="U9">
        <f>U3*U20</f>
        <v>20862.499156119589</v>
      </c>
      <c r="V9">
        <f t="shared" ref="V9:W9" si="2">V3*V20</f>
        <v>20702.314399999999</v>
      </c>
      <c r="W9">
        <f t="shared" si="2"/>
        <v>20420.047082240002</v>
      </c>
    </row>
    <row r="10" spans="1:23">
      <c r="A10" t="s">
        <v>846</v>
      </c>
      <c r="B10">
        <f t="shared" ref="B10:T10" si="3">B3*B21</f>
        <v>2574</v>
      </c>
      <c r="C10">
        <f t="shared" si="3"/>
        <v>3615</v>
      </c>
      <c r="D10">
        <f t="shared" si="3"/>
        <v>5645.9999999999991</v>
      </c>
      <c r="E10">
        <f t="shared" si="3"/>
        <v>6669</v>
      </c>
      <c r="F10">
        <f t="shared" si="3"/>
        <v>8782</v>
      </c>
      <c r="G10">
        <f t="shared" si="3"/>
        <v>11415</v>
      </c>
      <c r="H10">
        <f t="shared" si="3"/>
        <v>13586</v>
      </c>
      <c r="I10">
        <f t="shared" si="3"/>
        <v>14185.001250000001</v>
      </c>
      <c r="J10">
        <f t="shared" si="3"/>
        <v>15238.78356</v>
      </c>
      <c r="K10">
        <f t="shared" si="3"/>
        <v>15748.046208</v>
      </c>
      <c r="L10">
        <f t="shared" si="3"/>
        <v>16196.997808</v>
      </c>
      <c r="M10">
        <f t="shared" si="3"/>
        <v>14606.298837</v>
      </c>
      <c r="N10">
        <f t="shared" si="3"/>
        <v>15508.480439999999</v>
      </c>
      <c r="O10">
        <f t="shared" si="3"/>
        <v>15620.00769</v>
      </c>
      <c r="P10">
        <f t="shared" si="3"/>
        <v>14562.427882091923</v>
      </c>
      <c r="Q10">
        <f t="shared" si="3"/>
        <v>15524.577523523212</v>
      </c>
      <c r="R10">
        <f t="shared" si="3"/>
        <v>16508.613113764412</v>
      </c>
      <c r="S10">
        <f t="shared" si="3"/>
        <v>15007.516340827598</v>
      </c>
      <c r="T10">
        <f t="shared" si="3"/>
        <v>13466.067959</v>
      </c>
      <c r="U10">
        <f>U3*U21</f>
        <v>15288.548999904431</v>
      </c>
      <c r="V10">
        <f t="shared" ref="V10:W10" si="4">V3*V21</f>
        <v>17154.6626</v>
      </c>
      <c r="W10">
        <f t="shared" si="4"/>
        <v>17386.2</v>
      </c>
    </row>
    <row r="11" spans="1:23">
      <c r="A11" t="s">
        <v>847</v>
      </c>
      <c r="B11">
        <f t="shared" ref="B11:V11" si="5">SUM(B8:B10)</f>
        <v>8232.16</v>
      </c>
      <c r="C11">
        <f t="shared" si="5"/>
        <v>12225.887419999999</v>
      </c>
      <c r="D11">
        <f t="shared" si="5"/>
        <v>17361.13595</v>
      </c>
      <c r="E11">
        <f t="shared" si="5"/>
        <v>22639.260050000001</v>
      </c>
      <c r="F11">
        <f t="shared" si="5"/>
        <v>29649.456750000001</v>
      </c>
      <c r="G11">
        <f t="shared" si="5"/>
        <v>39228.200389999998</v>
      </c>
      <c r="H11">
        <f t="shared" si="5"/>
        <v>46510.388999999996</v>
      </c>
      <c r="I11">
        <f t="shared" si="5"/>
        <v>48735.135750000001</v>
      </c>
      <c r="J11">
        <f t="shared" si="5"/>
        <v>49446.122879999995</v>
      </c>
      <c r="K11">
        <f t="shared" si="5"/>
        <v>50648.013194999992</v>
      </c>
      <c r="L11">
        <f t="shared" si="5"/>
        <v>52750.802588000006</v>
      </c>
      <c r="M11">
        <f t="shared" si="5"/>
        <v>50934.785688000004</v>
      </c>
      <c r="N11">
        <f t="shared" si="5"/>
        <v>52826.634723999996</v>
      </c>
      <c r="O11">
        <f t="shared" si="5"/>
        <v>52953.233276999999</v>
      </c>
      <c r="P11">
        <f t="shared" si="5"/>
        <v>55955.630423654577</v>
      </c>
      <c r="Q11">
        <f t="shared" si="5"/>
        <v>58794.287554235219</v>
      </c>
      <c r="R11">
        <f t="shared" si="5"/>
        <v>61695.462990643457</v>
      </c>
      <c r="S11">
        <f t="shared" si="5"/>
        <v>66139.581626259431</v>
      </c>
      <c r="T11">
        <f t="shared" si="5"/>
        <v>70685.622579000003</v>
      </c>
      <c r="U11">
        <f t="shared" si="5"/>
        <v>75221.784489113124</v>
      </c>
      <c r="V11">
        <f t="shared" si="5"/>
        <v>79860.56</v>
      </c>
      <c r="W11">
        <f>SUM(W8:W10)</f>
        <v>77861.115546240006</v>
      </c>
    </row>
    <row r="13" spans="1:23">
      <c r="B13">
        <v>1982</v>
      </c>
      <c r="C13">
        <v>1986</v>
      </c>
      <c r="D13">
        <v>1992</v>
      </c>
      <c r="E13">
        <v>1996</v>
      </c>
      <c r="F13">
        <v>2000</v>
      </c>
      <c r="G13">
        <v>2005</v>
      </c>
      <c r="H13">
        <v>2009</v>
      </c>
      <c r="I13">
        <v>2010</v>
      </c>
      <c r="J13">
        <v>2011</v>
      </c>
      <c r="K13">
        <v>2012</v>
      </c>
      <c r="L13">
        <v>2013</v>
      </c>
      <c r="M13">
        <v>2014</v>
      </c>
      <c r="N13">
        <v>2015</v>
      </c>
      <c r="O13">
        <v>2016</v>
      </c>
      <c r="P13">
        <v>2017</v>
      </c>
      <c r="Q13">
        <v>2018</v>
      </c>
      <c r="R13">
        <v>2019</v>
      </c>
      <c r="S13">
        <v>2020</v>
      </c>
      <c r="T13">
        <v>2021</v>
      </c>
      <c r="U13">
        <v>2022</v>
      </c>
      <c r="V13">
        <v>2023</v>
      </c>
      <c r="W13">
        <v>2024</v>
      </c>
    </row>
    <row r="14" spans="1:23">
      <c r="A14" t="s">
        <v>43</v>
      </c>
      <c r="B14">
        <f t="shared" ref="B14:V14" si="6">B19/B5*100</f>
        <v>1.2528310249808625</v>
      </c>
      <c r="C14">
        <f t="shared" si="6"/>
        <v>1.4960521384912495</v>
      </c>
      <c r="D14">
        <f t="shared" si="6"/>
        <v>1.4158424198021169</v>
      </c>
      <c r="E14">
        <f t="shared" si="6"/>
        <v>1.5959284286279234</v>
      </c>
      <c r="F14">
        <f t="shared" si="6"/>
        <v>1.7067461038483274</v>
      </c>
      <c r="G14">
        <f t="shared" si="6"/>
        <v>1.9648824423249334</v>
      </c>
      <c r="H14">
        <f t="shared" si="6"/>
        <v>2.0465123295395959</v>
      </c>
      <c r="I14">
        <f t="shared" si="6"/>
        <v>2.1264667535853978</v>
      </c>
      <c r="J14">
        <f t="shared" si="6"/>
        <v>2.1488020176544769</v>
      </c>
      <c r="K14">
        <f t="shared" si="6"/>
        <v>2.0861650485436893</v>
      </c>
      <c r="L14">
        <f t="shared" si="6"/>
        <v>2.2035502958579882</v>
      </c>
      <c r="M14">
        <f t="shared" si="6"/>
        <v>2.1800458715596331</v>
      </c>
      <c r="N14">
        <f t="shared" si="6"/>
        <v>2.2175873731679818</v>
      </c>
      <c r="O14">
        <f t="shared" si="6"/>
        <v>2.2772166105499441</v>
      </c>
      <c r="P14">
        <f t="shared" si="6"/>
        <v>2.3322580645161293</v>
      </c>
      <c r="Q14">
        <f t="shared" si="6"/>
        <v>2.351987447698745</v>
      </c>
      <c r="R14">
        <f t="shared" si="6"/>
        <v>2.3852459016393444</v>
      </c>
      <c r="S14">
        <f t="shared" si="6"/>
        <v>2.2944874274661511</v>
      </c>
      <c r="T14">
        <f t="shared" si="6"/>
        <v>2.2705495537811182</v>
      </c>
      <c r="U14">
        <f t="shared" si="6"/>
        <v>2.3484957323237658</v>
      </c>
      <c r="V14">
        <f t="shared" si="6"/>
        <v>2.3386862312520309</v>
      </c>
      <c r="W14">
        <f>W19/W5*100</f>
        <v>2.1145359265129104</v>
      </c>
    </row>
    <row r="15" spans="1:23">
      <c r="A15" t="s">
        <v>44</v>
      </c>
      <c r="B15">
        <f t="shared" ref="B15:W15" si="7">B20/B5*100</f>
        <v>0.87975573564059262</v>
      </c>
      <c r="C15">
        <f t="shared" si="7"/>
        <v>1.324074074074074</v>
      </c>
      <c r="D15">
        <f t="shared" si="7"/>
        <v>1.1847826086956523</v>
      </c>
      <c r="E15">
        <f t="shared" si="7"/>
        <v>1.52446726510075</v>
      </c>
      <c r="F15">
        <f t="shared" si="7"/>
        <v>1.437828371278459</v>
      </c>
      <c r="G15">
        <f t="shared" si="7"/>
        <v>1.3680241327300151</v>
      </c>
      <c r="H15">
        <f t="shared" si="7"/>
        <v>1.2210386151797603</v>
      </c>
      <c r="I15">
        <f t="shared" si="7"/>
        <v>1.2555410691003912</v>
      </c>
      <c r="J15">
        <f t="shared" si="7"/>
        <v>1.0895334174022699</v>
      </c>
      <c r="K15">
        <f t="shared" si="7"/>
        <v>1.0121359223300972</v>
      </c>
      <c r="L15">
        <f t="shared" si="7"/>
        <v>0.92662721893491118</v>
      </c>
      <c r="M15">
        <f t="shared" si="7"/>
        <v>0.82339449541284415</v>
      </c>
      <c r="N15">
        <f t="shared" si="7"/>
        <v>0.7936865839909808</v>
      </c>
      <c r="O15">
        <f t="shared" si="7"/>
        <v>0.70033670033670037</v>
      </c>
      <c r="P15">
        <f t="shared" si="7"/>
        <v>0.79139784946236569</v>
      </c>
      <c r="Q15">
        <f t="shared" si="7"/>
        <v>0.78504184100418406</v>
      </c>
      <c r="R15">
        <f t="shared" si="7"/>
        <v>0.78381147540983598</v>
      </c>
      <c r="S15">
        <f>S21/S5*100</f>
        <v>0.98114119922630549</v>
      </c>
      <c r="T15">
        <f>T21/T5*100</f>
        <v>0.84452794739314241</v>
      </c>
      <c r="U15">
        <f>U21/U5*100</f>
        <v>0.91897659090929973</v>
      </c>
      <c r="V15">
        <f>V21/V5*100</f>
        <v>0.95514168932669774</v>
      </c>
      <c r="W15">
        <f t="shared" si="7"/>
        <v>1.0779943820134976</v>
      </c>
    </row>
    <row r="16" spans="1:23">
      <c r="A16" t="s">
        <v>45</v>
      </c>
      <c r="B16">
        <f t="shared" ref="B16:W16" si="8">B21/B5*100</f>
        <v>0.97015254461514444</v>
      </c>
      <c r="C16">
        <f t="shared" si="8"/>
        <v>1.1839379335914768</v>
      </c>
      <c r="D16">
        <f t="shared" si="8"/>
        <v>1.2533468645661259</v>
      </c>
      <c r="E16">
        <f t="shared" si="8"/>
        <v>1.3030419552546062</v>
      </c>
      <c r="F16">
        <f t="shared" si="8"/>
        <v>1.3233837439516167</v>
      </c>
      <c r="G16">
        <f t="shared" si="8"/>
        <v>1.3678802878050325</v>
      </c>
      <c r="H16">
        <f t="shared" si="8"/>
        <v>1.3483301735669921</v>
      </c>
      <c r="I16">
        <f t="shared" si="8"/>
        <v>1.3885267275097783</v>
      </c>
      <c r="J16">
        <f t="shared" si="8"/>
        <v>1.4426229508196722</v>
      </c>
      <c r="K16">
        <f t="shared" si="8"/>
        <v>1.3980582524271845</v>
      </c>
      <c r="L16">
        <f t="shared" si="8"/>
        <v>1.3869822485207099</v>
      </c>
      <c r="M16">
        <f t="shared" si="8"/>
        <v>1.2075688073394495</v>
      </c>
      <c r="N16">
        <f t="shared" si="8"/>
        <v>1.2514092446448704</v>
      </c>
      <c r="O16">
        <f t="shared" si="8"/>
        <v>1.2457912457912457</v>
      </c>
      <c r="P16">
        <f t="shared" si="8"/>
        <v>1.0989247311827957</v>
      </c>
      <c r="Q16">
        <f t="shared" si="8"/>
        <v>1.1255230125523012</v>
      </c>
      <c r="R16">
        <f t="shared" si="8"/>
        <v>1.1577868852459017</v>
      </c>
      <c r="S16">
        <f>S20/S5*100</f>
        <v>1.0483558994197293</v>
      </c>
      <c r="T16">
        <f>T20/T5*100</f>
        <v>1.3179896665100987</v>
      </c>
      <c r="U16">
        <f>U20/U5*100</f>
        <v>1.2540201396783153</v>
      </c>
      <c r="V16">
        <f>V20/V5*100</f>
        <v>1.1526687530997213</v>
      </c>
      <c r="W16">
        <f t="shared" si="8"/>
        <v>0.91783460875875333</v>
      </c>
    </row>
    <row r="17" spans="1:23">
      <c r="A17" t="s">
        <v>42</v>
      </c>
      <c r="B17">
        <f t="shared" ref="B17:V17" si="9">SUM(B14:B16)</f>
        <v>3.1027393052365992</v>
      </c>
      <c r="C17">
        <f t="shared" si="9"/>
        <v>4.0040641461568001</v>
      </c>
      <c r="D17">
        <f t="shared" si="9"/>
        <v>3.8539718930638953</v>
      </c>
      <c r="E17">
        <f t="shared" si="9"/>
        <v>4.4234376489832794</v>
      </c>
      <c r="F17">
        <f t="shared" si="9"/>
        <v>4.4679582190784028</v>
      </c>
      <c r="G17">
        <f t="shared" si="9"/>
        <v>4.7007868628599807</v>
      </c>
      <c r="H17">
        <f t="shared" si="9"/>
        <v>4.6158811182863477</v>
      </c>
      <c r="I17">
        <f t="shared" si="9"/>
        <v>4.7705345501955669</v>
      </c>
      <c r="J17">
        <f t="shared" si="9"/>
        <v>4.6809583858764192</v>
      </c>
      <c r="K17">
        <f t="shared" si="9"/>
        <v>4.4963592233009715</v>
      </c>
      <c r="L17">
        <f t="shared" si="9"/>
        <v>4.5171597633136091</v>
      </c>
      <c r="M17">
        <f t="shared" si="9"/>
        <v>4.2110091743119265</v>
      </c>
      <c r="N17">
        <f t="shared" si="9"/>
        <v>4.2626832018038332</v>
      </c>
      <c r="O17">
        <f t="shared" si="9"/>
        <v>4.2233445566778904</v>
      </c>
      <c r="P17">
        <f t="shared" si="9"/>
        <v>4.2225806451612904</v>
      </c>
      <c r="Q17">
        <f t="shared" si="9"/>
        <v>4.26255230125523</v>
      </c>
      <c r="R17">
        <f t="shared" si="9"/>
        <v>4.326844262295082</v>
      </c>
      <c r="S17">
        <f t="shared" si="9"/>
        <v>4.3239845261121861</v>
      </c>
      <c r="T17">
        <f t="shared" si="9"/>
        <v>4.4330671676843592</v>
      </c>
      <c r="U17">
        <f t="shared" si="9"/>
        <v>4.5214924629113806</v>
      </c>
      <c r="V17">
        <f t="shared" si="9"/>
        <v>4.4464966736784497</v>
      </c>
      <c r="W17">
        <f t="shared" ref="W17" si="10">SUM(W14:W16)</f>
        <v>4.1103649172851613</v>
      </c>
    </row>
    <row r="19" spans="1:23">
      <c r="A19" t="s">
        <v>39</v>
      </c>
      <c r="B19">
        <v>375.84930749425877</v>
      </c>
      <c r="C19">
        <v>484.72089287116484</v>
      </c>
      <c r="D19">
        <v>651.28751310897383</v>
      </c>
      <c r="E19">
        <v>766.04564574140329</v>
      </c>
      <c r="F19">
        <v>974.55202529739495</v>
      </c>
      <c r="G19">
        <v>1302.7170592614309</v>
      </c>
      <c r="H19">
        <v>1536.9307594842364</v>
      </c>
      <c r="I19">
        <v>1631</v>
      </c>
      <c r="J19">
        <v>1704</v>
      </c>
      <c r="K19">
        <v>1719</v>
      </c>
      <c r="L19">
        <v>1862</v>
      </c>
      <c r="M19">
        <v>1901</v>
      </c>
      <c r="N19">
        <v>1967</v>
      </c>
      <c r="O19">
        <v>2029</v>
      </c>
      <c r="P19">
        <v>2169</v>
      </c>
      <c r="Q19">
        <f>(P19+R19)/2</f>
        <v>2248.5</v>
      </c>
      <c r="R19">
        <v>2328</v>
      </c>
      <c r="S19">
        <f>(R19+T19)/2</f>
        <v>2372.5</v>
      </c>
      <c r="T19">
        <v>2417</v>
      </c>
      <c r="U19">
        <f>(T19+V19)/2</f>
        <v>2576</v>
      </c>
      <c r="V19">
        <v>2735</v>
      </c>
      <c r="W19">
        <v>2591.81</v>
      </c>
    </row>
    <row r="20" spans="1:23" ht="17" customHeight="1">
      <c r="A20" t="s">
        <v>40</v>
      </c>
      <c r="B20">
        <v>263.92672069217781</v>
      </c>
      <c r="C20">
        <v>429</v>
      </c>
      <c r="D20">
        <v>545</v>
      </c>
      <c r="E20">
        <v>731.74428724836002</v>
      </c>
      <c r="F20">
        <f>784+37</f>
        <v>821</v>
      </c>
      <c r="G20">
        <v>907</v>
      </c>
      <c r="H20">
        <v>917</v>
      </c>
      <c r="I20">
        <v>963</v>
      </c>
      <c r="J20">
        <v>864</v>
      </c>
      <c r="K20">
        <v>834</v>
      </c>
      <c r="L20">
        <v>783</v>
      </c>
      <c r="M20">
        <v>718</v>
      </c>
      <c r="N20">
        <v>704</v>
      </c>
      <c r="O20">
        <v>624</v>
      </c>
      <c r="P20">
        <v>736</v>
      </c>
      <c r="Q20">
        <v>750.5</v>
      </c>
      <c r="R20">
        <v>765</v>
      </c>
      <c r="S20">
        <v>1084</v>
      </c>
      <c r="T20">
        <v>1403</v>
      </c>
      <c r="U20">
        <v>1375.5</v>
      </c>
      <c r="V20">
        <v>1348</v>
      </c>
      <c r="W20">
        <f>V20-(V20*0.0198)</f>
        <v>1321.3096</v>
      </c>
    </row>
    <row r="21" spans="1:23">
      <c r="A21" t="s">
        <v>41</v>
      </c>
      <c r="B21">
        <v>291.04576338454336</v>
      </c>
      <c r="C21">
        <v>383.59589048363853</v>
      </c>
      <c r="D21">
        <v>576.53955770041796</v>
      </c>
      <c r="E21">
        <v>625.46013852221097</v>
      </c>
      <c r="F21">
        <v>755.6521177963732</v>
      </c>
      <c r="G21">
        <v>906.90463081473649</v>
      </c>
      <c r="H21">
        <v>1012.5959603488112</v>
      </c>
      <c r="I21">
        <v>1065</v>
      </c>
      <c r="J21">
        <v>1144</v>
      </c>
      <c r="K21">
        <v>1152</v>
      </c>
      <c r="L21">
        <v>1172</v>
      </c>
      <c r="M21">
        <v>1053</v>
      </c>
      <c r="N21">
        <v>1110</v>
      </c>
      <c r="O21">
        <v>1110</v>
      </c>
      <c r="P21">
        <v>1022</v>
      </c>
      <c r="Q21">
        <v>1076</v>
      </c>
      <c r="R21">
        <v>1130</v>
      </c>
      <c r="S21">
        <v>1014.5</v>
      </c>
      <c r="T21">
        <v>899</v>
      </c>
      <c r="U21">
        <v>1008</v>
      </c>
      <c r="V21">
        <v>1117</v>
      </c>
      <c r="W21">
        <v>1125</v>
      </c>
    </row>
    <row r="22" spans="1:23">
      <c r="A22" t="s">
        <v>42</v>
      </c>
      <c r="B22">
        <f t="shared" ref="B22:V22" si="11">SUM(B19:B21)</f>
        <v>930.82179157097994</v>
      </c>
      <c r="C22">
        <f t="shared" si="11"/>
        <v>1297.3167833548032</v>
      </c>
      <c r="D22">
        <f t="shared" si="11"/>
        <v>1772.8270708093919</v>
      </c>
      <c r="E22">
        <f t="shared" si="11"/>
        <v>2123.2500715119741</v>
      </c>
      <c r="F22">
        <f t="shared" si="11"/>
        <v>2551.2041430937679</v>
      </c>
      <c r="G22">
        <f t="shared" si="11"/>
        <v>3116.6216900761674</v>
      </c>
      <c r="H22">
        <f t="shared" si="11"/>
        <v>3466.526719833048</v>
      </c>
      <c r="I22">
        <f t="shared" si="11"/>
        <v>3659</v>
      </c>
      <c r="J22">
        <f t="shared" si="11"/>
        <v>3712</v>
      </c>
      <c r="K22">
        <f t="shared" si="11"/>
        <v>3705</v>
      </c>
      <c r="L22">
        <f t="shared" si="11"/>
        <v>3817</v>
      </c>
      <c r="M22">
        <f t="shared" si="11"/>
        <v>3672</v>
      </c>
      <c r="N22">
        <f t="shared" si="11"/>
        <v>3781</v>
      </c>
      <c r="O22">
        <f t="shared" si="11"/>
        <v>3763</v>
      </c>
      <c r="P22">
        <f t="shared" si="11"/>
        <v>3927</v>
      </c>
      <c r="Q22">
        <f t="shared" si="11"/>
        <v>4075</v>
      </c>
      <c r="R22">
        <f t="shared" si="11"/>
        <v>4223</v>
      </c>
      <c r="S22">
        <f t="shared" si="11"/>
        <v>4471</v>
      </c>
      <c r="T22">
        <f t="shared" si="11"/>
        <v>4719</v>
      </c>
      <c r="U22">
        <f t="shared" si="11"/>
        <v>4959.5</v>
      </c>
      <c r="V22">
        <f t="shared" si="11"/>
        <v>5200</v>
      </c>
      <c r="W22">
        <f>SUM(W19:W21)</f>
        <v>5038.1196</v>
      </c>
    </row>
    <row r="24" spans="1:23">
      <c r="B24">
        <v>1982</v>
      </c>
      <c r="C24">
        <v>1986</v>
      </c>
      <c r="D24">
        <v>1992</v>
      </c>
      <c r="E24">
        <v>1996</v>
      </c>
      <c r="F24">
        <v>2000</v>
      </c>
      <c r="G24">
        <v>2005</v>
      </c>
      <c r="H24">
        <v>2009</v>
      </c>
      <c r="I24">
        <v>2010</v>
      </c>
      <c r="J24">
        <v>2011</v>
      </c>
      <c r="K24">
        <v>2012</v>
      </c>
      <c r="L24">
        <v>2013</v>
      </c>
      <c r="M24">
        <v>2014</v>
      </c>
      <c r="N24">
        <v>2015</v>
      </c>
      <c r="O24">
        <v>2016</v>
      </c>
      <c r="P24">
        <v>2017</v>
      </c>
      <c r="Q24">
        <v>2018</v>
      </c>
      <c r="R24">
        <v>2019</v>
      </c>
      <c r="S24">
        <v>2020</v>
      </c>
      <c r="T24">
        <v>2021</v>
      </c>
      <c r="U24">
        <v>2022</v>
      </c>
      <c r="V24">
        <v>2023</v>
      </c>
      <c r="W24">
        <v>2024</v>
      </c>
    </row>
    <row r="25" spans="1:23" ht="17" customHeight="1">
      <c r="A25" t="s">
        <v>48</v>
      </c>
      <c r="E25">
        <v>65</v>
      </c>
      <c r="F25">
        <v>171</v>
      </c>
      <c r="G25">
        <v>400</v>
      </c>
      <c r="H25">
        <v>619</v>
      </c>
      <c r="I25">
        <v>731</v>
      </c>
      <c r="J25">
        <v>807</v>
      </c>
      <c r="K25">
        <v>833</v>
      </c>
      <c r="L25">
        <v>947</v>
      </c>
      <c r="M25">
        <v>992</v>
      </c>
      <c r="N25">
        <v>1047</v>
      </c>
      <c r="O25">
        <v>1105</v>
      </c>
      <c r="P25">
        <v>1216</v>
      </c>
      <c r="Q25">
        <v>1279.5</v>
      </c>
      <c r="R25">
        <v>1343</v>
      </c>
      <c r="S25">
        <v>1325.5</v>
      </c>
      <c r="T25">
        <v>1308</v>
      </c>
      <c r="U25">
        <f>(T25+V25)/2</f>
        <v>1406</v>
      </c>
      <c r="V25">
        <v>1504</v>
      </c>
      <c r="W25">
        <f>V25-(V25*0.015)</f>
        <v>1481.44</v>
      </c>
    </row>
    <row r="26" spans="1:23">
      <c r="A26" t="s">
        <v>49</v>
      </c>
      <c r="E26">
        <v>8.1999999999999993</v>
      </c>
      <c r="F26">
        <v>89</v>
      </c>
      <c r="G26">
        <v>236</v>
      </c>
      <c r="H26">
        <v>344</v>
      </c>
      <c r="I26">
        <v>388</v>
      </c>
      <c r="J26">
        <v>415</v>
      </c>
      <c r="K26">
        <v>438</v>
      </c>
      <c r="L26">
        <v>488</v>
      </c>
      <c r="M26">
        <v>509</v>
      </c>
      <c r="N26">
        <v>558</v>
      </c>
      <c r="O26">
        <v>594</v>
      </c>
      <c r="P26">
        <v>650</v>
      </c>
      <c r="Q26">
        <f>(P26+R26)/2</f>
        <v>689</v>
      </c>
      <c r="R26">
        <v>728</v>
      </c>
      <c r="S26">
        <f>(R26+T26)/2</f>
        <v>807</v>
      </c>
      <c r="T26">
        <v>886</v>
      </c>
      <c r="U26">
        <f>(T26+V26)/2</f>
        <v>965</v>
      </c>
      <c r="V26">
        <v>1044</v>
      </c>
      <c r="W26">
        <v>1110.3699999999999</v>
      </c>
    </row>
    <row r="27" spans="1:23">
      <c r="A27" t="s">
        <v>47</v>
      </c>
      <c r="B27">
        <f t="shared" ref="B27:H27" si="12">B28-(B25+B26)</f>
        <v>375.84930749425877</v>
      </c>
      <c r="C27">
        <f t="shared" si="12"/>
        <v>484.72089287116484</v>
      </c>
      <c r="D27">
        <f t="shared" si="12"/>
        <v>651.28751310897383</v>
      </c>
      <c r="E27">
        <f t="shared" si="12"/>
        <v>692.84564574140325</v>
      </c>
      <c r="F27">
        <f t="shared" si="12"/>
        <v>714.55202529739495</v>
      </c>
      <c r="G27">
        <f t="shared" si="12"/>
        <v>666.7170592614309</v>
      </c>
      <c r="H27">
        <f t="shared" si="12"/>
        <v>573.93075948423643</v>
      </c>
      <c r="I27">
        <v>512</v>
      </c>
      <c r="J27">
        <v>482</v>
      </c>
      <c r="K27">
        <v>448</v>
      </c>
      <c r="L27">
        <v>427</v>
      </c>
      <c r="M27">
        <v>400</v>
      </c>
      <c r="N27">
        <v>362</v>
      </c>
      <c r="O27">
        <v>330</v>
      </c>
      <c r="P27">
        <v>303</v>
      </c>
      <c r="Q27">
        <f>Q28-(Q25+Q26)</f>
        <v>280</v>
      </c>
      <c r="R27">
        <v>257</v>
      </c>
      <c r="S27">
        <f>(R27+T27)/2</f>
        <v>240</v>
      </c>
      <c r="T27">
        <v>223</v>
      </c>
      <c r="U27">
        <f>(T27+V27)/2</f>
        <v>205</v>
      </c>
      <c r="V27">
        <v>187</v>
      </c>
      <c r="W27">
        <v>170.58048780487806</v>
      </c>
    </row>
    <row r="28" spans="1:23">
      <c r="A28" t="s">
        <v>46</v>
      </c>
      <c r="B28">
        <v>375.84930749425877</v>
      </c>
      <c r="C28">
        <v>484.72089287116484</v>
      </c>
      <c r="D28">
        <v>651.28751310897383</v>
      </c>
      <c r="E28">
        <v>766.04564574140329</v>
      </c>
      <c r="F28">
        <v>974.55202529739495</v>
      </c>
      <c r="G28">
        <v>1302.7170592614309</v>
      </c>
      <c r="H28">
        <v>1536.9307594842364</v>
      </c>
      <c r="I28">
        <v>1631</v>
      </c>
      <c r="J28">
        <v>1704</v>
      </c>
      <c r="K28">
        <v>1719</v>
      </c>
      <c r="L28">
        <v>1862</v>
      </c>
      <c r="M28">
        <v>1901</v>
      </c>
      <c r="N28">
        <v>1967</v>
      </c>
      <c r="O28">
        <v>2029</v>
      </c>
      <c r="P28">
        <v>2169</v>
      </c>
      <c r="Q28">
        <f>(P28+R28)/2</f>
        <v>2248.5</v>
      </c>
      <c r="R28">
        <v>2328</v>
      </c>
      <c r="S28">
        <f>(R28+T28)/2</f>
        <v>2372.5</v>
      </c>
      <c r="T28">
        <f>SUM(T25:T27)</f>
        <v>2417</v>
      </c>
      <c r="U28">
        <f>SUM(U25:U27)</f>
        <v>2576</v>
      </c>
      <c r="V28">
        <f>SUM(V25:V27)</f>
        <v>2735</v>
      </c>
      <c r="W28">
        <f>SUM(W25:W26)</f>
        <v>2591.81</v>
      </c>
    </row>
    <row r="30" spans="1:23" ht="15" customHeight="1">
      <c r="A30" t="s">
        <v>50</v>
      </c>
      <c r="B30">
        <v>80.993038194385562</v>
      </c>
      <c r="C30">
        <v>131.88695222188502</v>
      </c>
      <c r="D30">
        <v>168.63220431924731</v>
      </c>
      <c r="E30">
        <v>251.10316012586108</v>
      </c>
      <c r="F30">
        <v>362.98319960419042</v>
      </c>
      <c r="G30">
        <v>400.37277236336246</v>
      </c>
      <c r="H30">
        <v>539.86801242236027</v>
      </c>
      <c r="I30">
        <v>610.38493013897119</v>
      </c>
      <c r="J30">
        <v>635.03896220890954</v>
      </c>
      <c r="K30">
        <v>626.2380945414111</v>
      </c>
      <c r="L30">
        <v>636.31693198263383</v>
      </c>
      <c r="M30">
        <v>644.6785042282155</v>
      </c>
      <c r="N30">
        <v>639.58315439892351</v>
      </c>
      <c r="O30">
        <v>623.86566326276818</v>
      </c>
      <c r="P30">
        <v>602.22471752403681</v>
      </c>
      <c r="Q30">
        <v>583.89243138342101</v>
      </c>
      <c r="R30">
        <v>572.52180103221224</v>
      </c>
      <c r="S30">
        <v>547.51842087473801</v>
      </c>
      <c r="T30">
        <v>523.34216798296268</v>
      </c>
      <c r="U30">
        <v>489.31180442006428</v>
      </c>
      <c r="V30">
        <v>457.35522014871924</v>
      </c>
      <c r="W30">
        <v>416.95944197121901</v>
      </c>
    </row>
    <row r="31" spans="1:23">
      <c r="A31" t="s">
        <v>41</v>
      </c>
      <c r="B31">
        <f t="shared" ref="B31:R31" si="13">B21-B30</f>
        <v>210.05272519015779</v>
      </c>
      <c r="C31">
        <f t="shared" si="13"/>
        <v>251.7089382617535</v>
      </c>
      <c r="D31">
        <f t="shared" si="13"/>
        <v>407.90735338117065</v>
      </c>
      <c r="E31">
        <f t="shared" si="13"/>
        <v>374.35697839634986</v>
      </c>
      <c r="F31">
        <f t="shared" si="13"/>
        <v>392.66891819218279</v>
      </c>
      <c r="G31">
        <f t="shared" si="13"/>
        <v>506.53185845137403</v>
      </c>
      <c r="H31">
        <f t="shared" si="13"/>
        <v>472.72794792645095</v>
      </c>
      <c r="I31">
        <f t="shared" si="13"/>
        <v>454.61506986102881</v>
      </c>
      <c r="J31">
        <f t="shared" si="13"/>
        <v>508.96103779109046</v>
      </c>
      <c r="K31">
        <f t="shared" si="13"/>
        <v>525.7619054585889</v>
      </c>
      <c r="L31">
        <f t="shared" si="13"/>
        <v>535.68306801736617</v>
      </c>
      <c r="M31">
        <f t="shared" si="13"/>
        <v>408.3214957717845</v>
      </c>
      <c r="N31">
        <f t="shared" si="13"/>
        <v>470.41684560107649</v>
      </c>
      <c r="O31">
        <f t="shared" si="13"/>
        <v>486.13433673723182</v>
      </c>
      <c r="P31">
        <f t="shared" si="13"/>
        <v>419.77528247596319</v>
      </c>
      <c r="Q31">
        <f t="shared" si="13"/>
        <v>492.10756861657899</v>
      </c>
      <c r="R31">
        <f t="shared" si="13"/>
        <v>557.47819896778776</v>
      </c>
      <c r="S31">
        <f>S20-S30</f>
        <v>536.48157912526199</v>
      </c>
      <c r="T31">
        <f>T20-T30</f>
        <v>879.65783201703732</v>
      </c>
      <c r="U31">
        <f>U20-U30</f>
        <v>886.18819557993572</v>
      </c>
      <c r="V31">
        <f>V20-V30</f>
        <v>890.64477985128076</v>
      </c>
      <c r="W31">
        <f>W21-W30</f>
        <v>708.04055802878099</v>
      </c>
    </row>
    <row r="32" spans="1:23">
      <c r="A32" t="s">
        <v>51</v>
      </c>
      <c r="B32">
        <v>411.72768338201064</v>
      </c>
      <c r="C32">
        <v>506.26836446079506</v>
      </c>
      <c r="D32">
        <v>529.46619793569448</v>
      </c>
      <c r="E32">
        <v>533.70353693771324</v>
      </c>
      <c r="F32">
        <v>739.34717420922118</v>
      </c>
      <c r="G32">
        <v>813.2043706022348</v>
      </c>
      <c r="H32">
        <v>903.39530809823611</v>
      </c>
      <c r="I32">
        <v>903.04183794132553</v>
      </c>
      <c r="J32">
        <v>941.23356917079286</v>
      </c>
      <c r="K32">
        <v>945.8274101604668</v>
      </c>
      <c r="L32">
        <v>947.96050119956897</v>
      </c>
      <c r="M32">
        <v>936.32248679974066</v>
      </c>
      <c r="N32">
        <v>938.05979614080115</v>
      </c>
      <c r="O32">
        <v>974.96965444835837</v>
      </c>
      <c r="P32">
        <v>1007.4162171193229</v>
      </c>
      <c r="Q32">
        <v>1033.8855577223721</v>
      </c>
      <c r="R32">
        <v>1079.4347443833558</v>
      </c>
      <c r="S32">
        <v>1022.7891467856992</v>
      </c>
      <c r="T32">
        <v>1238.2056597325538</v>
      </c>
      <c r="U32">
        <v>1346.9793215908669</v>
      </c>
      <c r="V32">
        <v>1448.2774804706883</v>
      </c>
      <c r="W32">
        <v>1549.3108759951283</v>
      </c>
    </row>
    <row r="33" spans="1:23">
      <c r="A33" t="s">
        <v>52</v>
      </c>
      <c r="B33">
        <v>94.7</v>
      </c>
      <c r="C33">
        <v>97.6</v>
      </c>
      <c r="D33">
        <v>91.964492678887069</v>
      </c>
      <c r="E33">
        <v>90.344242230986012</v>
      </c>
      <c r="F33">
        <v>80.426785983178092</v>
      </c>
      <c r="G33">
        <v>83.698995055919838</v>
      </c>
      <c r="H33">
        <v>73.754490571662814</v>
      </c>
      <c r="I33">
        <v>85.815642772678643</v>
      </c>
      <c r="J33">
        <v>87.083066359924075</v>
      </c>
      <c r="K33">
        <v>85.02449016944108</v>
      </c>
      <c r="L33">
        <v>83.567511463850423</v>
      </c>
      <c r="M33">
        <v>78.645364771677933</v>
      </c>
      <c r="N33">
        <v>74.157555567707178</v>
      </c>
      <c r="O33">
        <v>72.981398128876336</v>
      </c>
      <c r="P33">
        <v>77.135503028402866</v>
      </c>
      <c r="Q33">
        <v>83.705028238674373</v>
      </c>
      <c r="R33">
        <v>83.076693998994884</v>
      </c>
      <c r="S33">
        <v>81.734507039181182</v>
      </c>
      <c r="T33">
        <v>86.214372564789471</v>
      </c>
      <c r="U33">
        <v>81.755965200347873</v>
      </c>
      <c r="V33">
        <v>82.811081406880419</v>
      </c>
      <c r="W33">
        <v>93.550302793514362</v>
      </c>
    </row>
    <row r="34" spans="1:23">
      <c r="A34" t="s">
        <v>53</v>
      </c>
      <c r="B34">
        <f t="shared" ref="B34:V34" si="14">SUM(B30:B33)</f>
        <v>797.47344676655405</v>
      </c>
      <c r="C34">
        <f t="shared" si="14"/>
        <v>987.46425494443361</v>
      </c>
      <c r="D34">
        <f t="shared" si="14"/>
        <v>1197.9702483149997</v>
      </c>
      <c r="E34">
        <f t="shared" si="14"/>
        <v>1249.5079176909103</v>
      </c>
      <c r="F34">
        <f t="shared" si="14"/>
        <v>1575.4260779887722</v>
      </c>
      <c r="G34">
        <f t="shared" si="14"/>
        <v>1803.8079964728911</v>
      </c>
      <c r="H34">
        <f t="shared" si="14"/>
        <v>1989.74575901871</v>
      </c>
      <c r="I34">
        <f t="shared" si="14"/>
        <v>2053.8574807140039</v>
      </c>
      <c r="J34">
        <f t="shared" si="14"/>
        <v>2172.3166355307171</v>
      </c>
      <c r="K34">
        <f t="shared" si="14"/>
        <v>2182.8519003299075</v>
      </c>
      <c r="L34">
        <f t="shared" si="14"/>
        <v>2203.5280126634193</v>
      </c>
      <c r="M34">
        <f t="shared" si="14"/>
        <v>2067.9678515714186</v>
      </c>
      <c r="N34">
        <f t="shared" si="14"/>
        <v>2122.2173517085084</v>
      </c>
      <c r="O34">
        <f t="shared" si="14"/>
        <v>2157.9510525772348</v>
      </c>
      <c r="P34">
        <f t="shared" si="14"/>
        <v>2106.551720147726</v>
      </c>
      <c r="Q34">
        <f t="shared" si="14"/>
        <v>2193.5905859610466</v>
      </c>
      <c r="R34">
        <f t="shared" si="14"/>
        <v>2292.5114383823507</v>
      </c>
      <c r="S34">
        <f t="shared" si="14"/>
        <v>2188.5236538248805</v>
      </c>
      <c r="T34">
        <f t="shared" si="14"/>
        <v>2727.4200322973429</v>
      </c>
      <c r="U34">
        <f t="shared" si="14"/>
        <v>2804.2352867912145</v>
      </c>
      <c r="V34">
        <f t="shared" si="14"/>
        <v>2879.0885618775687</v>
      </c>
      <c r="W34">
        <f>SUM(W30:W33)</f>
        <v>2767.8611787886425</v>
      </c>
    </row>
    <row r="35" spans="1:23"/>
    <row r="36" spans="1:23">
      <c r="A36" t="s">
        <v>54</v>
      </c>
      <c r="E36">
        <f t="shared" ref="E36:W36" si="15">E25/12</f>
        <v>5.416666666666667</v>
      </c>
      <c r="F36">
        <f t="shared" si="15"/>
        <v>14.25</v>
      </c>
      <c r="G36">
        <f t="shared" si="15"/>
        <v>33.333333333333336</v>
      </c>
      <c r="H36">
        <f t="shared" si="15"/>
        <v>51.583333333333336</v>
      </c>
      <c r="I36">
        <f t="shared" si="15"/>
        <v>60.916666666666664</v>
      </c>
      <c r="J36">
        <f t="shared" si="15"/>
        <v>67.25</v>
      </c>
      <c r="K36">
        <f t="shared" si="15"/>
        <v>69.416666666666671</v>
      </c>
      <c r="L36">
        <f t="shared" si="15"/>
        <v>78.916666666666671</v>
      </c>
      <c r="M36">
        <f t="shared" si="15"/>
        <v>82.666666666666671</v>
      </c>
      <c r="N36">
        <f t="shared" si="15"/>
        <v>87.25</v>
      </c>
      <c r="O36">
        <f t="shared" si="15"/>
        <v>92.083333333333329</v>
      </c>
      <c r="P36">
        <f t="shared" si="15"/>
        <v>101.33333333333333</v>
      </c>
      <c r="Q36">
        <f t="shared" si="15"/>
        <v>106.625</v>
      </c>
      <c r="R36">
        <f t="shared" si="15"/>
        <v>111.91666666666667</v>
      </c>
      <c r="S36">
        <f t="shared" si="15"/>
        <v>110.45833333333333</v>
      </c>
      <c r="T36">
        <f t="shared" si="15"/>
        <v>109</v>
      </c>
      <c r="U36">
        <f t="shared" si="15"/>
        <v>117.16666666666667</v>
      </c>
      <c r="V36">
        <f t="shared" si="15"/>
        <v>125.33333333333333</v>
      </c>
      <c r="W36">
        <f t="shared" si="15"/>
        <v>123.45333333333333</v>
      </c>
    </row>
    <row r="37" spans="1:23">
      <c r="A37" t="s">
        <v>55</v>
      </c>
      <c r="E37">
        <f t="shared" ref="E37:W37" si="16">E26/12</f>
        <v>0.68333333333333324</v>
      </c>
      <c r="F37">
        <f t="shared" si="16"/>
        <v>7.416666666666667</v>
      </c>
      <c r="G37">
        <f t="shared" si="16"/>
        <v>19.666666666666668</v>
      </c>
      <c r="H37">
        <f t="shared" si="16"/>
        <v>28.666666666666668</v>
      </c>
      <c r="I37">
        <f t="shared" si="16"/>
        <v>32.333333333333336</v>
      </c>
      <c r="J37">
        <f t="shared" si="16"/>
        <v>34.583333333333336</v>
      </c>
      <c r="K37">
        <f t="shared" si="16"/>
        <v>36.5</v>
      </c>
      <c r="L37">
        <f t="shared" si="16"/>
        <v>40.666666666666664</v>
      </c>
      <c r="M37">
        <f t="shared" si="16"/>
        <v>42.416666666666664</v>
      </c>
      <c r="N37">
        <f t="shared" si="16"/>
        <v>46.5</v>
      </c>
      <c r="O37">
        <f t="shared" si="16"/>
        <v>49.5</v>
      </c>
      <c r="P37">
        <f t="shared" si="16"/>
        <v>54.166666666666664</v>
      </c>
      <c r="Q37">
        <f t="shared" si="16"/>
        <v>57.416666666666664</v>
      </c>
      <c r="R37">
        <f t="shared" si="16"/>
        <v>60.666666666666664</v>
      </c>
      <c r="S37">
        <f t="shared" si="16"/>
        <v>67.25</v>
      </c>
      <c r="T37">
        <f t="shared" si="16"/>
        <v>73.833333333333329</v>
      </c>
      <c r="U37">
        <f t="shared" si="16"/>
        <v>80.416666666666671</v>
      </c>
      <c r="V37">
        <f t="shared" si="16"/>
        <v>87</v>
      </c>
      <c r="W37">
        <f t="shared" si="16"/>
        <v>92.53083333333332</v>
      </c>
    </row>
    <row r="39" spans="1:23">
      <c r="A39" t="s">
        <v>971</v>
      </c>
      <c r="B39">
        <v>25.607053000000001</v>
      </c>
      <c r="C39">
        <v>26.100277999999999</v>
      </c>
      <c r="D39">
        <v>28.371264</v>
      </c>
      <c r="E39">
        <v>29.610218</v>
      </c>
      <c r="F39">
        <v>30.68573</v>
      </c>
      <c r="G39">
        <v>32.242731999999997</v>
      </c>
      <c r="H39">
        <v>33.630068999999999</v>
      </c>
      <c r="I39">
        <v>34</v>
      </c>
      <c r="J39">
        <v>34.299999999999997</v>
      </c>
      <c r="K39">
        <v>34.799999999999997</v>
      </c>
      <c r="L39">
        <v>35.200000000000003</v>
      </c>
      <c r="M39">
        <v>35.5</v>
      </c>
      <c r="N39">
        <v>35.9</v>
      </c>
      <c r="O39">
        <v>36.200000000000003</v>
      </c>
      <c r="P39">
        <v>36.700000000000003</v>
      </c>
      <c r="Q39">
        <v>37.06</v>
      </c>
      <c r="R39">
        <v>37.6</v>
      </c>
      <c r="S39">
        <v>38.027999999999999</v>
      </c>
      <c r="T39">
        <v>38.238999999999997</v>
      </c>
      <c r="U39">
        <v>38.939</v>
      </c>
      <c r="V39">
        <v>40.097000000000001</v>
      </c>
      <c r="W39">
        <v>41.287999999999997</v>
      </c>
    </row>
    <row r="40" spans="1:23">
      <c r="A40" t="s">
        <v>1018</v>
      </c>
      <c r="B40">
        <f t="shared" ref="B40:W40" si="17">B19/B122</f>
        <v>129.80798688548813</v>
      </c>
      <c r="C40">
        <f t="shared" si="17"/>
        <v>175.01729291925551</v>
      </c>
      <c r="D40">
        <f t="shared" si="17"/>
        <v>224.80492938206774</v>
      </c>
      <c r="E40">
        <f t="shared" si="17"/>
        <v>275.85072153133086</v>
      </c>
      <c r="F40">
        <f t="shared" si="17"/>
        <v>369.09664524845914</v>
      </c>
      <c r="G40">
        <f t="shared" si="17"/>
        <v>520.32995427651861</v>
      </c>
      <c r="H40">
        <f t="shared" si="17"/>
        <v>594.57116132856925</v>
      </c>
      <c r="I40">
        <f t="shared" si="17"/>
        <v>638.93225735294118</v>
      </c>
      <c r="J40">
        <f t="shared" si="17"/>
        <v>661.75883265306129</v>
      </c>
      <c r="K40">
        <f t="shared" si="17"/>
        <v>675.25970405172416</v>
      </c>
      <c r="L40">
        <f t="shared" si="17"/>
        <v>731.04468659090912</v>
      </c>
      <c r="M40">
        <f t="shared" si="17"/>
        <v>742.78918954929577</v>
      </c>
      <c r="N40">
        <f t="shared" si="17"/>
        <v>765.51936122562665</v>
      </c>
      <c r="O40">
        <f t="shared" si="17"/>
        <v>788.73614063535899</v>
      </c>
      <c r="P40">
        <f t="shared" si="17"/>
        <v>842.12464943604141</v>
      </c>
      <c r="Q40">
        <f t="shared" si="17"/>
        <v>875.37672661939598</v>
      </c>
      <c r="R40">
        <f t="shared" si="17"/>
        <v>904.53895991441209</v>
      </c>
      <c r="S40">
        <f t="shared" si="17"/>
        <v>922.91033507912175</v>
      </c>
      <c r="T40">
        <f t="shared" si="17"/>
        <v>946.78470663458779</v>
      </c>
      <c r="U40">
        <f t="shared" si="17"/>
        <v>1003.3831462823674</v>
      </c>
      <c r="V40">
        <f t="shared" si="17"/>
        <v>1047.552541292657</v>
      </c>
      <c r="W40">
        <f t="shared" si="17"/>
        <v>970.13341561712855</v>
      </c>
    </row>
    <row r="41" spans="1:23">
      <c r="A41" t="s">
        <v>1016</v>
      </c>
      <c r="E41">
        <f t="shared" ref="E41:R41" si="18">E30/12</f>
        <v>20.925263343821758</v>
      </c>
      <c r="F41">
        <f t="shared" si="18"/>
        <v>30.248599967015867</v>
      </c>
      <c r="G41">
        <f t="shared" si="18"/>
        <v>33.364397696946874</v>
      </c>
      <c r="H41">
        <f t="shared" si="18"/>
        <v>44.989001035196686</v>
      </c>
      <c r="I41">
        <f t="shared" si="18"/>
        <v>50.865410844914265</v>
      </c>
      <c r="J41">
        <f t="shared" si="18"/>
        <v>52.919913517409128</v>
      </c>
      <c r="K41">
        <f t="shared" si="18"/>
        <v>52.186507878450925</v>
      </c>
      <c r="L41">
        <f t="shared" si="18"/>
        <v>53.026410998552819</v>
      </c>
      <c r="M41">
        <f t="shared" si="18"/>
        <v>53.723208685684625</v>
      </c>
      <c r="N41">
        <f t="shared" si="18"/>
        <v>53.298596199910293</v>
      </c>
      <c r="O41">
        <f t="shared" si="18"/>
        <v>51.988805271897348</v>
      </c>
      <c r="P41">
        <f t="shared" si="18"/>
        <v>50.185393127003067</v>
      </c>
      <c r="Q41">
        <f t="shared" si="18"/>
        <v>48.657702615285082</v>
      </c>
      <c r="R41">
        <f t="shared" si="18"/>
        <v>47.710150086017684</v>
      </c>
      <c r="S41">
        <f>S25/S122</f>
        <v>515.62387740669158</v>
      </c>
      <c r="T41">
        <f>T25/T122</f>
        <v>512.36838902690977</v>
      </c>
      <c r="U41">
        <f>U25/U122</f>
        <v>547.65399987306228</v>
      </c>
      <c r="V41">
        <f>V25/V122</f>
        <v>576.05814336532217</v>
      </c>
      <c r="W41">
        <f>W25/W122</f>
        <v>554.51381360201515</v>
      </c>
    </row>
    <row r="42" spans="1:23">
      <c r="A42" t="s">
        <v>1017</v>
      </c>
      <c r="E42">
        <f t="shared" ref="E42:R42" si="19">E26/E122</f>
        <v>2.9527952141385785</v>
      </c>
      <c r="F42">
        <f t="shared" si="19"/>
        <v>33.707386136813433</v>
      </c>
      <c r="G42">
        <f t="shared" si="19"/>
        <v>94.262885663659048</v>
      </c>
      <c r="H42">
        <f t="shared" si="19"/>
        <v>133.07852564917425</v>
      </c>
      <c r="I42">
        <f t="shared" si="19"/>
        <v>151.99614705882351</v>
      </c>
      <c r="J42">
        <f t="shared" si="19"/>
        <v>161.16779081632654</v>
      </c>
      <c r="K42">
        <f t="shared" si="19"/>
        <v>172.05570120689654</v>
      </c>
      <c r="L42">
        <f t="shared" si="19"/>
        <v>191.59495545454547</v>
      </c>
      <c r="M42">
        <f t="shared" si="19"/>
        <v>198.88463833802817</v>
      </c>
      <c r="N42">
        <f t="shared" si="19"/>
        <v>217.16309281337047</v>
      </c>
      <c r="O42">
        <f t="shared" si="19"/>
        <v>230.90648966850827</v>
      </c>
      <c r="P42">
        <f t="shared" si="19"/>
        <v>252.365616474609</v>
      </c>
      <c r="Q42">
        <f t="shared" si="19"/>
        <v>268.23863226184739</v>
      </c>
      <c r="R42">
        <f t="shared" si="19"/>
        <v>282.86269880485048</v>
      </c>
      <c r="S42">
        <f>S26/S122</f>
        <v>313.92566508276133</v>
      </c>
      <c r="T42">
        <f>T26/T122</f>
        <v>347.06299134391594</v>
      </c>
      <c r="U42">
        <f>U26/U122</f>
        <v>375.87916776493967</v>
      </c>
      <c r="V42">
        <f>V26/V122</f>
        <v>399.8701473892263</v>
      </c>
      <c r="W42">
        <f>W26/W122</f>
        <v>415.61960201511334</v>
      </c>
    </row>
    <row r="43" spans="1:23">
      <c r="A43" t="s">
        <v>973</v>
      </c>
      <c r="B43">
        <f t="shared" ref="B43:R43" si="20">B20/B122</f>
        <v>91.153011633162151</v>
      </c>
      <c r="C43">
        <f t="shared" si="20"/>
        <v>154.89825127533126</v>
      </c>
      <c r="D43">
        <f t="shared" si="20"/>
        <v>188.11766546601518</v>
      </c>
      <c r="E43">
        <f t="shared" si="20"/>
        <v>263.49890601953695</v>
      </c>
      <c r="F43">
        <f t="shared" si="20"/>
        <v>310.94116874521154</v>
      </c>
      <c r="G43">
        <f t="shared" si="20"/>
        <v>362.27303939380829</v>
      </c>
      <c r="H43">
        <f t="shared" si="20"/>
        <v>354.74711633806044</v>
      </c>
      <c r="I43">
        <f t="shared" si="20"/>
        <v>377.24816911764702</v>
      </c>
      <c r="J43">
        <f t="shared" si="20"/>
        <v>335.53968979591838</v>
      </c>
      <c r="K43">
        <f t="shared" si="20"/>
        <v>327.61291051724135</v>
      </c>
      <c r="L43">
        <f t="shared" si="20"/>
        <v>307.41567647727271</v>
      </c>
      <c r="M43">
        <f t="shared" si="20"/>
        <v>280.54846822535211</v>
      </c>
      <c r="N43">
        <f t="shared" si="20"/>
        <v>273.98354362116993</v>
      </c>
      <c r="O43">
        <f t="shared" si="20"/>
        <v>242.56843359116019</v>
      </c>
      <c r="P43">
        <f t="shared" si="20"/>
        <v>285.75552880817264</v>
      </c>
      <c r="Q43">
        <f t="shared" si="20"/>
        <v>292.18155807331851</v>
      </c>
      <c r="R43">
        <f t="shared" si="20"/>
        <v>297.23896234300912</v>
      </c>
      <c r="S43">
        <f>S21/S122</f>
        <v>394.64385034257913</v>
      </c>
      <c r="T43">
        <f>T21/T122</f>
        <v>352.15533771803655</v>
      </c>
      <c r="U43">
        <f>U21/U122</f>
        <v>392.628187675709</v>
      </c>
      <c r="V43">
        <f>V21/V122</f>
        <v>427.83041631586764</v>
      </c>
      <c r="W43">
        <f>W20/W122</f>
        <v>494.57583516372802</v>
      </c>
    </row>
    <row r="44" spans="1:23">
      <c r="A44" t="s">
        <v>974</v>
      </c>
      <c r="B44">
        <f t="shared" ref="B44:R44" si="21">B21/B122</f>
        <v>100.51918118027874</v>
      </c>
      <c r="C44">
        <f t="shared" si="21"/>
        <v>138.50427187020767</v>
      </c>
      <c r="D44">
        <f t="shared" si="21"/>
        <v>199.00417549249832</v>
      </c>
      <c r="E44">
        <f t="shared" si="21"/>
        <v>225.22630532473624</v>
      </c>
      <c r="F44">
        <f t="shared" si="21"/>
        <v>286.1916597714964</v>
      </c>
      <c r="G44">
        <f t="shared" si="21"/>
        <v>362.23494712852721</v>
      </c>
      <c r="H44">
        <f t="shared" si="21"/>
        <v>391.72900430677186</v>
      </c>
      <c r="I44">
        <f t="shared" si="21"/>
        <v>417.20591911764706</v>
      </c>
      <c r="J44">
        <f t="shared" si="21"/>
        <v>444.27940408163272</v>
      </c>
      <c r="K44">
        <f t="shared" si="21"/>
        <v>452.53006344827588</v>
      </c>
      <c r="L44">
        <f t="shared" si="21"/>
        <v>460.1419831818182</v>
      </c>
      <c r="M44">
        <f t="shared" si="21"/>
        <v>411.44503766197187</v>
      </c>
      <c r="N44">
        <f t="shared" si="21"/>
        <v>431.99109860724229</v>
      </c>
      <c r="O44">
        <f t="shared" si="21"/>
        <v>431.49192513812147</v>
      </c>
      <c r="P44">
        <f t="shared" si="21"/>
        <v>396.7964000570006</v>
      </c>
      <c r="Q44">
        <f t="shared" si="21"/>
        <v>418.90387273403161</v>
      </c>
      <c r="R44">
        <f t="shared" si="21"/>
        <v>439.05885940862782</v>
      </c>
      <c r="S44">
        <f>S20/S122</f>
        <v>421.67957986333738</v>
      </c>
      <c r="T44">
        <f>T20/T122</f>
        <v>549.58168945317607</v>
      </c>
      <c r="U44">
        <f>U20/U122</f>
        <v>535.77388109914455</v>
      </c>
      <c r="V44">
        <f>V20/V122</f>
        <v>516.30743168647234</v>
      </c>
      <c r="W44">
        <f>W21/W122</f>
        <v>421.09571788413103</v>
      </c>
    </row>
    <row r="45" spans="1:23">
      <c r="A45" t="s">
        <v>979</v>
      </c>
      <c r="B45">
        <f t="shared" ref="B45:Q45" si="22">SUM(B40:B44)</f>
        <v>321.48017969892902</v>
      </c>
      <c r="C45">
        <f t="shared" si="22"/>
        <v>468.41981606479447</v>
      </c>
      <c r="D45">
        <f t="shared" si="22"/>
        <v>611.92677034058124</v>
      </c>
      <c r="E45">
        <f t="shared" si="22"/>
        <v>788.4539914335644</v>
      </c>
      <c r="F45">
        <f t="shared" si="22"/>
        <v>1030.1854598689965</v>
      </c>
      <c r="G45">
        <f t="shared" si="22"/>
        <v>1372.4652241594599</v>
      </c>
      <c r="H45">
        <f t="shared" si="22"/>
        <v>1519.1148086577725</v>
      </c>
      <c r="I45">
        <f t="shared" si="22"/>
        <v>1636.2479034919729</v>
      </c>
      <c r="J45">
        <f t="shared" si="22"/>
        <v>1655.665630864348</v>
      </c>
      <c r="K45">
        <f t="shared" si="22"/>
        <v>1679.6448871025887</v>
      </c>
      <c r="L45">
        <f t="shared" si="22"/>
        <v>1743.2237127030983</v>
      </c>
      <c r="M45">
        <f t="shared" si="22"/>
        <v>1687.3905424603324</v>
      </c>
      <c r="N45">
        <f t="shared" si="22"/>
        <v>1741.9556924673197</v>
      </c>
      <c r="O45">
        <f t="shared" si="22"/>
        <v>1745.6917943050462</v>
      </c>
      <c r="P45">
        <f t="shared" si="22"/>
        <v>1827.2275879028266</v>
      </c>
      <c r="Q45">
        <f t="shared" si="22"/>
        <v>1903.3584923038786</v>
      </c>
      <c r="R45">
        <f t="shared" ref="R45:V45" si="23">SUM(R41:R44)</f>
        <v>1066.870670642505</v>
      </c>
      <c r="S45">
        <f t="shared" si="23"/>
        <v>1645.8729726953693</v>
      </c>
      <c r="T45">
        <f t="shared" si="23"/>
        <v>1761.1684075420383</v>
      </c>
      <c r="U45">
        <f t="shared" si="23"/>
        <v>1851.9352364128554</v>
      </c>
      <c r="V45">
        <f t="shared" si="23"/>
        <v>1920.0661387568884</v>
      </c>
      <c r="W45">
        <f>SUM(W41:W44)</f>
        <v>1885.8049686649877</v>
      </c>
    </row>
    <row r="47" spans="1:23">
      <c r="A47" t="s">
        <v>1020</v>
      </c>
      <c r="B47">
        <f t="shared" ref="B47:R47" si="24">B40/12</f>
        <v>10.817332240457345</v>
      </c>
      <c r="C47">
        <f t="shared" si="24"/>
        <v>14.584774409937959</v>
      </c>
      <c r="D47">
        <f t="shared" si="24"/>
        <v>18.733744115172311</v>
      </c>
      <c r="E47">
        <f t="shared" si="24"/>
        <v>22.987560127610905</v>
      </c>
      <c r="F47">
        <f t="shared" si="24"/>
        <v>30.75805377070493</v>
      </c>
      <c r="G47">
        <f t="shared" si="24"/>
        <v>43.360829523043215</v>
      </c>
      <c r="H47">
        <f t="shared" si="24"/>
        <v>49.547596777380768</v>
      </c>
      <c r="I47">
        <f t="shared" si="24"/>
        <v>53.244354779411765</v>
      </c>
      <c r="J47">
        <f t="shared" si="24"/>
        <v>55.146569387755108</v>
      </c>
      <c r="K47">
        <f t="shared" si="24"/>
        <v>56.271642004310344</v>
      </c>
      <c r="L47">
        <f t="shared" si="24"/>
        <v>60.920390549242427</v>
      </c>
      <c r="M47">
        <f t="shared" si="24"/>
        <v>61.899099129107981</v>
      </c>
      <c r="N47">
        <f t="shared" si="24"/>
        <v>63.793280102135554</v>
      </c>
      <c r="O47">
        <f t="shared" si="24"/>
        <v>65.728011719613249</v>
      </c>
      <c r="P47">
        <f t="shared" si="24"/>
        <v>70.177054119670117</v>
      </c>
      <c r="Q47">
        <f t="shared" si="24"/>
        <v>72.948060551616337</v>
      </c>
      <c r="R47">
        <f t="shared" si="24"/>
        <v>75.378246659534341</v>
      </c>
      <c r="S47">
        <f>S40/12</f>
        <v>76.909194589926813</v>
      </c>
      <c r="T47">
        <f t="shared" ref="T47:W47" si="25">T40/12</f>
        <v>78.898725552882311</v>
      </c>
      <c r="U47">
        <f t="shared" si="25"/>
        <v>83.615262190197285</v>
      </c>
      <c r="V47">
        <f t="shared" si="25"/>
        <v>87.296045107721412</v>
      </c>
      <c r="W47">
        <f t="shared" si="25"/>
        <v>80.844451301427384</v>
      </c>
    </row>
    <row r="48" spans="1:23">
      <c r="A48" t="s">
        <v>1019</v>
      </c>
      <c r="E48">
        <f t="shared" ref="E48:R48" si="26">E37/12</f>
        <v>5.6944444444444436E-2</v>
      </c>
      <c r="F48">
        <f t="shared" si="26"/>
        <v>0.61805555555555558</v>
      </c>
      <c r="G48">
        <f t="shared" si="26"/>
        <v>1.6388888888888891</v>
      </c>
      <c r="H48">
        <f t="shared" si="26"/>
        <v>2.3888888888888888</v>
      </c>
      <c r="I48">
        <f t="shared" si="26"/>
        <v>2.6944444444444446</v>
      </c>
      <c r="J48">
        <f t="shared" si="26"/>
        <v>2.8819444444444446</v>
      </c>
      <c r="K48">
        <f t="shared" si="26"/>
        <v>3.0416666666666665</v>
      </c>
      <c r="L48">
        <f t="shared" si="26"/>
        <v>3.3888888888888888</v>
      </c>
      <c r="M48">
        <f t="shared" si="26"/>
        <v>3.5347222222222219</v>
      </c>
      <c r="N48">
        <f t="shared" si="26"/>
        <v>3.875</v>
      </c>
      <c r="O48">
        <f t="shared" si="26"/>
        <v>4.125</v>
      </c>
      <c r="P48">
        <f t="shared" si="26"/>
        <v>4.5138888888888884</v>
      </c>
      <c r="Q48">
        <f t="shared" si="26"/>
        <v>4.7847222222222223</v>
      </c>
      <c r="R48">
        <f t="shared" si="26"/>
        <v>5.0555555555555554</v>
      </c>
      <c r="S48">
        <f t="shared" ref="S48:W48" si="27">S41/12</f>
        <v>42.968656450557631</v>
      </c>
      <c r="T48">
        <f t="shared" si="27"/>
        <v>42.697365752242483</v>
      </c>
      <c r="U48">
        <f t="shared" si="27"/>
        <v>45.637833322755192</v>
      </c>
      <c r="V48">
        <f t="shared" si="27"/>
        <v>48.004845280443512</v>
      </c>
      <c r="W48">
        <f t="shared" si="27"/>
        <v>46.209484466834596</v>
      </c>
    </row>
    <row r="49" spans="1:23">
      <c r="A49" t="s">
        <v>1021</v>
      </c>
      <c r="B49">
        <f t="shared" ref="B49:R49" si="28">B42/12</f>
        <v>0</v>
      </c>
      <c r="C49">
        <f t="shared" si="28"/>
        <v>0</v>
      </c>
      <c r="D49">
        <f t="shared" si="28"/>
        <v>0</v>
      </c>
      <c r="E49">
        <f t="shared" si="28"/>
        <v>0.24606626784488153</v>
      </c>
      <c r="F49">
        <f t="shared" si="28"/>
        <v>2.8089488447344526</v>
      </c>
      <c r="G49">
        <f t="shared" si="28"/>
        <v>7.8552404719715874</v>
      </c>
      <c r="H49">
        <f t="shared" si="28"/>
        <v>11.089877137431188</v>
      </c>
      <c r="I49">
        <f t="shared" si="28"/>
        <v>12.666345588235293</v>
      </c>
      <c r="J49">
        <f t="shared" si="28"/>
        <v>13.430649234693879</v>
      </c>
      <c r="K49">
        <f t="shared" si="28"/>
        <v>14.337975100574711</v>
      </c>
      <c r="L49">
        <f t="shared" si="28"/>
        <v>15.966246287878789</v>
      </c>
      <c r="M49">
        <f t="shared" si="28"/>
        <v>16.573719861502347</v>
      </c>
      <c r="N49">
        <f t="shared" si="28"/>
        <v>18.096924401114205</v>
      </c>
      <c r="O49">
        <f t="shared" si="28"/>
        <v>19.242207472375689</v>
      </c>
      <c r="P49">
        <f t="shared" si="28"/>
        <v>21.030468039550751</v>
      </c>
      <c r="Q49">
        <f t="shared" si="28"/>
        <v>22.35321935515395</v>
      </c>
      <c r="R49">
        <f t="shared" si="28"/>
        <v>23.571891567070875</v>
      </c>
      <c r="S49">
        <f t="shared" ref="S49:W49" si="29">S42/12</f>
        <v>26.160472090230112</v>
      </c>
      <c r="T49">
        <f t="shared" si="29"/>
        <v>28.921915945326329</v>
      </c>
      <c r="U49">
        <f t="shared" si="29"/>
        <v>31.323263980411639</v>
      </c>
      <c r="V49">
        <f t="shared" si="29"/>
        <v>33.322512282435525</v>
      </c>
      <c r="W49">
        <f t="shared" si="29"/>
        <v>34.634966834592781</v>
      </c>
    </row>
    <row r="50" spans="1:23">
      <c r="A50" t="s">
        <v>1022</v>
      </c>
      <c r="B50">
        <f t="shared" ref="B50:R50" si="30">B43/12</f>
        <v>7.5960843027635123</v>
      </c>
      <c r="C50">
        <f t="shared" si="30"/>
        <v>12.908187606277606</v>
      </c>
      <c r="D50">
        <f t="shared" si="30"/>
        <v>15.676472122167931</v>
      </c>
      <c r="E50">
        <f t="shared" si="30"/>
        <v>21.958242168294746</v>
      </c>
      <c r="F50">
        <f t="shared" si="30"/>
        <v>25.911764062100961</v>
      </c>
      <c r="G50">
        <f t="shared" si="30"/>
        <v>30.189419949484023</v>
      </c>
      <c r="H50">
        <f t="shared" si="30"/>
        <v>29.562259694838371</v>
      </c>
      <c r="I50">
        <f t="shared" si="30"/>
        <v>31.437347426470584</v>
      </c>
      <c r="J50">
        <f t="shared" si="30"/>
        <v>27.961640816326533</v>
      </c>
      <c r="K50">
        <f t="shared" si="30"/>
        <v>27.30107587643678</v>
      </c>
      <c r="L50">
        <f t="shared" si="30"/>
        <v>25.617973039772725</v>
      </c>
      <c r="M50">
        <f t="shared" si="30"/>
        <v>23.379039018779341</v>
      </c>
      <c r="N50">
        <f t="shared" si="30"/>
        <v>22.831961968430829</v>
      </c>
      <c r="O50">
        <f t="shared" si="30"/>
        <v>20.214036132596682</v>
      </c>
      <c r="P50">
        <f t="shared" si="30"/>
        <v>23.812960734014386</v>
      </c>
      <c r="Q50">
        <f t="shared" si="30"/>
        <v>24.348463172776544</v>
      </c>
      <c r="R50">
        <f t="shared" si="30"/>
        <v>24.769913528584095</v>
      </c>
      <c r="S50">
        <f t="shared" ref="S50:W50" si="31">S43/12</f>
        <v>32.886987528548261</v>
      </c>
      <c r="T50">
        <f t="shared" si="31"/>
        <v>29.346278143169712</v>
      </c>
      <c r="U50">
        <f t="shared" si="31"/>
        <v>32.719015639642414</v>
      </c>
      <c r="V50">
        <f t="shared" si="31"/>
        <v>35.652534692988972</v>
      </c>
      <c r="W50">
        <f t="shared" si="31"/>
        <v>41.21465293031067</v>
      </c>
    </row>
    <row r="51" spans="1:23">
      <c r="A51" t="s">
        <v>1023</v>
      </c>
      <c r="B51">
        <f t="shared" ref="B51:R51" si="32">B44/12</f>
        <v>8.376598431689894</v>
      </c>
      <c r="C51">
        <f t="shared" si="32"/>
        <v>11.542022655850639</v>
      </c>
      <c r="D51">
        <f t="shared" si="32"/>
        <v>16.583681291041525</v>
      </c>
      <c r="E51">
        <f t="shared" si="32"/>
        <v>18.768858777061354</v>
      </c>
      <c r="F51">
        <f t="shared" si="32"/>
        <v>23.849304980958035</v>
      </c>
      <c r="G51">
        <f t="shared" si="32"/>
        <v>30.186245594043935</v>
      </c>
      <c r="H51">
        <f t="shared" si="32"/>
        <v>32.644083692230986</v>
      </c>
      <c r="I51">
        <f t="shared" si="32"/>
        <v>34.76715992647059</v>
      </c>
      <c r="J51">
        <f t="shared" si="32"/>
        <v>37.023283673469393</v>
      </c>
      <c r="K51">
        <f t="shared" si="32"/>
        <v>37.710838620689657</v>
      </c>
      <c r="L51">
        <f t="shared" si="32"/>
        <v>38.345165265151515</v>
      </c>
      <c r="M51">
        <f t="shared" si="32"/>
        <v>34.287086471830989</v>
      </c>
      <c r="N51">
        <f t="shared" si="32"/>
        <v>35.999258217270189</v>
      </c>
      <c r="O51">
        <f t="shared" si="32"/>
        <v>35.957660428176787</v>
      </c>
      <c r="P51">
        <f t="shared" si="32"/>
        <v>33.066366671416716</v>
      </c>
      <c r="Q51">
        <f t="shared" si="32"/>
        <v>34.908656061169303</v>
      </c>
      <c r="R51">
        <f t="shared" si="32"/>
        <v>36.588238284052316</v>
      </c>
      <c r="S51">
        <f t="shared" ref="S51:W51" si="33">S44/12</f>
        <v>35.139964988611446</v>
      </c>
      <c r="T51">
        <f t="shared" si="33"/>
        <v>45.798474121098003</v>
      </c>
      <c r="U51">
        <f t="shared" si="33"/>
        <v>44.64782342492871</v>
      </c>
      <c r="V51">
        <f t="shared" si="33"/>
        <v>43.025619307206028</v>
      </c>
      <c r="W51">
        <f t="shared" si="33"/>
        <v>35.091309823677584</v>
      </c>
    </row>
    <row r="52" spans="1:23">
      <c r="A52" t="s">
        <v>1024</v>
      </c>
      <c r="B52">
        <f t="shared" ref="B52:R52" si="34">SUM(B47:B51)</f>
        <v>26.790014974910754</v>
      </c>
      <c r="C52">
        <f t="shared" si="34"/>
        <v>39.034984672066201</v>
      </c>
      <c r="D52">
        <f t="shared" si="34"/>
        <v>50.993897528381765</v>
      </c>
      <c r="E52">
        <f t="shared" si="34"/>
        <v>64.017671785256326</v>
      </c>
      <c r="F52">
        <f t="shared" si="34"/>
        <v>83.946127214053945</v>
      </c>
      <c r="G52">
        <f t="shared" si="34"/>
        <v>113.23062442743165</v>
      </c>
      <c r="H52">
        <f t="shared" si="34"/>
        <v>125.23270619077019</v>
      </c>
      <c r="I52">
        <f t="shared" si="34"/>
        <v>134.80965216503267</v>
      </c>
      <c r="J52">
        <f t="shared" si="34"/>
        <v>136.44408755668934</v>
      </c>
      <c r="K52">
        <f t="shared" si="34"/>
        <v>138.66319826867817</v>
      </c>
      <c r="L52">
        <f t="shared" si="34"/>
        <v>144.23866403093433</v>
      </c>
      <c r="M52">
        <f t="shared" si="34"/>
        <v>139.6736667034429</v>
      </c>
      <c r="N52">
        <f t="shared" si="34"/>
        <v>144.59642468895078</v>
      </c>
      <c r="O52">
        <f t="shared" si="34"/>
        <v>145.2669157527624</v>
      </c>
      <c r="P52">
        <f t="shared" si="34"/>
        <v>152.60073845354086</v>
      </c>
      <c r="Q52">
        <f t="shared" si="34"/>
        <v>159.34312136293838</v>
      </c>
      <c r="R52">
        <f t="shared" si="34"/>
        <v>165.3638455947972</v>
      </c>
      <c r="S52">
        <f>SUM(S47:S51)</f>
        <v>214.06527564787427</v>
      </c>
      <c r="T52">
        <f t="shared" ref="T52:W52" si="35">SUM(T47:T51)</f>
        <v>225.66275951471883</v>
      </c>
      <c r="U52">
        <f t="shared" si="35"/>
        <v>237.94319855793523</v>
      </c>
      <c r="V52">
        <f t="shared" si="35"/>
        <v>247.30155667079546</v>
      </c>
      <c r="W52">
        <f t="shared" si="35"/>
        <v>237.99486535684304</v>
      </c>
    </row>
    <row r="54" spans="1:23">
      <c r="A54" t="s">
        <v>58</v>
      </c>
      <c r="E54">
        <f t="shared" ref="E54:W54" si="36">E25/E5*100</f>
        <v>0.13541666666666669</v>
      </c>
      <c r="F54">
        <f t="shared" si="36"/>
        <v>0.29947460595446584</v>
      </c>
      <c r="G54">
        <f t="shared" si="36"/>
        <v>0.60331825037707398</v>
      </c>
      <c r="H54">
        <f t="shared" si="36"/>
        <v>0.82423435419440738</v>
      </c>
      <c r="I54">
        <f t="shared" si="36"/>
        <v>0.95306388526727515</v>
      </c>
      <c r="J54">
        <f t="shared" si="36"/>
        <v>1.0176544766708702</v>
      </c>
      <c r="K54">
        <f t="shared" si="36"/>
        <v>1.0109223300970873</v>
      </c>
      <c r="L54">
        <f t="shared" si="36"/>
        <v>1.1207100591715975</v>
      </c>
      <c r="M54">
        <f t="shared" si="36"/>
        <v>1.1376146788990826</v>
      </c>
      <c r="N54">
        <f t="shared" si="36"/>
        <v>1.1803833145434048</v>
      </c>
      <c r="O54">
        <f t="shared" si="36"/>
        <v>1.2401795735129069</v>
      </c>
      <c r="P54">
        <f t="shared" si="36"/>
        <v>1.3075268817204302</v>
      </c>
      <c r="Q54">
        <f t="shared" si="36"/>
        <v>1.3383891213389121</v>
      </c>
      <c r="R54">
        <f t="shared" si="36"/>
        <v>1.3760245901639343</v>
      </c>
      <c r="S54">
        <f t="shared" si="36"/>
        <v>1.2819148936170213</v>
      </c>
      <c r="T54">
        <f t="shared" si="36"/>
        <v>1.2287458900892438</v>
      </c>
      <c r="U54">
        <f t="shared" si="36"/>
        <v>1.2818264750183288</v>
      </c>
      <c r="V54">
        <f t="shared" si="36"/>
        <v>1.2860636533100747</v>
      </c>
      <c r="W54">
        <f t="shared" si="36"/>
        <v>1.2086372469329487</v>
      </c>
    </row>
    <row r="55" spans="1:23">
      <c r="A55" t="s">
        <v>59</v>
      </c>
      <c r="E55">
        <f t="shared" ref="E55:W55" si="37">E26/E5*100</f>
        <v>1.7083333333333332E-2</v>
      </c>
      <c r="F55">
        <f t="shared" si="37"/>
        <v>0.15586690017513136</v>
      </c>
      <c r="G55">
        <f t="shared" si="37"/>
        <v>0.35595776772247356</v>
      </c>
      <c r="H55">
        <f t="shared" si="37"/>
        <v>0.45805592543275631</v>
      </c>
      <c r="I55">
        <f t="shared" si="37"/>
        <v>0.50586701434159065</v>
      </c>
      <c r="J55">
        <f t="shared" si="37"/>
        <v>0.52332912988650693</v>
      </c>
      <c r="K55">
        <f t="shared" si="37"/>
        <v>0.53155339805825241</v>
      </c>
      <c r="L55">
        <f t="shared" si="37"/>
        <v>0.57751479289940821</v>
      </c>
      <c r="M55">
        <f t="shared" si="37"/>
        <v>0.58371559633027514</v>
      </c>
      <c r="N55">
        <f t="shared" si="37"/>
        <v>0.62908680947012396</v>
      </c>
      <c r="O55">
        <f t="shared" si="37"/>
        <v>0.66666666666666674</v>
      </c>
      <c r="P55">
        <f t="shared" si="37"/>
        <v>0.69892473118279574</v>
      </c>
      <c r="Q55">
        <f t="shared" si="37"/>
        <v>0.72071129707112969</v>
      </c>
      <c r="R55">
        <f t="shared" si="37"/>
        <v>0.74590163934426224</v>
      </c>
      <c r="S55">
        <f t="shared" si="37"/>
        <v>0.78046421663442944</v>
      </c>
      <c r="T55">
        <f t="shared" si="37"/>
        <v>0.83231564114607803</v>
      </c>
      <c r="U55">
        <f t="shared" si="37"/>
        <v>0.87977421649551002</v>
      </c>
      <c r="V55">
        <f t="shared" si="37"/>
        <v>0.89271971679236573</v>
      </c>
      <c r="W55">
        <f t="shared" si="37"/>
        <v>0.90589867957996151</v>
      </c>
    </row>
    <row r="56" spans="1:23" ht="32" customHeight="1">
      <c r="A56" t="s">
        <v>57</v>
      </c>
      <c r="B56">
        <f t="shared" ref="B56:W56" si="38">B27/B5*100</f>
        <v>1.2528310249808625</v>
      </c>
      <c r="C56">
        <f t="shared" si="38"/>
        <v>1.4960521384912495</v>
      </c>
      <c r="D56">
        <f t="shared" si="38"/>
        <v>1.4158424198021169</v>
      </c>
      <c r="E56">
        <f t="shared" si="38"/>
        <v>1.4434284286279235</v>
      </c>
      <c r="F56">
        <f t="shared" si="38"/>
        <v>1.25140459771873</v>
      </c>
      <c r="G56">
        <f t="shared" si="38"/>
        <v>1.0056064242253859</v>
      </c>
      <c r="H56">
        <f t="shared" si="38"/>
        <v>0.76422204991243203</v>
      </c>
      <c r="I56">
        <f t="shared" si="38"/>
        <v>0.66753585397653192</v>
      </c>
      <c r="J56">
        <f t="shared" si="38"/>
        <v>0.60781841109709966</v>
      </c>
      <c r="K56">
        <f t="shared" si="38"/>
        <v>0.5436893203883495</v>
      </c>
      <c r="L56">
        <f t="shared" si="38"/>
        <v>0.50532544378698219</v>
      </c>
      <c r="M56">
        <f t="shared" si="38"/>
        <v>0.45871559633027525</v>
      </c>
      <c r="N56">
        <f t="shared" si="38"/>
        <v>0.40811724915445319</v>
      </c>
      <c r="O56">
        <f t="shared" si="38"/>
        <v>0.37037037037037041</v>
      </c>
      <c r="P56">
        <f t="shared" si="38"/>
        <v>0.32580645161290323</v>
      </c>
      <c r="Q56">
        <f t="shared" si="38"/>
        <v>0.29288702928870292</v>
      </c>
      <c r="R56">
        <f t="shared" si="38"/>
        <v>0.26331967213114754</v>
      </c>
      <c r="S56">
        <f t="shared" si="38"/>
        <v>0.23210831721470018</v>
      </c>
      <c r="T56">
        <f t="shared" si="38"/>
        <v>0.20948802254579618</v>
      </c>
      <c r="U56">
        <f t="shared" si="38"/>
        <v>0.18689504080992703</v>
      </c>
      <c r="V56">
        <f t="shared" si="38"/>
        <v>0.1599028611495904</v>
      </c>
      <c r="W56">
        <f t="shared" si="38"/>
        <v>0.13916860025446001</v>
      </c>
    </row>
    <row r="57" spans="1:23">
      <c r="A57" t="s">
        <v>56</v>
      </c>
      <c r="B57">
        <f t="shared" ref="B57:W57" si="39">B28/B5*100</f>
        <v>1.2528310249808625</v>
      </c>
      <c r="C57">
        <f t="shared" si="39"/>
        <v>1.4960521384912495</v>
      </c>
      <c r="D57">
        <f t="shared" si="39"/>
        <v>1.4158424198021169</v>
      </c>
      <c r="E57">
        <f t="shared" si="39"/>
        <v>1.5959284286279234</v>
      </c>
      <c r="F57">
        <f t="shared" si="39"/>
        <v>1.7067461038483274</v>
      </c>
      <c r="G57">
        <f t="shared" si="39"/>
        <v>1.9648824423249334</v>
      </c>
      <c r="H57">
        <f t="shared" si="39"/>
        <v>2.0465123295395959</v>
      </c>
      <c r="I57">
        <f t="shared" si="39"/>
        <v>2.1264667535853978</v>
      </c>
      <c r="J57">
        <f t="shared" si="39"/>
        <v>2.1488020176544769</v>
      </c>
      <c r="K57">
        <f t="shared" si="39"/>
        <v>2.0861650485436893</v>
      </c>
      <c r="L57">
        <f t="shared" si="39"/>
        <v>2.2035502958579882</v>
      </c>
      <c r="M57">
        <f t="shared" si="39"/>
        <v>2.1800458715596331</v>
      </c>
      <c r="N57">
        <f t="shared" si="39"/>
        <v>2.2175873731679818</v>
      </c>
      <c r="O57">
        <f t="shared" si="39"/>
        <v>2.2772166105499441</v>
      </c>
      <c r="P57">
        <f t="shared" si="39"/>
        <v>2.3322580645161293</v>
      </c>
      <c r="Q57">
        <f t="shared" si="39"/>
        <v>2.351987447698745</v>
      </c>
      <c r="R57">
        <f t="shared" si="39"/>
        <v>2.3852459016393444</v>
      </c>
      <c r="S57">
        <f t="shared" si="39"/>
        <v>2.2944874274661511</v>
      </c>
      <c r="T57">
        <f t="shared" si="39"/>
        <v>2.2705495537811182</v>
      </c>
      <c r="U57">
        <f t="shared" si="39"/>
        <v>2.3484957323237658</v>
      </c>
      <c r="V57">
        <f t="shared" si="39"/>
        <v>2.3386862312520309</v>
      </c>
      <c r="W57">
        <f t="shared" si="39"/>
        <v>2.1145359265129104</v>
      </c>
    </row>
    <row r="58" spans="1:23">
      <c r="A58" t="s">
        <v>60</v>
      </c>
      <c r="B58">
        <f t="shared" ref="B58:W58" si="40">B30/B5*100</f>
        <v>0.26997679398128521</v>
      </c>
      <c r="C58">
        <f t="shared" si="40"/>
        <v>0.40705849451199083</v>
      </c>
      <c r="D58">
        <f t="shared" si="40"/>
        <v>0.36659174852010284</v>
      </c>
      <c r="E58">
        <f t="shared" si="40"/>
        <v>0.5231315835955439</v>
      </c>
      <c r="F58">
        <f t="shared" si="40"/>
        <v>0.63569737233658574</v>
      </c>
      <c r="G58">
        <f t="shared" si="40"/>
        <v>0.60388050130220583</v>
      </c>
      <c r="H58">
        <f t="shared" si="40"/>
        <v>0.71886552919089253</v>
      </c>
      <c r="I58">
        <f t="shared" si="40"/>
        <v>0.79580825311469505</v>
      </c>
      <c r="J58">
        <f t="shared" si="40"/>
        <v>0.80080575310076862</v>
      </c>
      <c r="K58">
        <f t="shared" si="40"/>
        <v>0.75999768755025621</v>
      </c>
      <c r="L58">
        <f t="shared" si="40"/>
        <v>0.75303778932856069</v>
      </c>
      <c r="M58">
        <f t="shared" si="40"/>
        <v>0.73931021127088936</v>
      </c>
      <c r="N58">
        <f t="shared" si="40"/>
        <v>0.72106330822877507</v>
      </c>
      <c r="O58">
        <f t="shared" si="40"/>
        <v>0.70018592958784309</v>
      </c>
      <c r="P58">
        <f t="shared" si="40"/>
        <v>0.64755345970326539</v>
      </c>
      <c r="Q58">
        <f t="shared" si="40"/>
        <v>0.61076614161445719</v>
      </c>
      <c r="R58">
        <f t="shared" si="40"/>
        <v>0.58660020597562734</v>
      </c>
      <c r="S58">
        <f t="shared" si="40"/>
        <v>0.52951491380535587</v>
      </c>
      <c r="T58">
        <f t="shared" si="40"/>
        <v>0.4916319098008104</v>
      </c>
      <c r="U58">
        <f t="shared" si="40"/>
        <v>0.44609731539447295</v>
      </c>
      <c r="V58">
        <f t="shared" si="40"/>
        <v>0.39108239713091453</v>
      </c>
      <c r="W58">
        <f t="shared" si="40"/>
        <v>0.34017760559104165</v>
      </c>
    </row>
    <row r="59" spans="1:23" ht="17" customHeight="1">
      <c r="A59" t="s">
        <v>61</v>
      </c>
      <c r="B59">
        <f t="shared" ref="B59:W59" si="41">B31/B5*100</f>
        <v>0.70017575063385928</v>
      </c>
      <c r="C59">
        <f t="shared" si="41"/>
        <v>0.77687943907948609</v>
      </c>
      <c r="D59">
        <f t="shared" si="41"/>
        <v>0.8867551160460232</v>
      </c>
      <c r="E59">
        <f t="shared" si="41"/>
        <v>0.77991037165906218</v>
      </c>
      <c r="F59">
        <f t="shared" si="41"/>
        <v>0.6876863716150311</v>
      </c>
      <c r="G59">
        <f t="shared" si="41"/>
        <v>0.76399978650282663</v>
      </c>
      <c r="H59">
        <f t="shared" si="41"/>
        <v>0.62946464437609972</v>
      </c>
      <c r="I59">
        <f t="shared" si="41"/>
        <v>0.59271847439508318</v>
      </c>
      <c r="J59">
        <f t="shared" si="41"/>
        <v>0.64181719771890344</v>
      </c>
      <c r="K59">
        <f t="shared" si="41"/>
        <v>0.63806056487692819</v>
      </c>
      <c r="L59">
        <f t="shared" si="41"/>
        <v>0.63394445919214937</v>
      </c>
      <c r="M59">
        <f t="shared" si="41"/>
        <v>0.46825859606856018</v>
      </c>
      <c r="N59">
        <f t="shared" si="41"/>
        <v>0.53034593641609518</v>
      </c>
      <c r="O59">
        <f t="shared" si="41"/>
        <v>0.54560531620340269</v>
      </c>
      <c r="P59">
        <f t="shared" si="41"/>
        <v>0.45137127147953032</v>
      </c>
      <c r="Q59">
        <f t="shared" si="41"/>
        <v>0.51475687093784417</v>
      </c>
      <c r="R59">
        <f t="shared" si="41"/>
        <v>0.57118667927027433</v>
      </c>
      <c r="S59">
        <f t="shared" si="41"/>
        <v>0.51884098561437331</v>
      </c>
      <c r="T59">
        <f t="shared" si="41"/>
        <v>0.82635775670928824</v>
      </c>
      <c r="U59">
        <f t="shared" si="41"/>
        <v>0.80792282428384232</v>
      </c>
      <c r="V59">
        <f t="shared" si="41"/>
        <v>0.76158635596880675</v>
      </c>
      <c r="W59">
        <f t="shared" si="41"/>
        <v>0.57765700316771162</v>
      </c>
    </row>
    <row r="60" spans="1:23">
      <c r="A60" t="s">
        <v>62</v>
      </c>
      <c r="B60">
        <f t="shared" ref="B60:W60" si="42">B32/B5*100</f>
        <v>1.3724256112733688</v>
      </c>
      <c r="C60">
        <f t="shared" si="42"/>
        <v>1.5625566804345528</v>
      </c>
      <c r="D60">
        <f t="shared" si="42"/>
        <v>1.1510134737732487</v>
      </c>
      <c r="E60">
        <f t="shared" si="42"/>
        <v>1.1118823686202359</v>
      </c>
      <c r="F60">
        <f t="shared" si="42"/>
        <v>1.2948286763734171</v>
      </c>
      <c r="G60">
        <f t="shared" si="42"/>
        <v>1.2265525951768246</v>
      </c>
      <c r="H60">
        <f t="shared" si="42"/>
        <v>1.2029231798911266</v>
      </c>
      <c r="I60">
        <f t="shared" si="42"/>
        <v>1.1773687587240229</v>
      </c>
      <c r="J60">
        <f t="shared" si="42"/>
        <v>1.1869275777689696</v>
      </c>
      <c r="K60">
        <f t="shared" si="42"/>
        <v>1.1478487987384305</v>
      </c>
      <c r="L60">
        <f t="shared" si="42"/>
        <v>1.1218467469817384</v>
      </c>
      <c r="M60">
        <f t="shared" si="42"/>
        <v>1.0737643197244733</v>
      </c>
      <c r="N60">
        <f t="shared" si="42"/>
        <v>1.0575645954236765</v>
      </c>
      <c r="O60">
        <f t="shared" si="42"/>
        <v>1.0942420364179106</v>
      </c>
      <c r="P60">
        <f t="shared" si="42"/>
        <v>1.0832432442143258</v>
      </c>
      <c r="Q60">
        <f t="shared" si="42"/>
        <v>1.0814702486635692</v>
      </c>
      <c r="R60">
        <f t="shared" si="42"/>
        <v>1.105978221704258</v>
      </c>
      <c r="S60">
        <f t="shared" si="42"/>
        <v>0.98915778219119854</v>
      </c>
      <c r="T60">
        <f t="shared" si="42"/>
        <v>1.163180516423254</v>
      </c>
      <c r="U60">
        <f t="shared" si="42"/>
        <v>1.2280183184334288</v>
      </c>
      <c r="V60">
        <f t="shared" si="42"/>
        <v>1.2384155768223695</v>
      </c>
      <c r="W60">
        <f t="shared" si="42"/>
        <v>1.2640099037463732</v>
      </c>
    </row>
    <row r="61" spans="1:23">
      <c r="A61" t="s">
        <v>63</v>
      </c>
      <c r="B61">
        <f t="shared" ref="B61:W61" si="43">B33/B5*100</f>
        <v>0.31566666666666665</v>
      </c>
      <c r="C61">
        <f t="shared" si="43"/>
        <v>0.30123456790123454</v>
      </c>
      <c r="D61">
        <f t="shared" si="43"/>
        <v>0.19992281017149363</v>
      </c>
      <c r="E61">
        <f t="shared" si="43"/>
        <v>0.1882171713145542</v>
      </c>
      <c r="F61">
        <f t="shared" si="43"/>
        <v>0.14085251485670419</v>
      </c>
      <c r="G61">
        <f t="shared" si="43"/>
        <v>0.12624282813864229</v>
      </c>
      <c r="H61">
        <f t="shared" si="43"/>
        <v>9.820837626053637E-2</v>
      </c>
      <c r="I61">
        <f t="shared" si="43"/>
        <v>0.1118848015289161</v>
      </c>
      <c r="J61">
        <f t="shared" si="43"/>
        <v>0.10981471167707954</v>
      </c>
      <c r="K61">
        <f t="shared" si="43"/>
        <v>0.10318506088524403</v>
      </c>
      <c r="L61">
        <f t="shared" si="43"/>
        <v>9.8896463270828891E-2</v>
      </c>
      <c r="M61">
        <f t="shared" si="43"/>
        <v>9.0189638499630659E-2</v>
      </c>
      <c r="N61">
        <f t="shared" si="43"/>
        <v>8.3604910448373371E-2</v>
      </c>
      <c r="O61">
        <f t="shared" si="43"/>
        <v>8.1909537742846608E-2</v>
      </c>
      <c r="P61">
        <f t="shared" si="43"/>
        <v>8.2941401105809526E-2</v>
      </c>
      <c r="Q61">
        <f t="shared" si="43"/>
        <v>8.7557560919115457E-2</v>
      </c>
      <c r="R61">
        <f t="shared" si="43"/>
        <v>8.5119563523560329E-2</v>
      </c>
      <c r="S61">
        <f t="shared" si="43"/>
        <v>7.9046912030155875E-2</v>
      </c>
      <c r="T61">
        <f t="shared" si="43"/>
        <v>8.0990486204593204E-2</v>
      </c>
      <c r="U61">
        <f t="shared" si="43"/>
        <v>7.4535533914995067E-2</v>
      </c>
      <c r="V61">
        <f t="shared" si="43"/>
        <v>7.0811384234501756E-2</v>
      </c>
      <c r="W61">
        <f t="shared" si="43"/>
        <v>7.6323293834442807E-2</v>
      </c>
    </row>
    <row r="62" spans="1:23">
      <c r="A62" t="s">
        <v>64</v>
      </c>
      <c r="B62">
        <f>SUM(B59:B61)</f>
        <v>2.3882680285738949</v>
      </c>
      <c r="C62">
        <f t="shared" ref="C62:W62" si="44">SUM(C59:C61)</f>
        <v>2.6406706874152732</v>
      </c>
      <c r="D62">
        <f t="shared" si="44"/>
        <v>2.2376913999907657</v>
      </c>
      <c r="E62">
        <f t="shared" si="44"/>
        <v>2.0800099115938524</v>
      </c>
      <c r="F62">
        <f t="shared" si="44"/>
        <v>2.1233675628451523</v>
      </c>
      <c r="G62">
        <f t="shared" si="44"/>
        <v>2.1167952098182932</v>
      </c>
      <c r="H62">
        <f t="shared" si="44"/>
        <v>1.9305962005277626</v>
      </c>
      <c r="I62">
        <f t="shared" si="44"/>
        <v>1.881972034648022</v>
      </c>
      <c r="J62">
        <f t="shared" si="44"/>
        <v>1.9385594871649525</v>
      </c>
      <c r="K62">
        <f t="shared" si="44"/>
        <v>1.8890944245006027</v>
      </c>
      <c r="L62">
        <f t="shared" si="44"/>
        <v>1.8546876694447165</v>
      </c>
      <c r="M62">
        <f t="shared" si="44"/>
        <v>1.632212554292664</v>
      </c>
      <c r="N62">
        <f t="shared" si="44"/>
        <v>1.6715154422881451</v>
      </c>
      <c r="O62">
        <f t="shared" si="44"/>
        <v>1.72175689036416</v>
      </c>
      <c r="P62">
        <f t="shared" si="44"/>
        <v>1.6175559167996658</v>
      </c>
      <c r="Q62">
        <f t="shared" si="44"/>
        <v>1.683784680520529</v>
      </c>
      <c r="R62">
        <f t="shared" si="44"/>
        <v>1.7622844644980926</v>
      </c>
      <c r="S62">
        <f t="shared" si="44"/>
        <v>1.5870456798357275</v>
      </c>
      <c r="T62">
        <f t="shared" si="44"/>
        <v>2.0705287593371358</v>
      </c>
      <c r="U62">
        <f t="shared" si="44"/>
        <v>2.110476676632266</v>
      </c>
      <c r="V62">
        <f t="shared" si="44"/>
        <v>2.0708133170256779</v>
      </c>
      <c r="W62">
        <f t="shared" si="44"/>
        <v>1.9179902007485277</v>
      </c>
    </row>
    <row r="63" spans="1:23">
      <c r="A63" t="s">
        <v>65</v>
      </c>
      <c r="B63">
        <f t="shared" ref="B63:V63" si="45">(B56+B54+B55+B58+B59+B60+B61)</f>
        <v>3.9110758475360421</v>
      </c>
      <c r="C63">
        <f t="shared" si="45"/>
        <v>4.543781320418514</v>
      </c>
      <c r="D63">
        <f t="shared" si="45"/>
        <v>4.0201255683129853</v>
      </c>
      <c r="E63">
        <f t="shared" si="45"/>
        <v>4.1990699238173201</v>
      </c>
      <c r="F63">
        <f t="shared" si="45"/>
        <v>4.4658110390300658</v>
      </c>
      <c r="G63">
        <f t="shared" si="45"/>
        <v>4.6855581534454327</v>
      </c>
      <c r="H63">
        <f t="shared" si="45"/>
        <v>4.6959740592582504</v>
      </c>
      <c r="I63">
        <f t="shared" si="45"/>
        <v>4.8042470413481144</v>
      </c>
      <c r="J63">
        <f t="shared" si="45"/>
        <v>4.8881672579201982</v>
      </c>
      <c r="K63">
        <f t="shared" si="45"/>
        <v>4.7352571605945482</v>
      </c>
      <c r="L63">
        <f t="shared" si="45"/>
        <v>4.8112757546312652</v>
      </c>
      <c r="M63">
        <f t="shared" si="45"/>
        <v>4.5515686371231867</v>
      </c>
      <c r="N63">
        <f t="shared" si="45"/>
        <v>4.6101661236849019</v>
      </c>
      <c r="O63">
        <f t="shared" si="45"/>
        <v>4.6991594305019468</v>
      </c>
      <c r="P63">
        <f t="shared" si="45"/>
        <v>4.5973674410190606</v>
      </c>
      <c r="Q63">
        <f t="shared" si="45"/>
        <v>4.646538269833731</v>
      </c>
      <c r="R63">
        <f t="shared" si="45"/>
        <v>4.734130572113064</v>
      </c>
      <c r="S63">
        <f t="shared" si="45"/>
        <v>4.4110480211072352</v>
      </c>
      <c r="T63">
        <f t="shared" si="45"/>
        <v>4.8327102229190633</v>
      </c>
      <c r="U63">
        <f t="shared" si="45"/>
        <v>4.905069724350505</v>
      </c>
      <c r="V63">
        <f t="shared" si="45"/>
        <v>4.8005819454086236</v>
      </c>
      <c r="W63">
        <f>(W56+W54+W55+W58+W59+W60+W61)</f>
        <v>4.5118723331069388</v>
      </c>
    </row>
    <row r="64" spans="1:23" ht="17" customHeight="1"/>
    <row r="65" spans="1:23">
      <c r="A65" t="s">
        <v>625</v>
      </c>
      <c r="B65">
        <v>2.8738999999999999</v>
      </c>
      <c r="C65">
        <v>2.4367000000000001</v>
      </c>
      <c r="D65">
        <v>1.9193</v>
      </c>
      <c r="E65">
        <v>1.8119000000000001</v>
      </c>
      <c r="F65">
        <v>1.6801999999999999</v>
      </c>
      <c r="G65">
        <v>1.5357000000000001</v>
      </c>
      <c r="H65">
        <v>1.3986000000000001</v>
      </c>
      <c r="I65">
        <v>1.389</v>
      </c>
      <c r="J65">
        <v>1.3472</v>
      </c>
      <c r="K65">
        <v>1.3272999999999999</v>
      </c>
      <c r="L65">
        <v>1.3122</v>
      </c>
      <c r="M65">
        <v>1.282</v>
      </c>
      <c r="N65">
        <v>1.2688999999999999</v>
      </c>
      <c r="O65">
        <v>1.2502</v>
      </c>
      <c r="P65">
        <v>1.2377</v>
      </c>
      <c r="Q65">
        <v>1.2081</v>
      </c>
      <c r="R65">
        <v>1.1841999999999999</v>
      </c>
      <c r="S65">
        <v>1.1414</v>
      </c>
      <c r="T65">
        <v>1.1414</v>
      </c>
      <c r="U65">
        <v>1.0556000000000001</v>
      </c>
      <c r="V65">
        <v>1.0266999999999999</v>
      </c>
      <c r="W65">
        <v>1</v>
      </c>
    </row>
    <row r="66" spans="1:23">
      <c r="A66" t="s">
        <v>984</v>
      </c>
      <c r="B66">
        <f t="shared" ref="B66:W66" si="46">B19*B65</f>
        <v>1080.1533248077503</v>
      </c>
      <c r="C66">
        <f t="shared" si="46"/>
        <v>1181.1193996591674</v>
      </c>
      <c r="D66">
        <f t="shared" si="46"/>
        <v>1250.0161239100535</v>
      </c>
      <c r="E66">
        <f t="shared" si="46"/>
        <v>1387.9981055188487</v>
      </c>
      <c r="F66">
        <f t="shared" si="46"/>
        <v>1637.4423129046829</v>
      </c>
      <c r="G66">
        <f t="shared" si="46"/>
        <v>2000.5825879077795</v>
      </c>
      <c r="H66">
        <f t="shared" si="46"/>
        <v>2149.551360214653</v>
      </c>
      <c r="I66">
        <f t="shared" si="46"/>
        <v>2265.4589999999998</v>
      </c>
      <c r="J66">
        <f t="shared" si="46"/>
        <v>2295.6288</v>
      </c>
      <c r="K66">
        <f t="shared" si="46"/>
        <v>2281.6286999999998</v>
      </c>
      <c r="L66">
        <f t="shared" si="46"/>
        <v>2443.3164000000002</v>
      </c>
      <c r="M66">
        <f t="shared" si="46"/>
        <v>2437.0819999999999</v>
      </c>
      <c r="N66">
        <f t="shared" si="46"/>
        <v>2495.9262999999996</v>
      </c>
      <c r="O66">
        <f t="shared" si="46"/>
        <v>2536.6558</v>
      </c>
      <c r="P66">
        <f t="shared" si="46"/>
        <v>2684.5713000000001</v>
      </c>
      <c r="Q66">
        <f t="shared" si="46"/>
        <v>2716.4128499999997</v>
      </c>
      <c r="R66">
        <f t="shared" si="46"/>
        <v>2756.8175999999999</v>
      </c>
      <c r="S66">
        <f t="shared" si="46"/>
        <v>2707.9715000000001</v>
      </c>
      <c r="T66">
        <f t="shared" si="46"/>
        <v>2758.7637999999997</v>
      </c>
      <c r="U66">
        <f t="shared" si="46"/>
        <v>2719.2256000000002</v>
      </c>
      <c r="V66">
        <f t="shared" si="46"/>
        <v>2808.0245</v>
      </c>
      <c r="W66">
        <f t="shared" si="46"/>
        <v>2591.81</v>
      </c>
    </row>
    <row r="67" spans="1:23">
      <c r="A67" t="s">
        <v>985</v>
      </c>
      <c r="B67">
        <f t="shared" ref="B67:W67" si="47">B20*B65</f>
        <v>758.49900259724973</v>
      </c>
      <c r="C67">
        <f t="shared" si="47"/>
        <v>1045.3443</v>
      </c>
      <c r="D67">
        <f t="shared" si="47"/>
        <v>1046.0184999999999</v>
      </c>
      <c r="E67">
        <f t="shared" si="47"/>
        <v>1325.8474740653037</v>
      </c>
      <c r="F67">
        <f t="shared" si="47"/>
        <v>1379.4441999999999</v>
      </c>
      <c r="G67">
        <f t="shared" si="47"/>
        <v>1392.8799000000001</v>
      </c>
      <c r="H67">
        <f t="shared" si="47"/>
        <v>1282.5162</v>
      </c>
      <c r="I67">
        <f t="shared" si="47"/>
        <v>1337.607</v>
      </c>
      <c r="J67">
        <f t="shared" si="47"/>
        <v>1163.9808</v>
      </c>
      <c r="K67">
        <f t="shared" si="47"/>
        <v>1106.9682</v>
      </c>
      <c r="L67">
        <f t="shared" si="47"/>
        <v>1027.4526000000001</v>
      </c>
      <c r="M67">
        <f t="shared" si="47"/>
        <v>920.476</v>
      </c>
      <c r="N67">
        <f t="shared" si="47"/>
        <v>893.30559999999991</v>
      </c>
      <c r="O67">
        <f t="shared" si="47"/>
        <v>780.12479999999994</v>
      </c>
      <c r="P67">
        <f t="shared" si="47"/>
        <v>910.94720000000007</v>
      </c>
      <c r="Q67">
        <f t="shared" si="47"/>
        <v>906.67904999999996</v>
      </c>
      <c r="R67">
        <f t="shared" si="47"/>
        <v>905.9129999999999</v>
      </c>
      <c r="S67">
        <f t="shared" si="47"/>
        <v>1237.2775999999999</v>
      </c>
      <c r="T67">
        <f t="shared" si="47"/>
        <v>1601.3842</v>
      </c>
      <c r="U67">
        <f t="shared" si="47"/>
        <v>1451.9778000000001</v>
      </c>
      <c r="V67">
        <f t="shared" si="47"/>
        <v>1383.9915999999998</v>
      </c>
      <c r="W67">
        <f t="shared" si="47"/>
        <v>1321.3096</v>
      </c>
    </row>
    <row r="68" spans="1:23">
      <c r="A68" t="s">
        <v>986</v>
      </c>
      <c r="B68">
        <f t="shared" ref="B68:W68" si="48">B21*B65</f>
        <v>836.43641939083909</v>
      </c>
      <c r="C68">
        <f t="shared" si="48"/>
        <v>934.70810634148199</v>
      </c>
      <c r="D68">
        <f t="shared" si="48"/>
        <v>1106.5523730944121</v>
      </c>
      <c r="E68">
        <f t="shared" si="48"/>
        <v>1133.2712249883941</v>
      </c>
      <c r="F68">
        <f t="shared" si="48"/>
        <v>1269.6466883214662</v>
      </c>
      <c r="G68">
        <f t="shared" si="48"/>
        <v>1392.7334415421908</v>
      </c>
      <c r="H68">
        <f t="shared" si="48"/>
        <v>1416.2167101438474</v>
      </c>
      <c r="I68">
        <f t="shared" si="48"/>
        <v>1479.2850000000001</v>
      </c>
      <c r="J68">
        <f t="shared" si="48"/>
        <v>1541.1967999999999</v>
      </c>
      <c r="K68">
        <f t="shared" si="48"/>
        <v>1529.0495999999998</v>
      </c>
      <c r="L68">
        <f t="shared" si="48"/>
        <v>1537.8984</v>
      </c>
      <c r="M68">
        <f t="shared" si="48"/>
        <v>1349.9460000000001</v>
      </c>
      <c r="N68">
        <f t="shared" si="48"/>
        <v>1408.4789999999998</v>
      </c>
      <c r="O68">
        <f t="shared" si="48"/>
        <v>1387.722</v>
      </c>
      <c r="P68">
        <f t="shared" si="48"/>
        <v>1264.9294</v>
      </c>
      <c r="Q68">
        <f t="shared" si="48"/>
        <v>1299.9156</v>
      </c>
      <c r="R68">
        <f t="shared" si="48"/>
        <v>1338.146</v>
      </c>
      <c r="S68">
        <f t="shared" si="48"/>
        <v>1157.9503</v>
      </c>
      <c r="T68">
        <f t="shared" si="48"/>
        <v>1026.1186</v>
      </c>
      <c r="U68">
        <f t="shared" si="48"/>
        <v>1064.0448000000001</v>
      </c>
      <c r="V68">
        <f t="shared" si="48"/>
        <v>1146.8238999999999</v>
      </c>
      <c r="W68">
        <f t="shared" si="48"/>
        <v>1125</v>
      </c>
    </row>
    <row r="69" spans="1:23">
      <c r="A69" t="s">
        <v>42</v>
      </c>
      <c r="B69">
        <f>SUM(B66:B68)</f>
        <v>2675.0887467958391</v>
      </c>
      <c r="C69">
        <f t="shared" ref="C69:W69" si="49">SUM(C66:C68)</f>
        <v>3161.1718060006492</v>
      </c>
      <c r="D69">
        <f t="shared" si="49"/>
        <v>3402.586997004466</v>
      </c>
      <c r="E69">
        <f t="shared" si="49"/>
        <v>3847.1168045725462</v>
      </c>
      <c r="F69">
        <f t="shared" si="49"/>
        <v>4286.5332012261488</v>
      </c>
      <c r="G69">
        <f t="shared" si="49"/>
        <v>4786.1959294499702</v>
      </c>
      <c r="H69">
        <f t="shared" si="49"/>
        <v>4848.2842703585002</v>
      </c>
      <c r="I69">
        <f t="shared" si="49"/>
        <v>5082.3509999999997</v>
      </c>
      <c r="J69">
        <f t="shared" si="49"/>
        <v>5000.8063999999995</v>
      </c>
      <c r="K69">
        <f t="shared" si="49"/>
        <v>4917.6464999999989</v>
      </c>
      <c r="L69">
        <f t="shared" si="49"/>
        <v>5008.6674000000003</v>
      </c>
      <c r="M69">
        <f t="shared" si="49"/>
        <v>4707.5039999999999</v>
      </c>
      <c r="N69">
        <f t="shared" si="49"/>
        <v>4797.7109</v>
      </c>
      <c r="O69">
        <f t="shared" si="49"/>
        <v>4704.5025999999998</v>
      </c>
      <c r="P69">
        <f t="shared" si="49"/>
        <v>4860.4479000000001</v>
      </c>
      <c r="Q69">
        <f t="shared" si="49"/>
        <v>4923.0074999999997</v>
      </c>
      <c r="R69">
        <f t="shared" si="49"/>
        <v>5000.8765999999996</v>
      </c>
      <c r="S69">
        <f t="shared" si="49"/>
        <v>5103.1993999999995</v>
      </c>
      <c r="T69">
        <f t="shared" si="49"/>
        <v>5386.266599999999</v>
      </c>
      <c r="U69">
        <f t="shared" si="49"/>
        <v>5235.2482</v>
      </c>
      <c r="V69">
        <f t="shared" si="49"/>
        <v>5338.84</v>
      </c>
      <c r="W69">
        <f t="shared" si="49"/>
        <v>5038.1196</v>
      </c>
    </row>
    <row r="70" spans="1:23" ht="15" customHeight="1"/>
    <row r="71" spans="1:23">
      <c r="B71">
        <v>1982</v>
      </c>
      <c r="C71">
        <v>1986</v>
      </c>
      <c r="D71">
        <v>1992</v>
      </c>
      <c r="E71">
        <v>1996</v>
      </c>
      <c r="F71">
        <v>2000</v>
      </c>
      <c r="G71">
        <v>2005</v>
      </c>
      <c r="H71">
        <v>2009</v>
      </c>
      <c r="I71">
        <v>2010</v>
      </c>
      <c r="J71">
        <v>2011</v>
      </c>
      <c r="K71">
        <v>2012</v>
      </c>
      <c r="L71">
        <v>2013</v>
      </c>
      <c r="M71">
        <v>2014</v>
      </c>
      <c r="N71">
        <v>2015</v>
      </c>
      <c r="O71">
        <v>2016</v>
      </c>
      <c r="P71">
        <v>2017</v>
      </c>
      <c r="Q71">
        <v>2018</v>
      </c>
      <c r="R71">
        <v>2019</v>
      </c>
      <c r="S71">
        <v>2020</v>
      </c>
      <c r="T71">
        <v>2021</v>
      </c>
      <c r="U71">
        <v>2022</v>
      </c>
      <c r="V71">
        <v>2023</v>
      </c>
      <c r="W71">
        <v>2024</v>
      </c>
    </row>
    <row r="72" spans="1:23">
      <c r="A72" t="s">
        <v>48</v>
      </c>
      <c r="B72">
        <f t="shared" ref="B72:W72" si="50">B25*B65</f>
        <v>0</v>
      </c>
      <c r="C72">
        <f t="shared" si="50"/>
        <v>0</v>
      </c>
      <c r="D72">
        <f t="shared" si="50"/>
        <v>0</v>
      </c>
      <c r="E72">
        <f t="shared" si="50"/>
        <v>117.7735</v>
      </c>
      <c r="F72">
        <f t="shared" si="50"/>
        <v>287.31419999999997</v>
      </c>
      <c r="G72">
        <f t="shared" si="50"/>
        <v>614.28</v>
      </c>
      <c r="H72">
        <f t="shared" si="50"/>
        <v>865.73340000000007</v>
      </c>
      <c r="I72">
        <f t="shared" si="50"/>
        <v>1015.359</v>
      </c>
      <c r="J72">
        <f t="shared" si="50"/>
        <v>1087.1904</v>
      </c>
      <c r="K72">
        <f t="shared" si="50"/>
        <v>1105.6408999999999</v>
      </c>
      <c r="L72">
        <f t="shared" si="50"/>
        <v>1242.6533999999999</v>
      </c>
      <c r="M72">
        <f t="shared" si="50"/>
        <v>1271.7440000000001</v>
      </c>
      <c r="N72">
        <f t="shared" si="50"/>
        <v>1328.5382999999999</v>
      </c>
      <c r="O72">
        <f t="shared" si="50"/>
        <v>1381.471</v>
      </c>
      <c r="P72">
        <f t="shared" si="50"/>
        <v>1505.0432000000001</v>
      </c>
      <c r="Q72">
        <f t="shared" si="50"/>
        <v>1545.76395</v>
      </c>
      <c r="R72">
        <f t="shared" si="50"/>
        <v>1590.3806</v>
      </c>
      <c r="S72">
        <f t="shared" si="50"/>
        <v>1512.9257</v>
      </c>
      <c r="T72">
        <f t="shared" si="50"/>
        <v>1492.9512</v>
      </c>
      <c r="U72">
        <f t="shared" si="50"/>
        <v>1484.1736000000001</v>
      </c>
      <c r="V72">
        <f t="shared" si="50"/>
        <v>1544.1568</v>
      </c>
      <c r="W72">
        <f t="shared" si="50"/>
        <v>1481.44</v>
      </c>
    </row>
    <row r="73" spans="1:23">
      <c r="A73" t="s">
        <v>49</v>
      </c>
      <c r="B73">
        <f t="shared" ref="B73:W73" si="51">B26*B65</f>
        <v>0</v>
      </c>
      <c r="C73">
        <f t="shared" si="51"/>
        <v>0</v>
      </c>
      <c r="D73">
        <f t="shared" si="51"/>
        <v>0</v>
      </c>
      <c r="E73">
        <f t="shared" si="51"/>
        <v>14.857579999999999</v>
      </c>
      <c r="F73">
        <f t="shared" si="51"/>
        <v>149.5378</v>
      </c>
      <c r="G73">
        <f t="shared" si="51"/>
        <v>362.42520000000002</v>
      </c>
      <c r="H73">
        <f t="shared" si="51"/>
        <v>481.11840000000001</v>
      </c>
      <c r="I73">
        <f t="shared" si="51"/>
        <v>538.93200000000002</v>
      </c>
      <c r="J73">
        <f t="shared" si="51"/>
        <v>559.08799999999997</v>
      </c>
      <c r="K73">
        <f t="shared" si="51"/>
        <v>581.35739999999998</v>
      </c>
      <c r="L73">
        <f t="shared" si="51"/>
        <v>640.35360000000003</v>
      </c>
      <c r="M73">
        <f t="shared" si="51"/>
        <v>652.53800000000001</v>
      </c>
      <c r="N73">
        <f t="shared" si="51"/>
        <v>708.0462</v>
      </c>
      <c r="O73">
        <f t="shared" si="51"/>
        <v>742.61879999999996</v>
      </c>
      <c r="P73">
        <f t="shared" si="51"/>
        <v>804.505</v>
      </c>
      <c r="Q73">
        <f t="shared" si="51"/>
        <v>832.3809</v>
      </c>
      <c r="R73">
        <f t="shared" si="51"/>
        <v>862.09759999999994</v>
      </c>
      <c r="S73">
        <f t="shared" si="51"/>
        <v>921.10979999999995</v>
      </c>
      <c r="T73">
        <f t="shared" si="51"/>
        <v>1011.2804</v>
      </c>
      <c r="U73">
        <f t="shared" si="51"/>
        <v>1018.6540000000001</v>
      </c>
      <c r="V73">
        <f t="shared" si="51"/>
        <v>1071.8748000000001</v>
      </c>
      <c r="W73">
        <f t="shared" si="51"/>
        <v>1110.3699999999999</v>
      </c>
    </row>
    <row r="74" spans="1:23">
      <c r="A74" t="s">
        <v>47</v>
      </c>
      <c r="B74">
        <f t="shared" ref="B74:W74" si="52">B27*B65</f>
        <v>1080.1533248077503</v>
      </c>
      <c r="C74">
        <f t="shared" si="52"/>
        <v>1181.1193996591674</v>
      </c>
      <c r="D74">
        <f t="shared" si="52"/>
        <v>1250.0161239100535</v>
      </c>
      <c r="E74">
        <f t="shared" si="52"/>
        <v>1255.3670255188485</v>
      </c>
      <c r="F74">
        <f t="shared" si="52"/>
        <v>1200.5903129046828</v>
      </c>
      <c r="G74">
        <f t="shared" si="52"/>
        <v>1023.8773879077795</v>
      </c>
      <c r="H74">
        <f t="shared" si="52"/>
        <v>802.69956021465316</v>
      </c>
      <c r="I74">
        <f t="shared" si="52"/>
        <v>711.16800000000001</v>
      </c>
      <c r="J74">
        <f t="shared" si="52"/>
        <v>649.35039999999992</v>
      </c>
      <c r="K74">
        <f t="shared" si="52"/>
        <v>594.63040000000001</v>
      </c>
      <c r="L74">
        <f t="shared" si="52"/>
        <v>560.30939999999998</v>
      </c>
      <c r="M74">
        <f t="shared" si="52"/>
        <v>512.79999999999995</v>
      </c>
      <c r="N74">
        <f t="shared" si="52"/>
        <v>459.34179999999998</v>
      </c>
      <c r="O74">
        <f t="shared" si="52"/>
        <v>412.56599999999997</v>
      </c>
      <c r="P74">
        <f t="shared" si="52"/>
        <v>375.0231</v>
      </c>
      <c r="Q74">
        <f t="shared" si="52"/>
        <v>338.26799999999997</v>
      </c>
      <c r="R74">
        <f t="shared" si="52"/>
        <v>304.33939999999996</v>
      </c>
      <c r="S74">
        <f t="shared" si="52"/>
        <v>273.93599999999998</v>
      </c>
      <c r="T74">
        <f t="shared" si="52"/>
        <v>254.53219999999999</v>
      </c>
      <c r="U74">
        <f t="shared" si="52"/>
        <v>216.39800000000002</v>
      </c>
      <c r="V74">
        <f t="shared" si="52"/>
        <v>191.99289999999999</v>
      </c>
      <c r="W74">
        <f t="shared" si="52"/>
        <v>170.58048780487806</v>
      </c>
    </row>
    <row r="75" spans="1:23">
      <c r="A75" t="s">
        <v>46</v>
      </c>
      <c r="B75">
        <f>SUM(B72:B74)</f>
        <v>1080.1533248077503</v>
      </c>
      <c r="C75">
        <f t="shared" ref="C75:W75" si="53">SUM(C72:C74)</f>
        <v>1181.1193996591674</v>
      </c>
      <c r="D75">
        <f t="shared" si="53"/>
        <v>1250.0161239100535</v>
      </c>
      <c r="E75">
        <f t="shared" si="53"/>
        <v>1387.9981055188487</v>
      </c>
      <c r="F75">
        <f t="shared" si="53"/>
        <v>1637.4423129046827</v>
      </c>
      <c r="G75">
        <f t="shared" si="53"/>
        <v>2000.5825879077795</v>
      </c>
      <c r="H75">
        <f t="shared" si="53"/>
        <v>2149.5513602146534</v>
      </c>
      <c r="I75">
        <f t="shared" si="53"/>
        <v>2265.4590000000003</v>
      </c>
      <c r="J75">
        <f t="shared" si="53"/>
        <v>2295.6288</v>
      </c>
      <c r="K75">
        <f t="shared" si="53"/>
        <v>2281.6286999999998</v>
      </c>
      <c r="L75">
        <f t="shared" si="53"/>
        <v>2443.3164000000002</v>
      </c>
      <c r="M75">
        <f t="shared" si="53"/>
        <v>2437.0820000000003</v>
      </c>
      <c r="N75">
        <f t="shared" si="53"/>
        <v>2495.9263000000001</v>
      </c>
      <c r="O75">
        <f t="shared" si="53"/>
        <v>2536.6557999999995</v>
      </c>
      <c r="P75">
        <f t="shared" si="53"/>
        <v>2684.5713000000001</v>
      </c>
      <c r="Q75">
        <f t="shared" si="53"/>
        <v>2716.4128500000002</v>
      </c>
      <c r="R75">
        <f t="shared" si="53"/>
        <v>2756.8175999999999</v>
      </c>
      <c r="S75">
        <f t="shared" si="53"/>
        <v>2707.9715000000001</v>
      </c>
      <c r="T75">
        <f t="shared" si="53"/>
        <v>2758.7638000000002</v>
      </c>
      <c r="U75">
        <f t="shared" si="53"/>
        <v>2719.2256000000002</v>
      </c>
      <c r="V75">
        <f t="shared" si="53"/>
        <v>2808.0245000000004</v>
      </c>
      <c r="W75">
        <f t="shared" si="53"/>
        <v>2762.3904878048779</v>
      </c>
    </row>
    <row r="78" spans="1:23">
      <c r="A78" t="s">
        <v>50</v>
      </c>
      <c r="B78">
        <f t="shared" ref="B78:W78" si="54">B58*B65</f>
        <v>0.77588630822281557</v>
      </c>
      <c r="C78">
        <f t="shared" si="54"/>
        <v>0.99187943357736807</v>
      </c>
      <c r="D78">
        <f t="shared" si="54"/>
        <v>0.70359954293463334</v>
      </c>
      <c r="E78">
        <f t="shared" si="54"/>
        <v>0.94786211631676598</v>
      </c>
      <c r="F78">
        <f t="shared" si="54"/>
        <v>1.0680987249999314</v>
      </c>
      <c r="G78">
        <f t="shared" si="54"/>
        <v>0.92737928584979756</v>
      </c>
      <c r="H78">
        <f t="shared" si="54"/>
        <v>1.0054053291263823</v>
      </c>
      <c r="I78">
        <f t="shared" si="54"/>
        <v>1.1053776635763115</v>
      </c>
      <c r="J78">
        <f t="shared" si="54"/>
        <v>1.0788455105773556</v>
      </c>
      <c r="K78">
        <f t="shared" si="54"/>
        <v>1.008744930685455</v>
      </c>
      <c r="L78">
        <f t="shared" si="54"/>
        <v>0.98813618715693741</v>
      </c>
      <c r="M78">
        <f t="shared" si="54"/>
        <v>0.94779569084928017</v>
      </c>
      <c r="N78">
        <f t="shared" si="54"/>
        <v>0.91495723181149258</v>
      </c>
      <c r="O78">
        <f t="shared" si="54"/>
        <v>0.87537244917072143</v>
      </c>
      <c r="P78">
        <f t="shared" si="54"/>
        <v>0.80147691707473157</v>
      </c>
      <c r="Q78">
        <f t="shared" si="54"/>
        <v>0.73786657568442571</v>
      </c>
      <c r="R78">
        <f t="shared" si="54"/>
        <v>0.69465196391633788</v>
      </c>
      <c r="S78">
        <f t="shared" si="54"/>
        <v>0.60438832261743314</v>
      </c>
      <c r="T78">
        <f t="shared" si="54"/>
        <v>0.56114866184664502</v>
      </c>
      <c r="U78">
        <f t="shared" si="54"/>
        <v>0.47090032613040567</v>
      </c>
      <c r="V78">
        <f t="shared" si="54"/>
        <v>0.40152429713430993</v>
      </c>
      <c r="W78">
        <f t="shared" si="54"/>
        <v>0.34017760559104165</v>
      </c>
    </row>
    <row r="79" spans="1:23">
      <c r="A79" t="s">
        <v>41</v>
      </c>
      <c r="B79">
        <f t="shared" ref="B79:W79" si="55">B31*B65</f>
        <v>603.67052692399443</v>
      </c>
      <c r="C79">
        <f t="shared" si="55"/>
        <v>613.33916986241479</v>
      </c>
      <c r="D79">
        <f t="shared" si="55"/>
        <v>782.89658334448086</v>
      </c>
      <c r="E79">
        <f t="shared" si="55"/>
        <v>678.29740915634636</v>
      </c>
      <c r="F79">
        <f t="shared" si="55"/>
        <v>659.76231634650549</v>
      </c>
      <c r="G79">
        <f t="shared" si="55"/>
        <v>777.88097502377514</v>
      </c>
      <c r="H79">
        <f t="shared" si="55"/>
        <v>661.15730796993432</v>
      </c>
      <c r="I79">
        <f t="shared" si="55"/>
        <v>631.46033203696902</v>
      </c>
      <c r="J79">
        <f t="shared" si="55"/>
        <v>685.67231011215699</v>
      </c>
      <c r="K79">
        <f t="shared" si="55"/>
        <v>697.84377711518505</v>
      </c>
      <c r="L79">
        <f t="shared" si="55"/>
        <v>702.92332185238786</v>
      </c>
      <c r="M79">
        <f t="shared" si="55"/>
        <v>523.46815757942773</v>
      </c>
      <c r="N79">
        <f t="shared" si="55"/>
        <v>596.9119353832059</v>
      </c>
      <c r="O79">
        <f t="shared" si="55"/>
        <v>607.76514778888725</v>
      </c>
      <c r="P79">
        <f t="shared" si="55"/>
        <v>519.55586712049967</v>
      </c>
      <c r="Q79">
        <f t="shared" si="55"/>
        <v>594.515153645689</v>
      </c>
      <c r="R79">
        <f t="shared" si="55"/>
        <v>660.16568321765419</v>
      </c>
      <c r="S79">
        <f t="shared" si="55"/>
        <v>612.34007441357403</v>
      </c>
      <c r="T79">
        <f t="shared" si="55"/>
        <v>1004.0414494642464</v>
      </c>
      <c r="U79">
        <f t="shared" si="55"/>
        <v>935.46025925418019</v>
      </c>
      <c r="V79">
        <f t="shared" si="55"/>
        <v>914.42499547330988</v>
      </c>
      <c r="W79">
        <f t="shared" si="55"/>
        <v>708.04055802878099</v>
      </c>
    </row>
    <row r="80" spans="1:23">
      <c r="A80" t="s">
        <v>51</v>
      </c>
      <c r="B80">
        <f t="shared" ref="B80:W80" si="56">B32*B65</f>
        <v>1183.2641892715603</v>
      </c>
      <c r="C80">
        <f t="shared" si="56"/>
        <v>1233.6241236816193</v>
      </c>
      <c r="D80">
        <f t="shared" si="56"/>
        <v>1016.2044736979784</v>
      </c>
      <c r="E80">
        <f t="shared" si="56"/>
        <v>967.0174385774427</v>
      </c>
      <c r="F80">
        <f t="shared" si="56"/>
        <v>1242.2511221063335</v>
      </c>
      <c r="G80">
        <f t="shared" si="56"/>
        <v>1248.8379519338521</v>
      </c>
      <c r="H80">
        <f t="shared" si="56"/>
        <v>1263.4886779061931</v>
      </c>
      <c r="I80">
        <f t="shared" si="56"/>
        <v>1254.3251129005012</v>
      </c>
      <c r="J80">
        <f t="shared" si="56"/>
        <v>1268.0298643868921</v>
      </c>
      <c r="K80">
        <f t="shared" si="56"/>
        <v>1255.3967215059874</v>
      </c>
      <c r="L80">
        <f t="shared" si="56"/>
        <v>1243.9137696740745</v>
      </c>
      <c r="M80">
        <f t="shared" si="56"/>
        <v>1200.3654280772676</v>
      </c>
      <c r="N80">
        <f t="shared" si="56"/>
        <v>1190.3040753230625</v>
      </c>
      <c r="O80">
        <f t="shared" si="56"/>
        <v>1218.9070619913375</v>
      </c>
      <c r="P80">
        <f t="shared" si="56"/>
        <v>1246.879051928586</v>
      </c>
      <c r="Q80">
        <f t="shared" si="56"/>
        <v>1249.0371422843978</v>
      </c>
      <c r="R80">
        <f t="shared" si="56"/>
        <v>1278.2666242987698</v>
      </c>
      <c r="S80">
        <f t="shared" si="56"/>
        <v>1167.4115321411971</v>
      </c>
      <c r="T80">
        <f t="shared" si="56"/>
        <v>1413.2879400187369</v>
      </c>
      <c r="U80">
        <f t="shared" si="56"/>
        <v>1421.8713718713193</v>
      </c>
      <c r="V80">
        <f t="shared" si="56"/>
        <v>1486.9464891992557</v>
      </c>
      <c r="W80">
        <f t="shared" si="56"/>
        <v>1549.3108759951283</v>
      </c>
    </row>
    <row r="81" spans="1:23">
      <c r="A81" t="s">
        <v>52</v>
      </c>
      <c r="B81">
        <f t="shared" ref="B81:W81" si="57">B33*B65</f>
        <v>272.15832999999998</v>
      </c>
      <c r="C81">
        <f t="shared" si="57"/>
        <v>237.82192000000001</v>
      </c>
      <c r="D81">
        <f t="shared" si="57"/>
        <v>176.50745079858794</v>
      </c>
      <c r="E81">
        <f t="shared" si="57"/>
        <v>163.69473249832356</v>
      </c>
      <c r="F81">
        <f t="shared" si="57"/>
        <v>135.13308580893582</v>
      </c>
      <c r="G81">
        <f t="shared" si="57"/>
        <v>128.53654670737609</v>
      </c>
      <c r="H81">
        <f t="shared" si="57"/>
        <v>103.15303051352761</v>
      </c>
      <c r="I81">
        <f t="shared" si="57"/>
        <v>119.19792781125064</v>
      </c>
      <c r="J81">
        <f t="shared" si="57"/>
        <v>117.3183070000897</v>
      </c>
      <c r="K81">
        <f t="shared" si="57"/>
        <v>112.85300580189914</v>
      </c>
      <c r="L81">
        <f t="shared" si="57"/>
        <v>109.65728854286452</v>
      </c>
      <c r="M81">
        <f t="shared" si="57"/>
        <v>100.82335763729111</v>
      </c>
      <c r="N81">
        <f t="shared" si="57"/>
        <v>94.098522259863628</v>
      </c>
      <c r="O81">
        <f t="shared" si="57"/>
        <v>91.241343940721194</v>
      </c>
      <c r="P81">
        <f t="shared" si="57"/>
        <v>95.470612098254222</v>
      </c>
      <c r="Q81">
        <f t="shared" si="57"/>
        <v>101.12404461514251</v>
      </c>
      <c r="R81">
        <f t="shared" si="57"/>
        <v>98.379421033609731</v>
      </c>
      <c r="S81">
        <f t="shared" si="57"/>
        <v>93.291766334521398</v>
      </c>
      <c r="T81">
        <f t="shared" si="57"/>
        <v>98.405084845450702</v>
      </c>
      <c r="U81">
        <f t="shared" si="57"/>
        <v>86.301596865487227</v>
      </c>
      <c r="V81">
        <f t="shared" si="57"/>
        <v>85.022137280444127</v>
      </c>
      <c r="W81">
        <f t="shared" si="57"/>
        <v>93.550302793514362</v>
      </c>
    </row>
    <row r="82" spans="1:23">
      <c r="A82" t="s">
        <v>53</v>
      </c>
      <c r="B82">
        <f t="shared" ref="B82:V82" si="58">SUM(B78:B81)</f>
        <v>2059.8689325037776</v>
      </c>
      <c r="C82">
        <f t="shared" si="58"/>
        <v>2085.7770929776116</v>
      </c>
      <c r="D82">
        <f t="shared" si="58"/>
        <v>1976.3121073839818</v>
      </c>
      <c r="E82">
        <f t="shared" si="58"/>
        <v>1809.9574423484291</v>
      </c>
      <c r="F82">
        <f t="shared" si="58"/>
        <v>2038.2146229867749</v>
      </c>
      <c r="G82">
        <f t="shared" si="58"/>
        <v>2156.182852950853</v>
      </c>
      <c r="H82">
        <f t="shared" si="58"/>
        <v>2028.8044217187814</v>
      </c>
      <c r="I82">
        <f t="shared" si="58"/>
        <v>2006.088750412297</v>
      </c>
      <c r="J82">
        <f t="shared" si="58"/>
        <v>2072.099327009716</v>
      </c>
      <c r="K82">
        <f t="shared" si="58"/>
        <v>2067.1022493537571</v>
      </c>
      <c r="L82">
        <f t="shared" si="58"/>
        <v>2057.4825162564839</v>
      </c>
      <c r="M82">
        <f t="shared" si="58"/>
        <v>1825.6047389848356</v>
      </c>
      <c r="N82">
        <f t="shared" si="58"/>
        <v>1882.2294901979435</v>
      </c>
      <c r="O82">
        <f t="shared" si="58"/>
        <v>1918.7889261701168</v>
      </c>
      <c r="P82">
        <f t="shared" si="58"/>
        <v>1862.7070080644146</v>
      </c>
      <c r="Q82">
        <f t="shared" si="58"/>
        <v>1945.4142071209137</v>
      </c>
      <c r="R82">
        <f t="shared" si="58"/>
        <v>2037.50638051395</v>
      </c>
      <c r="S82">
        <f t="shared" si="58"/>
        <v>1873.6477612119099</v>
      </c>
      <c r="T82">
        <f t="shared" si="58"/>
        <v>2516.2956229902807</v>
      </c>
      <c r="U82">
        <f t="shared" si="58"/>
        <v>2444.1041283171171</v>
      </c>
      <c r="V82">
        <f t="shared" si="58"/>
        <v>2486.7951462501437</v>
      </c>
      <c r="W82">
        <f>SUM(W78:W81)</f>
        <v>2351.2419144230148</v>
      </c>
    </row>
    <row r="83" spans="1:23"/>
    <row r="84" spans="1:23">
      <c r="A84" t="s">
        <v>54</v>
      </c>
      <c r="E84">
        <f t="shared" ref="E84:V85" si="59">E72/12</f>
        <v>9.8144583333333326</v>
      </c>
      <c r="F84">
        <f t="shared" si="59"/>
        <v>23.942849999999996</v>
      </c>
      <c r="G84">
        <f t="shared" si="59"/>
        <v>51.19</v>
      </c>
      <c r="H84">
        <f t="shared" si="59"/>
        <v>72.144450000000006</v>
      </c>
      <c r="I84">
        <f t="shared" si="59"/>
        <v>84.613250000000008</v>
      </c>
      <c r="J84">
        <f t="shared" si="59"/>
        <v>90.599199999999996</v>
      </c>
      <c r="K84">
        <f t="shared" si="59"/>
        <v>92.136741666666651</v>
      </c>
      <c r="L84">
        <f t="shared" si="59"/>
        <v>103.55444999999999</v>
      </c>
      <c r="M84">
        <f t="shared" si="59"/>
        <v>105.97866666666668</v>
      </c>
      <c r="N84">
        <f t="shared" si="59"/>
        <v>110.71152499999999</v>
      </c>
      <c r="O84">
        <f t="shared" si="59"/>
        <v>115.12258333333334</v>
      </c>
      <c r="P84">
        <f t="shared" si="59"/>
        <v>125.42026666666668</v>
      </c>
      <c r="Q84">
        <f t="shared" si="59"/>
        <v>128.81366249999999</v>
      </c>
      <c r="R84">
        <f t="shared" si="59"/>
        <v>132.53171666666665</v>
      </c>
      <c r="S84">
        <f t="shared" si="59"/>
        <v>126.07714166666666</v>
      </c>
      <c r="T84">
        <f t="shared" si="59"/>
        <v>124.4126</v>
      </c>
      <c r="U84">
        <f t="shared" si="59"/>
        <v>123.68113333333334</v>
      </c>
      <c r="V84">
        <f t="shared" si="59"/>
        <v>128.67973333333333</v>
      </c>
      <c r="W84">
        <f>W72/12</f>
        <v>123.45333333333333</v>
      </c>
    </row>
    <row r="85" spans="1:23" ht="24" customHeight="1">
      <c r="A85" t="s">
        <v>55</v>
      </c>
      <c r="E85">
        <f t="shared" si="59"/>
        <v>1.2381316666666666</v>
      </c>
      <c r="F85">
        <f t="shared" si="59"/>
        <v>12.461483333333334</v>
      </c>
      <c r="G85">
        <f t="shared" si="59"/>
        <v>30.202100000000002</v>
      </c>
      <c r="H85">
        <f t="shared" si="59"/>
        <v>40.093200000000003</v>
      </c>
      <c r="I85">
        <f t="shared" si="59"/>
        <v>44.911000000000001</v>
      </c>
      <c r="J85">
        <f t="shared" si="59"/>
        <v>46.590666666666664</v>
      </c>
      <c r="K85">
        <f t="shared" si="59"/>
        <v>48.446449999999999</v>
      </c>
      <c r="L85">
        <f t="shared" si="59"/>
        <v>53.3628</v>
      </c>
      <c r="M85">
        <f t="shared" si="59"/>
        <v>54.378166666666665</v>
      </c>
      <c r="N85">
        <f t="shared" si="59"/>
        <v>59.00385</v>
      </c>
      <c r="O85">
        <f t="shared" si="59"/>
        <v>61.884899999999995</v>
      </c>
      <c r="P85">
        <f t="shared" si="59"/>
        <v>67.042083333333338</v>
      </c>
      <c r="Q85">
        <f t="shared" si="59"/>
        <v>69.365075000000004</v>
      </c>
      <c r="R85">
        <f t="shared" si="59"/>
        <v>71.841466666666662</v>
      </c>
      <c r="S85">
        <f t="shared" si="59"/>
        <v>76.759149999999991</v>
      </c>
      <c r="T85">
        <f t="shared" si="59"/>
        <v>84.273366666666661</v>
      </c>
      <c r="U85">
        <f t="shared" si="59"/>
        <v>84.887833333333347</v>
      </c>
      <c r="V85">
        <f t="shared" si="59"/>
        <v>89.322900000000004</v>
      </c>
      <c r="W85">
        <f t="shared" ref="W85" si="60">W73/12</f>
        <v>92.53083333333332</v>
      </c>
    </row>
    <row r="86" spans="1:23" ht="26" customHeight="1"/>
    <row r="87" spans="1:23">
      <c r="A87" t="s">
        <v>975</v>
      </c>
      <c r="B87">
        <f t="shared" ref="B87:W87" si="61">B40*B65</f>
        <v>373.05517351020433</v>
      </c>
      <c r="C87">
        <f t="shared" si="61"/>
        <v>426.46463765634991</v>
      </c>
      <c r="D87">
        <f t="shared" si="61"/>
        <v>431.4681009630026</v>
      </c>
      <c r="E87">
        <f t="shared" si="61"/>
        <v>499.81392234261841</v>
      </c>
      <c r="F87">
        <f t="shared" si="61"/>
        <v>620.15618334646103</v>
      </c>
      <c r="G87">
        <f t="shared" si="61"/>
        <v>799.07071078244962</v>
      </c>
      <c r="H87">
        <f t="shared" si="61"/>
        <v>831.56722623413702</v>
      </c>
      <c r="I87">
        <f t="shared" si="61"/>
        <v>887.47690546323531</v>
      </c>
      <c r="J87">
        <f t="shared" si="61"/>
        <v>891.52149935020418</v>
      </c>
      <c r="K87">
        <f t="shared" si="61"/>
        <v>896.27220518785339</v>
      </c>
      <c r="L87">
        <f t="shared" si="61"/>
        <v>959.27683774459092</v>
      </c>
      <c r="M87">
        <f t="shared" si="61"/>
        <v>952.25574100219717</v>
      </c>
      <c r="N87">
        <f t="shared" si="61"/>
        <v>971.36751745919764</v>
      </c>
      <c r="O87">
        <f t="shared" si="61"/>
        <v>986.07792302232576</v>
      </c>
      <c r="P87">
        <f t="shared" si="61"/>
        <v>1042.2976786069885</v>
      </c>
      <c r="Q87">
        <f t="shared" si="61"/>
        <v>1057.5426234288923</v>
      </c>
      <c r="R87">
        <f t="shared" si="61"/>
        <v>1071.1550363306467</v>
      </c>
      <c r="S87">
        <f t="shared" si="61"/>
        <v>1053.4098564593096</v>
      </c>
      <c r="T87">
        <f t="shared" si="61"/>
        <v>1080.6600641527184</v>
      </c>
      <c r="U87">
        <f t="shared" si="61"/>
        <v>1059.1712492156671</v>
      </c>
      <c r="V87">
        <f t="shared" si="61"/>
        <v>1075.5221941451709</v>
      </c>
      <c r="W87">
        <f t="shared" si="61"/>
        <v>970.13341561712855</v>
      </c>
    </row>
    <row r="88" spans="1:23">
      <c r="A88" t="s">
        <v>976</v>
      </c>
      <c r="B88">
        <f t="shared" ref="B88:W88" si="62">B43*B65</f>
        <v>261.96464013254467</v>
      </c>
      <c r="C88">
        <f t="shared" si="62"/>
        <v>377.44056888259968</v>
      </c>
      <c r="D88">
        <f t="shared" si="62"/>
        <v>361.05423532892291</v>
      </c>
      <c r="E88">
        <f t="shared" si="62"/>
        <v>477.43366781679902</v>
      </c>
      <c r="F88">
        <f t="shared" si="62"/>
        <v>522.44335172570436</v>
      </c>
      <c r="G88">
        <f t="shared" si="62"/>
        <v>556.34270659707147</v>
      </c>
      <c r="H88">
        <f t="shared" si="62"/>
        <v>496.14931691041136</v>
      </c>
      <c r="I88">
        <f t="shared" si="62"/>
        <v>523.99770690441176</v>
      </c>
      <c r="J88">
        <f t="shared" si="62"/>
        <v>452.03907009306124</v>
      </c>
      <c r="K88">
        <f t="shared" si="62"/>
        <v>434.8406161295344</v>
      </c>
      <c r="L88">
        <f t="shared" si="62"/>
        <v>403.39085067347725</v>
      </c>
      <c r="M88">
        <f t="shared" si="62"/>
        <v>359.66313626490142</v>
      </c>
      <c r="N88">
        <f t="shared" si="62"/>
        <v>347.65771850090249</v>
      </c>
      <c r="O88">
        <f t="shared" si="62"/>
        <v>303.25905567566844</v>
      </c>
      <c r="P88">
        <f t="shared" si="62"/>
        <v>353.67961800587528</v>
      </c>
      <c r="Q88">
        <f t="shared" si="62"/>
        <v>352.9845403083761</v>
      </c>
      <c r="R88">
        <f t="shared" si="62"/>
        <v>351.9903792065914</v>
      </c>
      <c r="S88">
        <f t="shared" si="62"/>
        <v>450.4464907810198</v>
      </c>
      <c r="T88">
        <f t="shared" si="62"/>
        <v>401.9501024713669</v>
      </c>
      <c r="U88">
        <f t="shared" si="62"/>
        <v>414.45831491047846</v>
      </c>
      <c r="V88">
        <f t="shared" si="62"/>
        <v>439.2534884315013</v>
      </c>
      <c r="W88">
        <f t="shared" si="62"/>
        <v>494.57583516372802</v>
      </c>
    </row>
    <row r="89" spans="1:23">
      <c r="A89" t="s">
        <v>977</v>
      </c>
      <c r="B89">
        <f t="shared" ref="B89:W89" si="63">B44*B65</f>
        <v>288.88207479400307</v>
      </c>
      <c r="C89">
        <f t="shared" si="63"/>
        <v>337.49335926613503</v>
      </c>
      <c r="D89">
        <f t="shared" si="63"/>
        <v>381.94871402275203</v>
      </c>
      <c r="E89">
        <f t="shared" si="63"/>
        <v>408.0875426178896</v>
      </c>
      <c r="F89">
        <f t="shared" si="63"/>
        <v>480.85922674806824</v>
      </c>
      <c r="G89">
        <f t="shared" si="63"/>
        <v>556.28420830527921</v>
      </c>
      <c r="H89">
        <f t="shared" si="63"/>
        <v>547.87218542345113</v>
      </c>
      <c r="I89">
        <f t="shared" si="63"/>
        <v>579.49902165441176</v>
      </c>
      <c r="J89">
        <f t="shared" si="63"/>
        <v>598.53321317877555</v>
      </c>
      <c r="K89">
        <f t="shared" si="63"/>
        <v>600.64315321489653</v>
      </c>
      <c r="L89">
        <f t="shared" si="63"/>
        <v>603.79831033118182</v>
      </c>
      <c r="M89">
        <f t="shared" si="63"/>
        <v>527.47253828264797</v>
      </c>
      <c r="N89">
        <f t="shared" si="63"/>
        <v>548.15350502272975</v>
      </c>
      <c r="O89">
        <f t="shared" si="63"/>
        <v>539.45120480767946</v>
      </c>
      <c r="P89">
        <f t="shared" si="63"/>
        <v>491.11490435054964</v>
      </c>
      <c r="Q89">
        <f t="shared" si="63"/>
        <v>506.07776864998357</v>
      </c>
      <c r="R89">
        <f t="shared" si="63"/>
        <v>519.933501311697</v>
      </c>
      <c r="S89">
        <f t="shared" si="63"/>
        <v>481.30507245601325</v>
      </c>
      <c r="T89">
        <f t="shared" si="63"/>
        <v>627.2925403418551</v>
      </c>
      <c r="U89">
        <f t="shared" si="63"/>
        <v>565.56290888825708</v>
      </c>
      <c r="V89">
        <f t="shared" si="63"/>
        <v>530.09284011250111</v>
      </c>
      <c r="W89">
        <f t="shared" si="63"/>
        <v>421.09571788413103</v>
      </c>
    </row>
    <row r="90" spans="1:23" ht="17" customHeight="1">
      <c r="A90" t="s">
        <v>978</v>
      </c>
      <c r="B90">
        <f t="shared" ref="B90:W90" si="64">SUM(B87:B89)</f>
        <v>923.90188843675207</v>
      </c>
      <c r="C90">
        <f t="shared" si="64"/>
        <v>1141.3985658050847</v>
      </c>
      <c r="D90">
        <f t="shared" si="64"/>
        <v>1174.4710503146775</v>
      </c>
      <c r="E90">
        <f t="shared" si="64"/>
        <v>1385.3351327773071</v>
      </c>
      <c r="F90">
        <f t="shared" si="64"/>
        <v>1623.4587618202338</v>
      </c>
      <c r="G90">
        <f t="shared" si="64"/>
        <v>1911.6976256848002</v>
      </c>
      <c r="H90">
        <f t="shared" si="64"/>
        <v>1875.5887285679994</v>
      </c>
      <c r="I90">
        <f t="shared" si="64"/>
        <v>1990.9736340220588</v>
      </c>
      <c r="J90">
        <f t="shared" si="64"/>
        <v>1942.0937826220411</v>
      </c>
      <c r="K90">
        <f t="shared" si="64"/>
        <v>1931.7559745322844</v>
      </c>
      <c r="L90">
        <f t="shared" si="64"/>
        <v>1966.46599874925</v>
      </c>
      <c r="M90">
        <f t="shared" si="64"/>
        <v>1839.3914155497466</v>
      </c>
      <c r="N90">
        <f t="shared" si="64"/>
        <v>1867.1787409828298</v>
      </c>
      <c r="O90">
        <f t="shared" si="64"/>
        <v>1828.7881835056737</v>
      </c>
      <c r="P90">
        <f t="shared" si="64"/>
        <v>1887.0922009634132</v>
      </c>
      <c r="Q90">
        <f t="shared" si="64"/>
        <v>1916.6049323872521</v>
      </c>
      <c r="R90">
        <f t="shared" si="64"/>
        <v>1943.078916848935</v>
      </c>
      <c r="S90">
        <f t="shared" si="64"/>
        <v>1985.1614196963426</v>
      </c>
      <c r="T90">
        <f t="shared" si="64"/>
        <v>2109.9027069659405</v>
      </c>
      <c r="U90">
        <f t="shared" si="64"/>
        <v>2039.1924730144028</v>
      </c>
      <c r="V90">
        <f t="shared" si="64"/>
        <v>2044.8685226891735</v>
      </c>
      <c r="W90">
        <f t="shared" si="64"/>
        <v>1885.8049686649877</v>
      </c>
    </row>
    <row r="91" spans="1:23">
      <c r="A91" t="s">
        <v>1015</v>
      </c>
    </row>
    <row r="93" spans="1:23">
      <c r="A93" s="627" t="s">
        <v>1145</v>
      </c>
      <c r="B93" s="627"/>
      <c r="C93" s="627"/>
      <c r="D93" s="627"/>
      <c r="E93" s="627"/>
      <c r="F93" s="627"/>
      <c r="G93" s="627"/>
      <c r="H93" s="627"/>
      <c r="I93" s="627"/>
      <c r="J93" s="627"/>
      <c r="K93" s="627"/>
      <c r="L93" s="627"/>
      <c r="M93" s="627"/>
      <c r="N93" s="627"/>
      <c r="O93" s="627"/>
    </row>
    <row r="94" spans="1:23">
      <c r="A94" s="627" t="s">
        <v>1146</v>
      </c>
      <c r="B94" s="627"/>
      <c r="C94" s="627"/>
      <c r="D94" s="627"/>
      <c r="E94" s="627"/>
      <c r="F94" s="627"/>
      <c r="G94" s="627"/>
      <c r="H94" s="627"/>
      <c r="I94" s="627"/>
      <c r="J94" s="627"/>
      <c r="K94" s="627"/>
      <c r="L94" s="627"/>
      <c r="M94" s="627"/>
      <c r="N94" s="627"/>
      <c r="O94" s="627"/>
      <c r="V94" t="e">
        <f>#REF!-V36</f>
        <v>#REF!</v>
      </c>
    </row>
    <row r="95" spans="1:23">
      <c r="A95" t="s">
        <v>66</v>
      </c>
    </row>
    <row r="96" spans="1:23">
      <c r="A96" t="s">
        <v>987</v>
      </c>
    </row>
    <row r="97" spans="1:23">
      <c r="B97">
        <v>1982</v>
      </c>
      <c r="C97">
        <v>1986</v>
      </c>
      <c r="D97">
        <v>1992</v>
      </c>
      <c r="E97">
        <v>1996</v>
      </c>
      <c r="F97">
        <v>2000</v>
      </c>
      <c r="G97">
        <v>2005</v>
      </c>
      <c r="H97">
        <v>2009</v>
      </c>
      <c r="I97">
        <v>2010</v>
      </c>
      <c r="J97">
        <v>2011</v>
      </c>
      <c r="K97">
        <v>2012</v>
      </c>
      <c r="L97">
        <v>2013</v>
      </c>
      <c r="M97">
        <v>2014</v>
      </c>
      <c r="N97">
        <v>2015</v>
      </c>
      <c r="O97">
        <v>2016</v>
      </c>
      <c r="P97">
        <v>2017</v>
      </c>
      <c r="Q97">
        <v>2018</v>
      </c>
      <c r="R97">
        <v>2019</v>
      </c>
      <c r="S97">
        <v>2020</v>
      </c>
      <c r="T97">
        <v>2021</v>
      </c>
      <c r="U97">
        <v>2022</v>
      </c>
      <c r="V97">
        <v>2023</v>
      </c>
      <c r="W97">
        <v>2024</v>
      </c>
    </row>
    <row r="98" spans="1:23">
      <c r="A98" t="s">
        <v>43</v>
      </c>
      <c r="B98">
        <f t="shared" ref="B98:V101" si="65">B66</f>
        <v>1080.1533248077503</v>
      </c>
      <c r="C98">
        <f t="shared" si="65"/>
        <v>1181.1193996591674</v>
      </c>
      <c r="D98">
        <f t="shared" si="65"/>
        <v>1250.0161239100535</v>
      </c>
      <c r="E98">
        <f t="shared" si="65"/>
        <v>1387.9981055188487</v>
      </c>
      <c r="F98">
        <f t="shared" si="65"/>
        <v>1637.4423129046829</v>
      </c>
      <c r="G98">
        <f t="shared" si="65"/>
        <v>2000.5825879077795</v>
      </c>
      <c r="H98">
        <f t="shared" si="65"/>
        <v>2149.551360214653</v>
      </c>
      <c r="I98">
        <f t="shared" si="65"/>
        <v>2265.4589999999998</v>
      </c>
      <c r="J98">
        <f t="shared" si="65"/>
        <v>2295.6288</v>
      </c>
      <c r="K98">
        <f t="shared" si="65"/>
        <v>2281.6286999999998</v>
      </c>
      <c r="L98">
        <f t="shared" si="65"/>
        <v>2443.3164000000002</v>
      </c>
      <c r="M98">
        <f t="shared" si="65"/>
        <v>2437.0819999999999</v>
      </c>
      <c r="N98">
        <f t="shared" si="65"/>
        <v>2495.9262999999996</v>
      </c>
      <c r="O98">
        <f t="shared" si="65"/>
        <v>2536.6558</v>
      </c>
      <c r="P98">
        <f t="shared" si="65"/>
        <v>2684.5713000000001</v>
      </c>
      <c r="Q98">
        <f t="shared" si="65"/>
        <v>2716.4128499999997</v>
      </c>
      <c r="R98">
        <f t="shared" si="65"/>
        <v>2756.8175999999999</v>
      </c>
      <c r="S98">
        <f t="shared" si="65"/>
        <v>2707.9715000000001</v>
      </c>
      <c r="T98">
        <f t="shared" si="65"/>
        <v>2758.7637999999997</v>
      </c>
      <c r="U98">
        <f t="shared" si="65"/>
        <v>2719.2256000000002</v>
      </c>
      <c r="V98">
        <f t="shared" si="65"/>
        <v>2808.0245</v>
      </c>
      <c r="W98">
        <f>W66</f>
        <v>2591.81</v>
      </c>
    </row>
    <row r="99" spans="1:23">
      <c r="A99" t="s">
        <v>44</v>
      </c>
      <c r="B99">
        <f t="shared" si="65"/>
        <v>758.49900259724973</v>
      </c>
      <c r="C99">
        <f t="shared" si="65"/>
        <v>1045.3443</v>
      </c>
      <c r="D99">
        <f t="shared" si="65"/>
        <v>1046.0184999999999</v>
      </c>
      <c r="E99">
        <f t="shared" si="65"/>
        <v>1325.8474740653037</v>
      </c>
      <c r="F99">
        <f t="shared" si="65"/>
        <v>1379.4441999999999</v>
      </c>
      <c r="G99">
        <f t="shared" si="65"/>
        <v>1392.8799000000001</v>
      </c>
      <c r="H99">
        <f t="shared" si="65"/>
        <v>1282.5162</v>
      </c>
      <c r="I99">
        <f t="shared" si="65"/>
        <v>1337.607</v>
      </c>
      <c r="J99">
        <f t="shared" si="65"/>
        <v>1163.9808</v>
      </c>
      <c r="K99">
        <f t="shared" si="65"/>
        <v>1106.9682</v>
      </c>
      <c r="L99">
        <f t="shared" si="65"/>
        <v>1027.4526000000001</v>
      </c>
      <c r="M99">
        <f t="shared" si="65"/>
        <v>920.476</v>
      </c>
      <c r="N99">
        <f t="shared" si="65"/>
        <v>893.30559999999991</v>
      </c>
      <c r="O99">
        <f t="shared" si="65"/>
        <v>780.12479999999994</v>
      </c>
      <c r="P99">
        <f t="shared" si="65"/>
        <v>910.94720000000007</v>
      </c>
      <c r="Q99">
        <f t="shared" si="65"/>
        <v>906.67904999999996</v>
      </c>
      <c r="R99">
        <f t="shared" si="65"/>
        <v>905.9129999999999</v>
      </c>
      <c r="S99">
        <f t="shared" si="65"/>
        <v>1237.2775999999999</v>
      </c>
      <c r="T99">
        <f t="shared" si="65"/>
        <v>1601.3842</v>
      </c>
      <c r="U99">
        <f t="shared" si="65"/>
        <v>1451.9778000000001</v>
      </c>
      <c r="V99">
        <f t="shared" si="65"/>
        <v>1383.9915999999998</v>
      </c>
      <c r="W99">
        <f>W67</f>
        <v>1321.3096</v>
      </c>
    </row>
    <row r="100" spans="1:23">
      <c r="A100" t="s">
        <v>988</v>
      </c>
      <c r="B100">
        <f t="shared" si="65"/>
        <v>836.43641939083909</v>
      </c>
      <c r="C100">
        <f t="shared" si="65"/>
        <v>934.70810634148199</v>
      </c>
      <c r="D100">
        <f t="shared" si="65"/>
        <v>1106.5523730944121</v>
      </c>
      <c r="E100">
        <f t="shared" si="65"/>
        <v>1133.2712249883941</v>
      </c>
      <c r="F100">
        <f t="shared" si="65"/>
        <v>1269.6466883214662</v>
      </c>
      <c r="G100">
        <f t="shared" si="65"/>
        <v>1392.7334415421908</v>
      </c>
      <c r="H100">
        <f t="shared" si="65"/>
        <v>1416.2167101438474</v>
      </c>
      <c r="I100">
        <f t="shared" si="65"/>
        <v>1479.2850000000001</v>
      </c>
      <c r="J100">
        <f t="shared" si="65"/>
        <v>1541.1967999999999</v>
      </c>
      <c r="K100">
        <f t="shared" si="65"/>
        <v>1529.0495999999998</v>
      </c>
      <c r="L100">
        <f t="shared" si="65"/>
        <v>1537.8984</v>
      </c>
      <c r="M100">
        <f t="shared" si="65"/>
        <v>1349.9460000000001</v>
      </c>
      <c r="N100">
        <f t="shared" si="65"/>
        <v>1408.4789999999998</v>
      </c>
      <c r="O100">
        <f t="shared" si="65"/>
        <v>1387.722</v>
      </c>
      <c r="P100">
        <f t="shared" si="65"/>
        <v>1264.9294</v>
      </c>
      <c r="Q100">
        <f t="shared" si="65"/>
        <v>1299.9156</v>
      </c>
      <c r="R100">
        <f t="shared" si="65"/>
        <v>1338.146</v>
      </c>
      <c r="S100">
        <f t="shared" si="65"/>
        <v>1157.9503</v>
      </c>
      <c r="T100">
        <f t="shared" si="65"/>
        <v>1026.1186</v>
      </c>
      <c r="U100">
        <f t="shared" si="65"/>
        <v>1064.0448000000001</v>
      </c>
      <c r="V100">
        <f t="shared" si="65"/>
        <v>1146.8238999999999</v>
      </c>
      <c r="W100">
        <f>W68</f>
        <v>1125</v>
      </c>
    </row>
    <row r="101" spans="1:23">
      <c r="A101" t="s">
        <v>67</v>
      </c>
      <c r="B101">
        <f t="shared" si="65"/>
        <v>2675.0887467958391</v>
      </c>
      <c r="C101">
        <f t="shared" si="65"/>
        <v>3161.1718060006492</v>
      </c>
      <c r="D101">
        <f t="shared" si="65"/>
        <v>3402.586997004466</v>
      </c>
      <c r="E101">
        <f t="shared" si="65"/>
        <v>3847.1168045725462</v>
      </c>
      <c r="F101">
        <f t="shared" si="65"/>
        <v>4286.5332012261488</v>
      </c>
      <c r="G101">
        <f t="shared" si="65"/>
        <v>4786.1959294499702</v>
      </c>
      <c r="H101">
        <f t="shared" si="65"/>
        <v>4848.2842703585002</v>
      </c>
      <c r="I101">
        <f t="shared" si="65"/>
        <v>5082.3509999999997</v>
      </c>
      <c r="J101">
        <f t="shared" si="65"/>
        <v>5000.8063999999995</v>
      </c>
      <c r="K101">
        <f t="shared" si="65"/>
        <v>4917.6464999999989</v>
      </c>
      <c r="L101">
        <f t="shared" si="65"/>
        <v>5008.6674000000003</v>
      </c>
      <c r="M101">
        <f t="shared" si="65"/>
        <v>4707.5039999999999</v>
      </c>
      <c r="N101">
        <f t="shared" si="65"/>
        <v>4797.7109</v>
      </c>
      <c r="O101">
        <f t="shared" si="65"/>
        <v>4704.5025999999998</v>
      </c>
      <c r="P101">
        <f t="shared" si="65"/>
        <v>4860.4479000000001</v>
      </c>
      <c r="Q101">
        <f t="shared" si="65"/>
        <v>4923.0074999999997</v>
      </c>
      <c r="R101">
        <f t="shared" si="65"/>
        <v>5000.8765999999996</v>
      </c>
      <c r="S101">
        <f t="shared" si="65"/>
        <v>5103.1993999999995</v>
      </c>
      <c r="T101">
        <f t="shared" si="65"/>
        <v>5386.266599999999</v>
      </c>
      <c r="U101">
        <f t="shared" si="65"/>
        <v>5235.2482</v>
      </c>
      <c r="V101">
        <f t="shared" si="65"/>
        <v>5338.84</v>
      </c>
      <c r="W101">
        <f>W69</f>
        <v>5038.1196</v>
      </c>
    </row>
    <row r="103" spans="1:23">
      <c r="A103" t="s">
        <v>68</v>
      </c>
      <c r="B103">
        <f t="shared" ref="B103:W103" si="66">B98/B5*100</f>
        <v>3.6005110826925009</v>
      </c>
      <c r="C103">
        <f t="shared" si="66"/>
        <v>3.6454302458616277</v>
      </c>
      <c r="D103">
        <f t="shared" si="66"/>
        <v>2.7174263563262033</v>
      </c>
      <c r="E103">
        <f t="shared" si="66"/>
        <v>2.891662719830935</v>
      </c>
      <c r="F103">
        <f t="shared" si="66"/>
        <v>2.8676748036859596</v>
      </c>
      <c r="G103">
        <f t="shared" si="66"/>
        <v>3.0174699666784006</v>
      </c>
      <c r="H103">
        <f t="shared" si="66"/>
        <v>2.8622521440940787</v>
      </c>
      <c r="I103">
        <f t="shared" si="66"/>
        <v>2.9536623207301171</v>
      </c>
      <c r="J103">
        <f t="shared" si="66"/>
        <v>2.8948660781841111</v>
      </c>
      <c r="K103">
        <f t="shared" si="66"/>
        <v>2.7689668689320386</v>
      </c>
      <c r="L103">
        <f t="shared" si="66"/>
        <v>2.8914986982248521</v>
      </c>
      <c r="M103">
        <f t="shared" si="66"/>
        <v>2.7948188073394493</v>
      </c>
      <c r="N103">
        <f t="shared" si="66"/>
        <v>2.8138966178128522</v>
      </c>
      <c r="O103">
        <f t="shared" si="66"/>
        <v>2.8469762065095399</v>
      </c>
      <c r="P103">
        <f t="shared" si="66"/>
        <v>2.8866358064516131</v>
      </c>
      <c r="Q103">
        <f t="shared" si="66"/>
        <v>2.8414360355648531</v>
      </c>
      <c r="R103">
        <f t="shared" si="66"/>
        <v>2.8246081967213112</v>
      </c>
      <c r="S103">
        <f t="shared" si="66"/>
        <v>2.6189279497098648</v>
      </c>
      <c r="T103">
        <f t="shared" si="66"/>
        <v>2.5916052606857676</v>
      </c>
      <c r="U103">
        <f t="shared" si="66"/>
        <v>2.4790720950409675</v>
      </c>
      <c r="V103">
        <f t="shared" si="66"/>
        <v>2.4011291536264601</v>
      </c>
      <c r="W103">
        <f t="shared" si="66"/>
        <v>2.1145359265129104</v>
      </c>
    </row>
    <row r="104" spans="1:23">
      <c r="A104" t="s">
        <v>69</v>
      </c>
      <c r="B104">
        <f t="shared" ref="B104:W104" si="67">B99/B5*100</f>
        <v>2.5283300086574991</v>
      </c>
      <c r="C104">
        <f t="shared" si="67"/>
        <v>3.2263712962962958</v>
      </c>
      <c r="D104">
        <f t="shared" si="67"/>
        <v>2.2739532608695647</v>
      </c>
      <c r="E104">
        <f t="shared" si="67"/>
        <v>2.7621822376360492</v>
      </c>
      <c r="F104">
        <f t="shared" si="67"/>
        <v>2.4158392294220663</v>
      </c>
      <c r="G104">
        <f t="shared" si="67"/>
        <v>2.1008746606334845</v>
      </c>
      <c r="H104">
        <f t="shared" si="67"/>
        <v>1.7077446071904128</v>
      </c>
      <c r="I104">
        <f t="shared" si="67"/>
        <v>1.7439465449804432</v>
      </c>
      <c r="J104">
        <f t="shared" si="67"/>
        <v>1.4678194199243382</v>
      </c>
      <c r="K104">
        <f t="shared" si="67"/>
        <v>1.343408009708738</v>
      </c>
      <c r="L104">
        <f t="shared" si="67"/>
        <v>1.2159202366863906</v>
      </c>
      <c r="M104">
        <f t="shared" si="67"/>
        <v>1.0555917431192661</v>
      </c>
      <c r="N104">
        <f t="shared" si="67"/>
        <v>1.0071089064261554</v>
      </c>
      <c r="O104">
        <f t="shared" si="67"/>
        <v>0.87556094276094265</v>
      </c>
      <c r="P104">
        <f t="shared" si="67"/>
        <v>0.97951311827956988</v>
      </c>
      <c r="Q104">
        <f t="shared" si="67"/>
        <v>0.94840904811715476</v>
      </c>
      <c r="R104">
        <f t="shared" si="67"/>
        <v>0.9281895491803277</v>
      </c>
      <c r="S104">
        <f t="shared" si="67"/>
        <v>1.1965934235976787</v>
      </c>
      <c r="T104">
        <f t="shared" si="67"/>
        <v>1.5043534053546266</v>
      </c>
      <c r="U104">
        <f t="shared" si="67"/>
        <v>1.3237436594444296</v>
      </c>
      <c r="V104">
        <f t="shared" si="67"/>
        <v>1.1834450088074837</v>
      </c>
      <c r="W104">
        <f t="shared" si="67"/>
        <v>1.0779943820134976</v>
      </c>
    </row>
    <row r="105" spans="1:23">
      <c r="A105" t="s">
        <v>70</v>
      </c>
      <c r="B105">
        <f t="shared" ref="B105:W105" si="68">B100/B5*100</f>
        <v>2.7881213979694635</v>
      </c>
      <c r="C105">
        <f t="shared" si="68"/>
        <v>2.8849015627823515</v>
      </c>
      <c r="D105">
        <f t="shared" si="68"/>
        <v>2.4055486371617656</v>
      </c>
      <c r="E105">
        <f t="shared" si="68"/>
        <v>2.3609817187258209</v>
      </c>
      <c r="F105">
        <f t="shared" si="68"/>
        <v>2.2235493665875063</v>
      </c>
      <c r="G105">
        <f t="shared" si="68"/>
        <v>2.1006537579821885</v>
      </c>
      <c r="H105">
        <f t="shared" si="68"/>
        <v>1.8857745807507955</v>
      </c>
      <c r="I105">
        <f t="shared" si="68"/>
        <v>1.9286636245110824</v>
      </c>
      <c r="J105">
        <f t="shared" si="68"/>
        <v>1.9435016393442621</v>
      </c>
      <c r="K105">
        <f t="shared" si="68"/>
        <v>1.8556427184466016</v>
      </c>
      <c r="L105">
        <f t="shared" si="68"/>
        <v>1.8199981065088757</v>
      </c>
      <c r="M105">
        <f t="shared" si="68"/>
        <v>1.5481032110091746</v>
      </c>
      <c r="N105">
        <f t="shared" si="68"/>
        <v>1.5879131905298758</v>
      </c>
      <c r="O105">
        <f t="shared" si="68"/>
        <v>1.5574882154882155</v>
      </c>
      <c r="P105">
        <f t="shared" si="68"/>
        <v>1.3601391397849463</v>
      </c>
      <c r="Q105">
        <f t="shared" si="68"/>
        <v>1.3597443514644352</v>
      </c>
      <c r="R105">
        <f t="shared" si="68"/>
        <v>1.3710512295081967</v>
      </c>
      <c r="S105">
        <f t="shared" si="68"/>
        <v>1.1198745647969051</v>
      </c>
      <c r="T105">
        <f t="shared" si="68"/>
        <v>0.96394419915453267</v>
      </c>
      <c r="U105">
        <f t="shared" si="68"/>
        <v>0.9700716893638569</v>
      </c>
      <c r="V105">
        <f t="shared" si="68"/>
        <v>0.98064397243172052</v>
      </c>
      <c r="W105">
        <f t="shared" si="68"/>
        <v>0.91783460875875333</v>
      </c>
    </row>
    <row r="106" spans="1:23">
      <c r="A106" t="s">
        <v>42</v>
      </c>
      <c r="B106">
        <f t="shared" ref="B106:T106" si="69">SUM(B103:B105)</f>
        <v>8.916962489319463</v>
      </c>
      <c r="C106">
        <f t="shared" si="69"/>
        <v>9.756703104940275</v>
      </c>
      <c r="D106">
        <f t="shared" si="69"/>
        <v>7.3969282543575341</v>
      </c>
      <c r="E106">
        <f t="shared" si="69"/>
        <v>8.0148266761928042</v>
      </c>
      <c r="F106">
        <f t="shared" si="69"/>
        <v>7.5070633996955323</v>
      </c>
      <c r="G106">
        <f t="shared" si="69"/>
        <v>7.2189983852940731</v>
      </c>
      <c r="H106">
        <f t="shared" si="69"/>
        <v>6.4557713320352867</v>
      </c>
      <c r="I106">
        <f t="shared" si="69"/>
        <v>6.6262724902216421</v>
      </c>
      <c r="J106">
        <f t="shared" si="69"/>
        <v>6.3061871374527119</v>
      </c>
      <c r="K106">
        <f t="shared" si="69"/>
        <v>5.9680175970873783</v>
      </c>
      <c r="L106">
        <f t="shared" si="69"/>
        <v>5.9274170414201182</v>
      </c>
      <c r="M106">
        <f t="shared" si="69"/>
        <v>5.39851376146789</v>
      </c>
      <c r="N106">
        <f t="shared" si="69"/>
        <v>5.4089187147688831</v>
      </c>
      <c r="O106">
        <f t="shared" si="69"/>
        <v>5.2800253647586981</v>
      </c>
      <c r="P106">
        <f t="shared" si="69"/>
        <v>5.2262880645161296</v>
      </c>
      <c r="Q106">
        <f t="shared" si="69"/>
        <v>5.1495894351464431</v>
      </c>
      <c r="R106">
        <f t="shared" si="69"/>
        <v>5.1238489754098353</v>
      </c>
      <c r="S106">
        <f t="shared" si="69"/>
        <v>4.935395938104449</v>
      </c>
      <c r="T106">
        <f t="shared" si="69"/>
        <v>5.0599028651949265</v>
      </c>
      <c r="U106">
        <f t="shared" ref="U106:W106" si="70">SUM(U103:U105)</f>
        <v>4.7728874438492541</v>
      </c>
      <c r="V106">
        <f t="shared" si="70"/>
        <v>4.5652181348656642</v>
      </c>
      <c r="W106">
        <f t="shared" si="70"/>
        <v>4.1103649172851613</v>
      </c>
    </row>
    <row r="110" spans="1:23">
      <c r="B110">
        <v>1982</v>
      </c>
      <c r="C110">
        <v>1986</v>
      </c>
      <c r="D110">
        <v>1992</v>
      </c>
      <c r="E110">
        <v>1996</v>
      </c>
      <c r="F110">
        <v>2000</v>
      </c>
      <c r="G110">
        <v>2005</v>
      </c>
      <c r="H110">
        <v>2009</v>
      </c>
      <c r="I110">
        <v>2010</v>
      </c>
      <c r="J110">
        <v>2011</v>
      </c>
      <c r="K110">
        <v>2012</v>
      </c>
      <c r="L110">
        <v>2013</v>
      </c>
      <c r="M110">
        <v>2014</v>
      </c>
      <c r="N110">
        <v>2015</v>
      </c>
      <c r="O110">
        <v>2016</v>
      </c>
      <c r="P110">
        <v>2017</v>
      </c>
      <c r="Q110">
        <v>2018</v>
      </c>
      <c r="R110">
        <v>2019</v>
      </c>
      <c r="S110">
        <v>2020</v>
      </c>
      <c r="T110">
        <v>2021</v>
      </c>
      <c r="U110">
        <v>2022</v>
      </c>
      <c r="V110">
        <v>2023</v>
      </c>
      <c r="W110">
        <v>2024</v>
      </c>
    </row>
    <row r="111" spans="1:23">
      <c r="A111" t="s">
        <v>71</v>
      </c>
      <c r="D111">
        <v>7580</v>
      </c>
      <c r="E111">
        <v>7917</v>
      </c>
      <c r="F111">
        <v>8900</v>
      </c>
      <c r="G111">
        <v>11046</v>
      </c>
      <c r="I111">
        <v>11156</v>
      </c>
      <c r="J111">
        <v>11397</v>
      </c>
      <c r="K111">
        <v>11529</v>
      </c>
      <c r="L111">
        <v>11517.35</v>
      </c>
      <c r="M111">
        <v>11324.05</v>
      </c>
      <c r="N111">
        <v>11269.209000000001</v>
      </c>
      <c r="O111">
        <v>11089.627</v>
      </c>
      <c r="P111">
        <v>10899.039000000001</v>
      </c>
      <c r="Q111">
        <v>10820</v>
      </c>
      <c r="R111">
        <v>10552.48</v>
      </c>
      <c r="S111">
        <v>10230.569</v>
      </c>
      <c r="T111">
        <v>9939.3040000000001</v>
      </c>
      <c r="U111">
        <v>9650.7800000000007</v>
      </c>
      <c r="V111">
        <v>9398</v>
      </c>
    </row>
    <row r="112" spans="1:23">
      <c r="A112" t="s">
        <v>72</v>
      </c>
      <c r="B112">
        <v>1242.9000000000001</v>
      </c>
      <c r="C112">
        <v>1651.4</v>
      </c>
      <c r="D112">
        <v>2677.4</v>
      </c>
      <c r="E112">
        <v>4219</v>
      </c>
      <c r="F112">
        <v>5039</v>
      </c>
      <c r="G112">
        <v>6954</v>
      </c>
      <c r="I112">
        <v>8130</v>
      </c>
      <c r="J112">
        <v>8459</v>
      </c>
      <c r="K112">
        <v>8561</v>
      </c>
      <c r="L112">
        <v>8794</v>
      </c>
      <c r="M112">
        <v>8942</v>
      </c>
      <c r="N112">
        <v>8936</v>
      </c>
      <c r="O112">
        <v>8779</v>
      </c>
      <c r="P112">
        <v>8581</v>
      </c>
      <c r="Q112">
        <v>8424</v>
      </c>
      <c r="R112">
        <v>8364</v>
      </c>
      <c r="S112">
        <v>8094</v>
      </c>
      <c r="T112">
        <v>7800</v>
      </c>
      <c r="U112">
        <v>7421.49</v>
      </c>
      <c r="V112">
        <v>7023.97</v>
      </c>
    </row>
    <row r="113" spans="1:23">
      <c r="A113" t="s">
        <v>73</v>
      </c>
      <c r="F113">
        <v>57.6</v>
      </c>
      <c r="G113">
        <v>230.7</v>
      </c>
      <c r="I113">
        <v>415.8</v>
      </c>
      <c r="J113">
        <v>706.7</v>
      </c>
      <c r="K113">
        <v>1070.4000000000001</v>
      </c>
      <c r="L113">
        <v>1451.1</v>
      </c>
      <c r="M113">
        <v>1969.2</v>
      </c>
      <c r="N113">
        <v>2231.3000000000002</v>
      </c>
      <c r="O113">
        <v>2507.9</v>
      </c>
      <c r="P113">
        <v>2633.4</v>
      </c>
      <c r="Q113">
        <v>2820.2</v>
      </c>
      <c r="R113">
        <v>2959.9</v>
      </c>
      <c r="S113">
        <v>3087</v>
      </c>
      <c r="T113">
        <v>3196.6</v>
      </c>
      <c r="U113">
        <v>3341</v>
      </c>
      <c r="V113">
        <v>3499.9</v>
      </c>
    </row>
    <row r="114" spans="1:23">
      <c r="A114" t="s">
        <v>74</v>
      </c>
      <c r="F114">
        <v>6.4999999999999997E-3</v>
      </c>
      <c r="G114">
        <v>2.0899999999999998E-2</v>
      </c>
      <c r="I114">
        <v>3.73E-2</v>
      </c>
      <c r="J114">
        <v>6.2E-2</v>
      </c>
      <c r="K114">
        <v>9.2799999999999994E-2</v>
      </c>
      <c r="L114">
        <v>0.126</v>
      </c>
      <c r="M114">
        <v>0.1739</v>
      </c>
      <c r="N114">
        <v>0.19800000000000001</v>
      </c>
      <c r="O114">
        <v>0.2261</v>
      </c>
      <c r="P114">
        <v>0.24160000000000001</v>
      </c>
      <c r="Q114">
        <v>0.2606</v>
      </c>
      <c r="R114">
        <v>0.28050000000000003</v>
      </c>
      <c r="S114">
        <v>0.30170000000000002</v>
      </c>
      <c r="T114">
        <v>0.3216</v>
      </c>
      <c r="U114">
        <v>0.34620000000000001</v>
      </c>
      <c r="V114">
        <v>0.37240000000000001</v>
      </c>
    </row>
    <row r="115" spans="1:23">
      <c r="A115" t="s">
        <v>36</v>
      </c>
      <c r="G115">
        <v>12880</v>
      </c>
      <c r="I115">
        <v>13319.3</v>
      </c>
      <c r="J115">
        <v>13320.6</v>
      </c>
      <c r="K115">
        <v>13670.2</v>
      </c>
      <c r="L115">
        <v>13820</v>
      </c>
      <c r="M115">
        <v>13871.1</v>
      </c>
      <c r="N115">
        <v>13971.6</v>
      </c>
      <c r="O115">
        <v>14072.1</v>
      </c>
      <c r="P115">
        <v>14249</v>
      </c>
      <c r="Q115">
        <v>14428</v>
      </c>
      <c r="R115">
        <v>14609.4</v>
      </c>
      <c r="S115">
        <v>14793</v>
      </c>
      <c r="T115">
        <v>14978.9</v>
      </c>
      <c r="U115">
        <v>15167.2</v>
      </c>
      <c r="V115">
        <v>15357.8</v>
      </c>
    </row>
    <row r="116" spans="1:23">
      <c r="A116" t="s">
        <v>75</v>
      </c>
      <c r="D116">
        <v>353.22</v>
      </c>
      <c r="E116">
        <v>532.9</v>
      </c>
      <c r="F116">
        <v>566.22</v>
      </c>
      <c r="G116">
        <v>629.5</v>
      </c>
      <c r="I116">
        <v>728.74</v>
      </c>
      <c r="J116">
        <v>742.22</v>
      </c>
      <c r="K116">
        <v>742.55</v>
      </c>
      <c r="L116">
        <v>763.54</v>
      </c>
      <c r="M116">
        <v>789.68</v>
      </c>
      <c r="N116">
        <v>792.96</v>
      </c>
      <c r="O116">
        <v>791.65</v>
      </c>
      <c r="P116">
        <v>787.33</v>
      </c>
      <c r="Q116">
        <v>778.57</v>
      </c>
      <c r="R116">
        <v>792.63</v>
      </c>
      <c r="S116">
        <v>791.15</v>
      </c>
      <c r="T116">
        <v>784.76</v>
      </c>
      <c r="U116">
        <v>769</v>
      </c>
      <c r="V116">
        <v>747.39</v>
      </c>
    </row>
    <row r="118" spans="1:23">
      <c r="F118">
        <v>2004</v>
      </c>
      <c r="G118">
        <v>2008</v>
      </c>
      <c r="I118">
        <v>2010</v>
      </c>
      <c r="J118">
        <v>2011</v>
      </c>
      <c r="K118">
        <v>2012</v>
      </c>
      <c r="L118">
        <v>2013</v>
      </c>
      <c r="M118">
        <v>2014</v>
      </c>
      <c r="N118">
        <v>2015</v>
      </c>
      <c r="O118">
        <v>2016</v>
      </c>
      <c r="P118">
        <v>2017</v>
      </c>
      <c r="Q118">
        <v>2018</v>
      </c>
      <c r="R118">
        <v>2019</v>
      </c>
      <c r="S118">
        <v>2020</v>
      </c>
      <c r="T118">
        <v>2021</v>
      </c>
      <c r="U118">
        <v>2022</v>
      </c>
      <c r="V118">
        <v>2023</v>
      </c>
      <c r="W118">
        <v>2024</v>
      </c>
    </row>
    <row r="120" spans="1:23">
      <c r="A120" t="s">
        <v>971</v>
      </c>
      <c r="B120">
        <v>25.607053000000001</v>
      </c>
      <c r="C120">
        <v>26.100277999999999</v>
      </c>
      <c r="D120">
        <v>28.371264</v>
      </c>
      <c r="E120">
        <v>29.610218</v>
      </c>
      <c r="F120">
        <v>30.68573</v>
      </c>
      <c r="G120">
        <v>32.242731999999997</v>
      </c>
      <c r="H120">
        <v>33.630068999999999</v>
      </c>
      <c r="I120">
        <v>34</v>
      </c>
      <c r="J120">
        <v>34.299999999999997</v>
      </c>
      <c r="K120">
        <v>34.799999999999997</v>
      </c>
      <c r="L120">
        <v>35.200000000000003</v>
      </c>
      <c r="M120">
        <v>35.5</v>
      </c>
      <c r="N120">
        <v>35.9</v>
      </c>
      <c r="O120">
        <v>36.200000000000003</v>
      </c>
      <c r="P120">
        <v>36.700000000000003</v>
      </c>
      <c r="Q120">
        <v>37.06</v>
      </c>
      <c r="R120">
        <v>37.6</v>
      </c>
      <c r="S120">
        <v>38.027999999999999</v>
      </c>
      <c r="T120">
        <v>38.238999999999997</v>
      </c>
      <c r="U120">
        <v>38.939</v>
      </c>
      <c r="V120">
        <v>40.097000000000001</v>
      </c>
      <c r="W120">
        <v>41.287999999999997</v>
      </c>
    </row>
    <row r="121" spans="1:23">
      <c r="A121" t="s">
        <v>972</v>
      </c>
      <c r="B121">
        <v>8.8439700000000006</v>
      </c>
      <c r="C121">
        <v>9.4239800000000002</v>
      </c>
      <c r="D121">
        <v>9.7929099999999991</v>
      </c>
      <c r="E121">
        <v>10.66255</v>
      </c>
      <c r="F121">
        <v>11.62175</v>
      </c>
      <c r="G121">
        <v>12.878360000000001</v>
      </c>
      <c r="H121">
        <v>13.01</v>
      </c>
      <c r="I121">
        <v>13.31925</v>
      </c>
      <c r="J121">
        <v>13.320615</v>
      </c>
      <c r="K121">
        <v>13.670178999999999</v>
      </c>
      <c r="L121">
        <v>13.819964000000001</v>
      </c>
      <c r="M121">
        <v>13.871129</v>
      </c>
      <c r="N121">
        <v>13.971603999999999</v>
      </c>
      <c r="O121">
        <v>14.072079</v>
      </c>
      <c r="P121">
        <v>14.248950960951001</v>
      </c>
      <c r="Q121">
        <v>14.428046025579194</v>
      </c>
      <c r="R121">
        <v>14.609392136074698</v>
      </c>
      <c r="S121">
        <v>14.79301758583302</v>
      </c>
      <c r="T121">
        <v>14.978941000000001</v>
      </c>
      <c r="U121">
        <v>15.167211309429</v>
      </c>
      <c r="V121">
        <v>15.357847988377211</v>
      </c>
      <c r="W121">
        <v>15.4544</v>
      </c>
    </row>
    <row r="122" spans="1:23">
      <c r="A122" t="s">
        <v>970</v>
      </c>
      <c r="B122">
        <f t="shared" ref="B122:W122" si="71">B120/B121</f>
        <v>2.8954251314737611</v>
      </c>
      <c r="C122">
        <f t="shared" si="71"/>
        <v>2.7695599948217207</v>
      </c>
      <c r="D122">
        <f t="shared" si="71"/>
        <v>2.897122918519623</v>
      </c>
      <c r="E122">
        <f t="shared" si="71"/>
        <v>2.7770296973988398</v>
      </c>
      <c r="F122">
        <f t="shared" si="71"/>
        <v>2.6403708563684471</v>
      </c>
      <c r="G122">
        <f t="shared" si="71"/>
        <v>2.5036364878757849</v>
      </c>
      <c r="H122">
        <f t="shared" si="71"/>
        <v>2.5849399692544197</v>
      </c>
      <c r="I122">
        <f t="shared" si="71"/>
        <v>2.5526962854515083</v>
      </c>
      <c r="J122">
        <f t="shared" si="71"/>
        <v>2.5749561863322374</v>
      </c>
      <c r="K122">
        <f t="shared" si="71"/>
        <v>2.5456872217986319</v>
      </c>
      <c r="L122">
        <f t="shared" si="71"/>
        <v>2.5470399199303269</v>
      </c>
      <c r="M122">
        <f t="shared" si="71"/>
        <v>2.5592725725497902</v>
      </c>
      <c r="N122">
        <f t="shared" si="71"/>
        <v>2.5694973891329873</v>
      </c>
      <c r="O122">
        <f t="shared" si="71"/>
        <v>2.5724699243089812</v>
      </c>
      <c r="P122">
        <f t="shared" si="71"/>
        <v>2.5756282059342968</v>
      </c>
      <c r="Q122">
        <f t="shared" si="71"/>
        <v>2.568608384967519</v>
      </c>
      <c r="R122">
        <f t="shared" si="71"/>
        <v>2.5736868207647756</v>
      </c>
      <c r="S122">
        <f t="shared" si="71"/>
        <v>2.5706722634074781</v>
      </c>
      <c r="T122">
        <f t="shared" si="71"/>
        <v>2.5528506988578163</v>
      </c>
      <c r="U122">
        <f t="shared" si="71"/>
        <v>2.5673143998325383</v>
      </c>
      <c r="V122">
        <f t="shared" si="71"/>
        <v>2.610847563431109</v>
      </c>
      <c r="W122">
        <f t="shared" si="71"/>
        <v>2.671601615074024</v>
      </c>
    </row>
  </sheetData>
  <mergeCells count="3">
    <mergeCell ref="A1:S1"/>
    <mergeCell ref="A93:O93"/>
    <mergeCell ref="A94:O94"/>
  </mergeCells>
  <pageMargins left="0.7" right="0.7" top="0.75" bottom="0.75" header="0.3" footer="0.3"/>
  <pageSetup orientation="portrait" horizontalDpi="0" verticalDpi="0"/>
  <legacy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6A5A5-AA1F-9A46-8822-B0B525F7BE81}">
  <sheetPr>
    <tabColor rgb="FFFFC000"/>
  </sheetPr>
  <dimension ref="A1:V8"/>
  <sheetViews>
    <sheetView zoomScale="130" zoomScaleNormal="130" workbookViewId="0">
      <pane xSplit="1" ySplit="2" topLeftCell="B3" activePane="bottomRight" state="frozen"/>
      <selection pane="topRight" activeCell="B1" sqref="B1"/>
      <selection pane="bottomLeft" activeCell="A3" sqref="A3"/>
      <selection pane="bottomRight" activeCell="A8" sqref="A8"/>
    </sheetView>
  </sheetViews>
  <sheetFormatPr baseColWidth="10" defaultColWidth="11" defaultRowHeight="18"/>
  <cols>
    <col min="1" max="1" width="33.5" style="34" customWidth="1"/>
    <col min="2" max="16384" width="11" style="34"/>
  </cols>
  <sheetData>
    <row r="1" spans="1:22">
      <c r="A1" s="633" t="s">
        <v>1093</v>
      </c>
      <c r="B1" s="634"/>
      <c r="C1" s="634"/>
      <c r="D1" s="634"/>
      <c r="E1" s="634"/>
      <c r="F1" s="634"/>
      <c r="G1" s="634"/>
      <c r="H1" s="634"/>
      <c r="I1" s="634"/>
      <c r="J1" s="634"/>
    </row>
    <row r="2" spans="1:22">
      <c r="A2" s="476"/>
      <c r="B2" s="477">
        <v>2004</v>
      </c>
      <c r="C2" s="477">
        <v>2005</v>
      </c>
      <c r="D2" s="477">
        <v>2006</v>
      </c>
      <c r="E2" s="477">
        <v>2007</v>
      </c>
      <c r="F2" s="477">
        <v>2008</v>
      </c>
      <c r="G2" s="477">
        <v>2009</v>
      </c>
      <c r="H2" s="477">
        <v>2010</v>
      </c>
      <c r="I2" s="477">
        <v>2011</v>
      </c>
      <c r="J2" s="477">
        <v>2012</v>
      </c>
      <c r="K2" s="477">
        <v>2013</v>
      </c>
      <c r="L2" s="477">
        <v>2014</v>
      </c>
      <c r="M2" s="477">
        <v>2015</v>
      </c>
      <c r="N2" s="477">
        <v>2016</v>
      </c>
      <c r="O2" s="477">
        <v>2017</v>
      </c>
      <c r="P2" s="477">
        <v>2018</v>
      </c>
      <c r="Q2" s="477">
        <v>2019</v>
      </c>
      <c r="R2" s="477">
        <v>2020</v>
      </c>
      <c r="S2" s="477">
        <v>2021</v>
      </c>
      <c r="T2" s="305">
        <v>2022</v>
      </c>
      <c r="U2" s="305">
        <v>2023</v>
      </c>
      <c r="V2" s="477">
        <v>2024</v>
      </c>
    </row>
    <row r="3" spans="1:22">
      <c r="A3" s="476" t="s">
        <v>440</v>
      </c>
      <c r="B3" s="478">
        <v>11.410658307210031</v>
      </c>
      <c r="C3" s="478">
        <v>17.453416149068321</v>
      </c>
      <c r="D3" s="478">
        <v>27.607361963190183</v>
      </c>
      <c r="E3" s="478">
        <v>37.72036474164134</v>
      </c>
      <c r="F3" s="478">
        <v>48.108108108108112</v>
      </c>
      <c r="G3" s="478">
        <v>54.226190476190474</v>
      </c>
      <c r="H3" s="478">
        <v>65.647058823529406</v>
      </c>
      <c r="I3" s="478">
        <v>77.959183673469397</v>
      </c>
      <c r="J3" s="478">
        <v>88.649425287356323</v>
      </c>
      <c r="K3" s="478">
        <v>97.10227272727272</v>
      </c>
      <c r="L3" s="478">
        <v>106.84507042253522</v>
      </c>
      <c r="M3" s="478">
        <v>128.24512534818942</v>
      </c>
      <c r="N3" s="478">
        <v>151.51933701657458</v>
      </c>
      <c r="O3" s="478">
        <v>184.49591280653951</v>
      </c>
      <c r="P3" s="478">
        <v>204.85698866702643</v>
      </c>
      <c r="Q3" s="478">
        <v>232.97872340425531</v>
      </c>
      <c r="R3" s="478">
        <v>253.19652722967641</v>
      </c>
      <c r="S3" s="478">
        <v>336.01801566579638</v>
      </c>
      <c r="T3" s="478">
        <v>366.18320610687027</v>
      </c>
      <c r="U3" s="478">
        <v>410.70399751861044</v>
      </c>
      <c r="V3" s="479">
        <v>436.31961259079907</v>
      </c>
    </row>
    <row r="4" spans="1:22">
      <c r="A4" s="476" t="s">
        <v>441</v>
      </c>
      <c r="B4" s="478">
        <v>92.906269592476491</v>
      </c>
      <c r="C4" s="478">
        <v>93.596894409937875</v>
      </c>
      <c r="D4" s="478">
        <v>99.424846625766861</v>
      </c>
      <c r="E4" s="478">
        <v>100.26474164133739</v>
      </c>
      <c r="F4" s="478">
        <v>101.9012012012012</v>
      </c>
      <c r="G4" s="478">
        <v>92.369940476190479</v>
      </c>
      <c r="H4" s="478">
        <v>106.49</v>
      </c>
      <c r="I4" s="478">
        <v>109.71603498542275</v>
      </c>
      <c r="J4" s="478">
        <v>105.16178160919542</v>
      </c>
      <c r="K4" s="478">
        <v>101.9653409090909</v>
      </c>
      <c r="L4" s="478">
        <v>99.10985915492958</v>
      </c>
      <c r="M4" s="478">
        <v>92.668523676880227</v>
      </c>
      <c r="N4" s="478">
        <v>90.580110497237555</v>
      </c>
      <c r="O4" s="478">
        <v>81.608290871934585</v>
      </c>
      <c r="P4" s="478">
        <v>78.734441770102535</v>
      </c>
      <c r="Q4" s="478">
        <v>77.608656010638299</v>
      </c>
      <c r="R4" s="478">
        <v>65.079921994212057</v>
      </c>
      <c r="S4" s="478">
        <v>72.526880496083578</v>
      </c>
      <c r="T4" s="478">
        <v>75.940203562340983</v>
      </c>
      <c r="U4" s="478">
        <v>66.027344913151367</v>
      </c>
      <c r="V4" s="479">
        <v>67.052542372881362</v>
      </c>
    </row>
    <row r="5" spans="1:22">
      <c r="A5" s="476" t="s">
        <v>442</v>
      </c>
      <c r="B5" s="478">
        <v>177.05462134230919</v>
      </c>
      <c r="C5" s="478">
        <v>182.4513554997927</v>
      </c>
      <c r="D5" s="478">
        <v>189.10892006580369</v>
      </c>
      <c r="E5" s="478">
        <v>194.25986441649056</v>
      </c>
      <c r="F5" s="478">
        <v>194.54684684684688</v>
      </c>
      <c r="G5" s="478">
        <v>181.01874999999998</v>
      </c>
      <c r="H5" s="478">
        <v>181.62294117647059</v>
      </c>
      <c r="I5" s="478">
        <v>177.85860058309044</v>
      </c>
      <c r="J5" s="478">
        <v>177.72988505747125</v>
      </c>
      <c r="K5" s="478">
        <v>173.11363636363637</v>
      </c>
      <c r="L5" s="478">
        <v>159.90000000000003</v>
      </c>
      <c r="M5" s="478">
        <v>144.16155988857943</v>
      </c>
      <c r="N5" s="478">
        <v>136.90193370165747</v>
      </c>
      <c r="O5" s="478">
        <v>125.02997275204353</v>
      </c>
      <c r="P5" s="478">
        <v>118.91662169454935</v>
      </c>
      <c r="Q5" s="478">
        <v>108.82446808510639</v>
      </c>
      <c r="R5" s="478">
        <v>79.780320968166279</v>
      </c>
      <c r="S5" s="478">
        <v>75.711227154047037</v>
      </c>
      <c r="T5" s="478">
        <v>77.721882951653924</v>
      </c>
      <c r="U5" s="478">
        <v>75.189883128009399</v>
      </c>
      <c r="V5" s="479">
        <v>73.618975116530635</v>
      </c>
    </row>
    <row r="6" spans="1:22">
      <c r="A6" s="476" t="s">
        <v>443</v>
      </c>
      <c r="B6" s="478">
        <f t="shared" ref="B6:G6" si="0">SUM(B3:B5)</f>
        <v>281.37154924199569</v>
      </c>
      <c r="C6" s="478">
        <f t="shared" si="0"/>
        <v>293.50166605879889</v>
      </c>
      <c r="D6" s="478">
        <f t="shared" si="0"/>
        <v>316.14112865476073</v>
      </c>
      <c r="E6" s="478">
        <f t="shared" si="0"/>
        <v>332.24497079946929</v>
      </c>
      <c r="F6" s="478">
        <f t="shared" si="0"/>
        <v>344.55615615615619</v>
      </c>
      <c r="G6" s="478">
        <f t="shared" si="0"/>
        <v>327.61488095238093</v>
      </c>
      <c r="H6" s="478">
        <v>353.76</v>
      </c>
      <c r="I6" s="478">
        <v>365.5338192419826</v>
      </c>
      <c r="J6" s="478">
        <v>371.54109195402299</v>
      </c>
      <c r="K6" s="478">
        <v>372.18124999999998</v>
      </c>
      <c r="L6" s="478">
        <v>365.85492957746482</v>
      </c>
      <c r="M6" s="478">
        <v>365.07520891364908</v>
      </c>
      <c r="N6" s="478">
        <v>379.00138121546962</v>
      </c>
      <c r="O6" s="478">
        <v>391.13417643051764</v>
      </c>
      <c r="P6" s="478">
        <v>402.50805213167831</v>
      </c>
      <c r="Q6" s="478">
        <v>419.41184749999996</v>
      </c>
      <c r="R6" s="478">
        <v>398.05677019205473</v>
      </c>
      <c r="S6" s="478">
        <v>484.25612331592697</v>
      </c>
      <c r="T6" s="478">
        <v>519.84529262086517</v>
      </c>
      <c r="U6" s="478">
        <v>551.92122555977119</v>
      </c>
      <c r="V6" s="479">
        <v>576.99113008021106</v>
      </c>
    </row>
    <row r="8" spans="1:22">
      <c r="A8" s="480"/>
    </row>
  </sheetData>
  <mergeCells count="1">
    <mergeCell ref="A1:J1"/>
  </mergeCells>
  <pageMargins left="0.7" right="0.7" top="0.75" bottom="0.75" header="0.3" footer="0.3"/>
  <pageSetup orientation="portrait" horizontalDpi="0" verticalDpi="0"/>
  <ignoredErrors>
    <ignoredError sqref="B6:G6" formulaRange="1"/>
  </ignoredError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4DBED0-4C11-2A4D-9071-5BBAABCBD218}">
  <sheetPr>
    <tabColor rgb="FFFFC000"/>
  </sheetPr>
  <dimension ref="A1:J77"/>
  <sheetViews>
    <sheetView zoomScale="140" zoomScaleNormal="140" workbookViewId="0">
      <pane xSplit="1" ySplit="2" topLeftCell="B3" activePane="bottomRight" state="frozen"/>
      <selection pane="topRight" activeCell="B1" sqref="B1"/>
      <selection pane="bottomLeft" activeCell="A3" sqref="A3"/>
      <selection pane="bottomRight" activeCell="A6" sqref="A6"/>
    </sheetView>
  </sheetViews>
  <sheetFormatPr baseColWidth="10" defaultColWidth="11" defaultRowHeight="16"/>
  <cols>
    <col min="1" max="1" width="23.6640625" style="2" customWidth="1"/>
    <col min="2" max="3" width="10.83203125" style="2" customWidth="1"/>
    <col min="4" max="11" width="11" style="2"/>
    <col min="12" max="12" width="16" style="2" customWidth="1"/>
    <col min="13" max="16384" width="11" style="2"/>
  </cols>
  <sheetData>
    <row r="1" spans="1:9" ht="53" customHeight="1">
      <c r="A1" s="638" t="s">
        <v>1094</v>
      </c>
      <c r="B1" s="638"/>
      <c r="C1" s="638"/>
      <c r="D1" s="638"/>
      <c r="E1" s="638"/>
      <c r="F1" s="638"/>
      <c r="G1" s="78"/>
    </row>
    <row r="2" spans="1:9">
      <c r="A2" s="271"/>
      <c r="B2" s="272">
        <v>2014</v>
      </c>
      <c r="C2" s="272">
        <v>2018</v>
      </c>
      <c r="D2" s="272">
        <v>2020</v>
      </c>
      <c r="E2" s="272">
        <v>2022</v>
      </c>
      <c r="F2" s="272">
        <v>2023</v>
      </c>
      <c r="G2" s="272">
        <v>2024</v>
      </c>
    </row>
    <row r="3" spans="1:9">
      <c r="A3" s="60" t="s">
        <v>91</v>
      </c>
      <c r="B3" s="12">
        <v>2028.4</v>
      </c>
      <c r="C3" s="12">
        <v>3784.1</v>
      </c>
      <c r="D3" s="12">
        <v>4724.5</v>
      </c>
      <c r="E3" s="12">
        <v>7281.8</v>
      </c>
      <c r="F3" s="12">
        <v>8223.6</v>
      </c>
      <c r="G3" s="239">
        <v>9034.5706489151489</v>
      </c>
      <c r="H3" s="63"/>
    </row>
    <row r="4" spans="1:9">
      <c r="A4" s="60" t="s">
        <v>93</v>
      </c>
      <c r="B4" s="12"/>
      <c r="C4" s="12"/>
      <c r="D4" s="12"/>
      <c r="E4" s="12">
        <v>3838.8</v>
      </c>
      <c r="F4" s="12">
        <v>4194.8999999999996</v>
      </c>
      <c r="G4" s="239">
        <v>4762.7945999999993</v>
      </c>
    </row>
    <row r="5" spans="1:9">
      <c r="A5" s="60" t="s">
        <v>444</v>
      </c>
      <c r="B5" s="12">
        <v>483.3</v>
      </c>
      <c r="C5" s="12">
        <v>2071</v>
      </c>
      <c r="D5" s="12">
        <v>2928.5</v>
      </c>
      <c r="E5" s="12"/>
      <c r="F5" s="12"/>
      <c r="G5" s="55"/>
    </row>
    <row r="6" spans="1:9">
      <c r="A6" s="60" t="s">
        <v>94</v>
      </c>
      <c r="B6" s="12"/>
      <c r="C6" s="12">
        <v>435.5</v>
      </c>
      <c r="D6" s="12">
        <v>825.2</v>
      </c>
      <c r="E6" s="12">
        <v>1529.3</v>
      </c>
      <c r="F6" s="12">
        <v>2375</v>
      </c>
      <c r="G6" s="239">
        <v>2691.012085891557</v>
      </c>
      <c r="H6" s="21"/>
      <c r="I6" s="239"/>
    </row>
    <row r="7" spans="1:9">
      <c r="A7" s="60" t="s">
        <v>108</v>
      </c>
      <c r="B7" s="12"/>
      <c r="C7" s="12"/>
      <c r="D7" s="12">
        <v>53.1</v>
      </c>
      <c r="E7" s="12">
        <v>339.5</v>
      </c>
      <c r="F7" s="12">
        <v>455</v>
      </c>
      <c r="G7" s="21">
        <v>539.36</v>
      </c>
      <c r="H7" s="12"/>
      <c r="I7" s="239"/>
    </row>
    <row r="8" spans="1:9">
      <c r="A8" s="60" t="s">
        <v>101</v>
      </c>
      <c r="B8" s="12">
        <v>125.8</v>
      </c>
      <c r="C8" s="12">
        <v>161.4</v>
      </c>
      <c r="D8" s="12">
        <v>207.1</v>
      </c>
      <c r="E8" s="12">
        <v>366.4</v>
      </c>
      <c r="F8" s="12">
        <v>418.9</v>
      </c>
      <c r="G8" s="63">
        <v>412.84746291494173</v>
      </c>
      <c r="I8" s="239"/>
    </row>
    <row r="9" spans="1:9">
      <c r="A9" s="60" t="s">
        <v>168</v>
      </c>
      <c r="B9" s="239">
        <v>30.798412880965607</v>
      </c>
      <c r="C9" s="239">
        <v>46.68</v>
      </c>
      <c r="D9" s="239">
        <v>50.6</v>
      </c>
      <c r="E9" s="239">
        <v>56.72</v>
      </c>
      <c r="F9" s="239">
        <v>56.88</v>
      </c>
      <c r="G9" s="239">
        <v>55.23</v>
      </c>
      <c r="I9" s="539"/>
    </row>
    <row r="10" spans="1:9">
      <c r="A10" s="60" t="s">
        <v>119</v>
      </c>
      <c r="B10" s="12"/>
      <c r="C10" s="12">
        <v>46.1</v>
      </c>
      <c r="D10" s="12">
        <v>103.1</v>
      </c>
      <c r="E10" s="12">
        <v>197.7</v>
      </c>
      <c r="F10" s="12">
        <v>198.3</v>
      </c>
      <c r="G10" s="239">
        <v>206.49</v>
      </c>
      <c r="H10" s="64"/>
      <c r="I10" s="239"/>
    </row>
    <row r="11" spans="1:9">
      <c r="A11" s="60" t="s">
        <v>104</v>
      </c>
      <c r="B11" s="239">
        <v>46.2</v>
      </c>
      <c r="C11" s="239">
        <v>60.57</v>
      </c>
      <c r="D11" s="239">
        <v>47.88</v>
      </c>
      <c r="E11" s="239">
        <v>119.49</v>
      </c>
      <c r="F11" s="239">
        <v>82.66</v>
      </c>
      <c r="G11" s="239">
        <v>63.5</v>
      </c>
      <c r="I11" s="239"/>
    </row>
    <row r="12" spans="1:9">
      <c r="A12" s="60" t="s">
        <v>88</v>
      </c>
      <c r="B12" s="239">
        <v>49.697819514731499</v>
      </c>
      <c r="C12" s="239">
        <v>75.63</v>
      </c>
      <c r="D12" s="239">
        <v>84.63</v>
      </c>
      <c r="E12" s="239">
        <v>105.15</v>
      </c>
      <c r="F12" s="239">
        <v>111.70138519323147</v>
      </c>
      <c r="G12" s="239">
        <v>113.43883269867213</v>
      </c>
    </row>
    <row r="13" spans="1:9">
      <c r="A13" s="60" t="s">
        <v>447</v>
      </c>
      <c r="B13" s="239">
        <v>6.16</v>
      </c>
      <c r="C13" s="239">
        <v>21.44</v>
      </c>
      <c r="D13" s="239">
        <v>22.29</v>
      </c>
      <c r="E13" s="239">
        <v>27.45</v>
      </c>
      <c r="F13" s="239">
        <v>27.64</v>
      </c>
      <c r="G13" s="239">
        <v>31.18</v>
      </c>
    </row>
    <row r="14" spans="1:9">
      <c r="A14" s="60" t="s">
        <v>448</v>
      </c>
      <c r="B14" s="12">
        <v>99.9</v>
      </c>
      <c r="C14" s="12">
        <v>86.9</v>
      </c>
      <c r="D14" s="12">
        <v>124.3</v>
      </c>
      <c r="E14" s="12">
        <v>165.2</v>
      </c>
      <c r="F14" s="12">
        <v>94.7</v>
      </c>
      <c r="G14" s="97">
        <v>61.6</v>
      </c>
    </row>
    <row r="15" spans="1:9">
      <c r="A15" s="60" t="s">
        <v>152</v>
      </c>
      <c r="B15" s="239">
        <v>110.6</v>
      </c>
      <c r="C15" s="239">
        <v>65.7</v>
      </c>
      <c r="D15" s="12"/>
      <c r="E15" s="12"/>
      <c r="F15" s="12"/>
    </row>
    <row r="16" spans="1:9">
      <c r="A16" s="60" t="s">
        <v>92</v>
      </c>
      <c r="B16" s="239">
        <v>41.9</v>
      </c>
      <c r="C16" s="2">
        <v>54.32</v>
      </c>
      <c r="D16" s="239">
        <v>48.67</v>
      </c>
      <c r="E16" s="239">
        <v>66.09</v>
      </c>
      <c r="F16" s="239">
        <v>72.88</v>
      </c>
      <c r="G16" s="239">
        <v>73.209999999999994</v>
      </c>
    </row>
    <row r="17" spans="1:7">
      <c r="A17" s="60" t="s">
        <v>95</v>
      </c>
      <c r="B17" s="239">
        <v>19.7</v>
      </c>
      <c r="C17" s="239">
        <v>42</v>
      </c>
      <c r="D17" s="239">
        <v>38.200000000000003</v>
      </c>
      <c r="E17" s="239">
        <v>85.7</v>
      </c>
      <c r="F17" s="239">
        <v>73.099999999999994</v>
      </c>
      <c r="G17" s="239">
        <v>75.3</v>
      </c>
    </row>
    <row r="18" spans="1:7">
      <c r="A18" s="60" t="s">
        <v>449</v>
      </c>
      <c r="B18" s="12"/>
      <c r="C18" s="12"/>
      <c r="D18" s="239">
        <v>54.19</v>
      </c>
      <c r="E18" s="239">
        <v>45.72</v>
      </c>
      <c r="F18" s="239">
        <v>48.4</v>
      </c>
      <c r="G18" s="239">
        <v>50.51</v>
      </c>
    </row>
    <row r="19" spans="1:7">
      <c r="A19" s="60" t="s">
        <v>89</v>
      </c>
      <c r="B19" s="239">
        <v>33.852528151077017</v>
      </c>
      <c r="C19" s="358">
        <v>49.43</v>
      </c>
      <c r="D19" s="239">
        <v>31.77</v>
      </c>
      <c r="E19" s="239">
        <v>51.11</v>
      </c>
      <c r="F19" s="239">
        <v>57.6</v>
      </c>
      <c r="G19" s="239">
        <v>64.319999999999993</v>
      </c>
    </row>
    <row r="20" spans="1:7">
      <c r="A20" s="60" t="s">
        <v>106</v>
      </c>
      <c r="B20" s="12"/>
      <c r="C20" s="12">
        <v>19.3</v>
      </c>
      <c r="D20" s="12">
        <v>24.1</v>
      </c>
      <c r="E20" s="12">
        <v>49.5</v>
      </c>
      <c r="F20" s="12">
        <v>58.9</v>
      </c>
      <c r="G20" s="155">
        <v>67.39</v>
      </c>
    </row>
    <row r="21" spans="1:7">
      <c r="A21" s="60" t="s">
        <v>450</v>
      </c>
      <c r="B21" s="12"/>
      <c r="C21" s="12"/>
      <c r="D21" s="239">
        <v>14.74</v>
      </c>
      <c r="E21" s="239">
        <v>21.1</v>
      </c>
      <c r="F21" s="239">
        <v>25.28</v>
      </c>
      <c r="G21" s="239">
        <v>29.64</v>
      </c>
    </row>
    <row r="22" spans="1:7">
      <c r="A22" s="60" t="s">
        <v>117</v>
      </c>
      <c r="B22" s="239">
        <v>21.31</v>
      </c>
      <c r="C22" s="239">
        <v>20.18</v>
      </c>
      <c r="D22" s="239">
        <v>18.18</v>
      </c>
      <c r="E22" s="239">
        <v>25.35</v>
      </c>
      <c r="F22" s="239">
        <v>32.17</v>
      </c>
      <c r="G22" s="239">
        <v>38.82</v>
      </c>
    </row>
    <row r="23" spans="1:7">
      <c r="A23" s="60" t="s">
        <v>451</v>
      </c>
      <c r="B23" s="239">
        <v>49.3</v>
      </c>
      <c r="C23" s="239">
        <v>50.8</v>
      </c>
      <c r="D23" s="239">
        <v>31.99</v>
      </c>
      <c r="E23" s="239">
        <v>26.14365282</v>
      </c>
      <c r="F23" s="239">
        <v>23.787500000000001</v>
      </c>
      <c r="G23" s="239">
        <v>21.512499999999999</v>
      </c>
    </row>
    <row r="24" spans="1:7">
      <c r="A24" s="60" t="s">
        <v>452</v>
      </c>
      <c r="B24" s="239">
        <v>29.9</v>
      </c>
      <c r="C24" s="239">
        <v>16.2</v>
      </c>
      <c r="D24" s="12"/>
      <c r="E24" s="12"/>
      <c r="F24" s="12"/>
    </row>
    <row r="25" spans="1:7">
      <c r="A25" s="60" t="s">
        <v>154</v>
      </c>
      <c r="B25" s="239">
        <v>26.101218515046121</v>
      </c>
      <c r="C25" s="239">
        <v>16.440000000000001</v>
      </c>
      <c r="D25" s="12"/>
      <c r="E25" s="12"/>
      <c r="F25" s="12"/>
    </row>
    <row r="26" spans="1:7">
      <c r="A26" s="60" t="s">
        <v>453</v>
      </c>
      <c r="B26" s="239">
        <v>14.228999999999999</v>
      </c>
      <c r="C26" s="239">
        <v>7.6</v>
      </c>
      <c r="D26" s="239">
        <v>7</v>
      </c>
      <c r="E26" s="239">
        <v>2.1192049050000001</v>
      </c>
      <c r="F26" s="239">
        <v>21.743999999999996</v>
      </c>
      <c r="G26" s="239">
        <v>16.23</v>
      </c>
    </row>
    <row r="27" spans="1:7">
      <c r="A27" s="60" t="s">
        <v>454</v>
      </c>
      <c r="B27" s="12"/>
      <c r="C27" s="12"/>
      <c r="D27" s="12"/>
      <c r="E27" s="239">
        <v>4.931226798</v>
      </c>
      <c r="F27" s="239">
        <v>9.3650000000000002</v>
      </c>
      <c r="G27" s="239">
        <v>9.3650000000000002</v>
      </c>
    </row>
    <row r="28" spans="1:7">
      <c r="A28" s="60" t="s">
        <v>455</v>
      </c>
      <c r="B28" s="12"/>
      <c r="C28" s="12"/>
      <c r="D28" s="239">
        <v>10.28</v>
      </c>
      <c r="E28" s="239">
        <v>17.514005919999999</v>
      </c>
      <c r="F28" s="239">
        <v>7.3199999999999994</v>
      </c>
      <c r="G28" s="239">
        <v>8.19</v>
      </c>
    </row>
    <row r="29" spans="1:7">
      <c r="A29" s="60" t="s">
        <v>456</v>
      </c>
      <c r="B29" s="12"/>
      <c r="C29" s="12">
        <v>18.3</v>
      </c>
      <c r="D29" s="12"/>
      <c r="E29" s="12"/>
      <c r="F29" s="12"/>
    </row>
    <row r="30" spans="1:7">
      <c r="A30" s="60" t="s">
        <v>457</v>
      </c>
      <c r="B30" s="239">
        <v>3.9</v>
      </c>
      <c r="C30" s="239">
        <v>2.2000000000000002</v>
      </c>
      <c r="D30" s="239">
        <v>2</v>
      </c>
      <c r="E30" s="239">
        <v>3.52</v>
      </c>
      <c r="F30" s="239">
        <v>3.78</v>
      </c>
      <c r="G30" s="239">
        <v>3.66</v>
      </c>
    </row>
    <row r="31" spans="1:7">
      <c r="A31" s="60"/>
      <c r="B31" s="12"/>
      <c r="C31" s="12"/>
      <c r="D31" s="12"/>
      <c r="E31" s="12"/>
      <c r="F31" s="12"/>
      <c r="G31" s="63"/>
    </row>
    <row r="32" spans="1:7">
      <c r="A32" s="73" t="s">
        <v>458</v>
      </c>
      <c r="B32" s="299">
        <v>3793</v>
      </c>
      <c r="C32" s="299">
        <v>7592</v>
      </c>
      <c r="D32" s="299">
        <v>9624</v>
      </c>
      <c r="E32" s="359">
        <v>14670.258851878738</v>
      </c>
      <c r="F32" s="359">
        <v>16680.144172375414</v>
      </c>
      <c r="G32" s="359">
        <v>18437.6937356733</v>
      </c>
    </row>
    <row r="33" spans="1:10">
      <c r="A33" s="308" t="s">
        <v>459</v>
      </c>
      <c r="B33" s="105">
        <v>66.21935143685738</v>
      </c>
      <c r="C33" s="105">
        <v>77.121970495258168</v>
      </c>
      <c r="D33" s="105">
        <v>79.519950124688279</v>
      </c>
      <c r="E33" s="105">
        <v>75.803706753107818</v>
      </c>
      <c r="F33" s="105">
        <v>74.450795338847996</v>
      </c>
      <c r="G33" s="105">
        <v>74.832381135716389</v>
      </c>
      <c r="H33" s="29"/>
    </row>
    <row r="34" spans="1:10">
      <c r="A34" s="73" t="s">
        <v>124</v>
      </c>
      <c r="B34" s="105">
        <v>72.4518850514105</v>
      </c>
      <c r="C34" s="105">
        <v>84.98419388830348</v>
      </c>
      <c r="D34" s="105">
        <v>90.246259351620949</v>
      </c>
      <c r="E34" s="105">
        <v>88.725769132104148</v>
      </c>
      <c r="F34" s="105">
        <v>91.417075550543444</v>
      </c>
      <c r="G34" s="105">
        <v>92.352859196600036</v>
      </c>
    </row>
    <row r="35" spans="1:10">
      <c r="A35" s="73" t="s">
        <v>125</v>
      </c>
      <c r="B35" s="105">
        <v>80.910897644761647</v>
      </c>
      <c r="C35" s="105">
        <v>90.172813487881982</v>
      </c>
      <c r="D35" s="105">
        <v>95.054758935993348</v>
      </c>
      <c r="E35" s="105">
        <v>95.356599643151483</v>
      </c>
      <c r="F35" s="105">
        <v>97.288495935597339</v>
      </c>
      <c r="G35" s="105">
        <v>97.498168090510731</v>
      </c>
    </row>
    <row r="36" spans="1:10">
      <c r="A36" s="73" t="s">
        <v>460</v>
      </c>
      <c r="B36" s="105">
        <v>12.751093568727136</v>
      </c>
      <c r="C36" s="105">
        <v>7.2114067439409908</v>
      </c>
      <c r="D36" s="105">
        <v>4.804862842892768</v>
      </c>
      <c r="E36" s="105">
        <v>4.4860018973606577</v>
      </c>
      <c r="F36" s="105">
        <v>3.9226752384841741</v>
      </c>
      <c r="G36" s="105">
        <v>3.5476580860712827</v>
      </c>
    </row>
    <row r="37" spans="1:10">
      <c r="A37" s="73" t="s">
        <v>359</v>
      </c>
      <c r="B37" s="105">
        <v>3058.0577574086551</v>
      </c>
      <c r="C37" s="105">
        <v>3272.4038588363492</v>
      </c>
      <c r="D37" s="105">
        <v>3419.5512407200699</v>
      </c>
      <c r="E37" s="105">
        <v>3274.1881734332956</v>
      </c>
      <c r="F37" s="105">
        <v>3283.0061196784068</v>
      </c>
      <c r="G37" s="105">
        <v>3297.6599744352702</v>
      </c>
    </row>
    <row r="38" spans="1:10">
      <c r="A38" s="11"/>
      <c r="B38" s="11"/>
      <c r="C38" s="11"/>
      <c r="D38" s="11"/>
      <c r="E38" s="11"/>
      <c r="F38" s="11"/>
    </row>
    <row r="39" spans="1:10">
      <c r="A39" s="11"/>
      <c r="B39" s="11"/>
      <c r="C39" s="11"/>
      <c r="D39" s="11"/>
      <c r="E39" s="11"/>
      <c r="F39" s="11"/>
    </row>
    <row r="40" spans="1:10">
      <c r="A40" s="11"/>
      <c r="B40" s="11"/>
      <c r="C40" s="11"/>
      <c r="D40" s="12"/>
      <c r="E40" s="12"/>
      <c r="F40" s="12"/>
    </row>
    <row r="41" spans="1:10">
      <c r="A41" s="41"/>
      <c r="B41" s="11"/>
      <c r="C41" s="11"/>
      <c r="D41" s="11"/>
      <c r="E41" s="11"/>
      <c r="F41" s="11"/>
    </row>
    <row r="42" spans="1:10">
      <c r="A42" s="11"/>
      <c r="B42" s="11"/>
      <c r="C42" s="11"/>
      <c r="D42" s="11"/>
      <c r="E42" s="11"/>
      <c r="F42" s="11"/>
    </row>
    <row r="43" spans="1:10">
      <c r="A43" s="11"/>
      <c r="B43" s="11"/>
      <c r="C43" s="11"/>
      <c r="D43" s="11"/>
      <c r="E43" s="11"/>
      <c r="F43" s="11"/>
    </row>
    <row r="44" spans="1:10">
      <c r="A44" s="11"/>
      <c r="B44" s="1"/>
      <c r="C44" s="1"/>
      <c r="D44" s="1"/>
      <c r="E44" s="1"/>
      <c r="F44" s="1"/>
      <c r="G44" s="1"/>
    </row>
    <row r="45" spans="1:10">
      <c r="A45" s="60"/>
      <c r="B45" s="75"/>
      <c r="C45" s="75"/>
      <c r="D45" s="75"/>
      <c r="E45" s="75"/>
      <c r="F45" s="75"/>
      <c r="G45" s="75"/>
      <c r="J45" s="239"/>
    </row>
    <row r="46" spans="1:10">
      <c r="A46" s="60"/>
      <c r="B46" s="75"/>
      <c r="C46" s="75"/>
      <c r="D46" s="75"/>
      <c r="E46" s="75"/>
      <c r="F46" s="75"/>
      <c r="G46" s="75"/>
      <c r="H46" s="21"/>
      <c r="J46" s="239"/>
    </row>
    <row r="47" spans="1:10">
      <c r="A47" s="60"/>
      <c r="B47" s="75"/>
      <c r="C47" s="75"/>
      <c r="D47" s="75"/>
      <c r="E47" s="75"/>
      <c r="F47" s="75"/>
      <c r="G47" s="75"/>
      <c r="H47" s="21"/>
      <c r="J47" s="239"/>
    </row>
    <row r="48" spans="1:10">
      <c r="A48" s="60"/>
      <c r="B48" s="75"/>
      <c r="C48" s="75"/>
      <c r="D48" s="75"/>
      <c r="E48" s="75"/>
      <c r="F48" s="75"/>
      <c r="G48" s="75"/>
      <c r="J48" s="239"/>
    </row>
    <row r="49" spans="1:10">
      <c r="A49" s="60"/>
      <c r="B49" s="75"/>
      <c r="C49" s="75"/>
      <c r="D49" s="75"/>
      <c r="E49" s="75"/>
      <c r="F49" s="75"/>
      <c r="G49" s="75"/>
      <c r="J49" s="63"/>
    </row>
    <row r="50" spans="1:10">
      <c r="A50" s="60"/>
      <c r="B50" s="75"/>
      <c r="C50" s="75"/>
      <c r="D50" s="75"/>
      <c r="E50" s="75"/>
      <c r="F50" s="75"/>
      <c r="G50" s="75"/>
      <c r="J50" s="239"/>
    </row>
    <row r="51" spans="1:10">
      <c r="A51" s="60"/>
      <c r="B51" s="75"/>
      <c r="C51" s="75"/>
      <c r="D51" s="75"/>
      <c r="E51" s="75"/>
      <c r="F51" s="75"/>
      <c r="G51" s="75"/>
      <c r="J51" s="239"/>
    </row>
    <row r="52" spans="1:10">
      <c r="A52" s="60"/>
      <c r="B52" s="75"/>
      <c r="C52" s="75"/>
      <c r="D52" s="75"/>
      <c r="E52" s="75"/>
      <c r="F52" s="75"/>
      <c r="G52" s="75"/>
      <c r="J52" s="239"/>
    </row>
    <row r="53" spans="1:10">
      <c r="A53" s="60"/>
      <c r="B53" s="75"/>
      <c r="C53" s="75"/>
      <c r="D53" s="75"/>
      <c r="E53" s="75"/>
      <c r="F53" s="75"/>
      <c r="G53" s="75"/>
      <c r="J53" s="239"/>
    </row>
    <row r="54" spans="1:10">
      <c r="A54" s="60"/>
      <c r="B54" s="75"/>
      <c r="C54" s="75"/>
      <c r="D54" s="75"/>
      <c r="E54" s="75"/>
      <c r="F54" s="75"/>
      <c r="G54" s="75"/>
      <c r="J54" s="155"/>
    </row>
    <row r="55" spans="1:10">
      <c r="A55" s="60"/>
      <c r="B55" s="75"/>
      <c r="C55" s="75"/>
      <c r="D55" s="75"/>
      <c r="E55" s="75"/>
      <c r="F55" s="75"/>
      <c r="G55" s="75"/>
      <c r="J55" s="239"/>
    </row>
    <row r="56" spans="1:10">
      <c r="A56" s="60"/>
      <c r="B56" s="75"/>
      <c r="C56" s="75"/>
      <c r="D56" s="75"/>
      <c r="E56" s="75"/>
      <c r="F56" s="75"/>
      <c r="G56" s="75"/>
      <c r="J56" s="239"/>
    </row>
    <row r="57" spans="1:10">
      <c r="A57" s="60"/>
      <c r="B57" s="75"/>
      <c r="C57" s="75"/>
      <c r="D57" s="75"/>
      <c r="E57" s="75"/>
      <c r="F57" s="75"/>
      <c r="G57" s="75"/>
      <c r="J57" s="239"/>
    </row>
    <row r="58" spans="1:10">
      <c r="A58" s="60"/>
      <c r="B58" s="75"/>
      <c r="C58" s="75"/>
      <c r="D58" s="75"/>
      <c r="E58" s="75"/>
      <c r="F58" s="75"/>
      <c r="G58" s="75"/>
      <c r="J58" s="239"/>
    </row>
    <row r="59" spans="1:10">
      <c r="A59" s="60"/>
      <c r="B59" s="75"/>
      <c r="C59" s="75"/>
      <c r="D59" s="75"/>
      <c r="E59" s="75"/>
      <c r="F59" s="75"/>
      <c r="G59" s="75"/>
      <c r="J59" s="239"/>
    </row>
    <row r="60" spans="1:10">
      <c r="A60" s="60"/>
      <c r="B60" s="75"/>
      <c r="C60" s="75"/>
      <c r="D60" s="75"/>
      <c r="E60" s="75"/>
      <c r="F60" s="75"/>
      <c r="G60" s="75"/>
      <c r="J60" s="239"/>
    </row>
    <row r="61" spans="1:10">
      <c r="A61" s="60"/>
      <c r="B61" s="75"/>
      <c r="C61" s="75"/>
      <c r="D61" s="75"/>
      <c r="E61" s="75"/>
      <c r="F61" s="75"/>
      <c r="G61" s="75"/>
      <c r="J61" s="239"/>
    </row>
    <row r="62" spans="1:10">
      <c r="A62" s="60"/>
      <c r="B62" s="75"/>
      <c r="C62" s="75"/>
      <c r="D62" s="75"/>
      <c r="E62" s="75"/>
      <c r="F62" s="75"/>
      <c r="G62" s="75"/>
      <c r="J62" s="239"/>
    </row>
    <row r="63" spans="1:10">
      <c r="A63" s="60"/>
      <c r="B63" s="75"/>
      <c r="C63" s="75"/>
      <c r="D63" s="75"/>
      <c r="E63" s="75"/>
      <c r="F63" s="75"/>
      <c r="G63" s="75"/>
      <c r="J63" s="239"/>
    </row>
    <row r="64" spans="1:10">
      <c r="A64" s="60"/>
      <c r="B64" s="75"/>
      <c r="C64" s="75"/>
      <c r="D64" s="75"/>
      <c r="E64" s="75"/>
      <c r="F64" s="75"/>
      <c r="G64" s="75"/>
      <c r="J64" s="239"/>
    </row>
    <row r="65" spans="1:10">
      <c r="A65" s="60"/>
      <c r="B65" s="75"/>
      <c r="C65" s="75"/>
      <c r="D65" s="75"/>
      <c r="E65" s="75"/>
      <c r="F65" s="75"/>
      <c r="G65" s="75"/>
      <c r="J65" s="239"/>
    </row>
    <row r="66" spans="1:10">
      <c r="A66" s="60"/>
      <c r="B66" s="75"/>
      <c r="C66" s="75"/>
      <c r="D66" s="75"/>
      <c r="E66" s="75"/>
      <c r="F66" s="75"/>
      <c r="G66" s="75"/>
      <c r="J66" s="239"/>
    </row>
    <row r="67" spans="1:10">
      <c r="A67" s="60"/>
      <c r="B67" s="75"/>
      <c r="C67" s="75"/>
      <c r="D67" s="75"/>
      <c r="E67" s="75"/>
      <c r="F67" s="75"/>
      <c r="G67" s="75"/>
      <c r="J67" s="239"/>
    </row>
    <row r="68" spans="1:10">
      <c r="A68" s="60"/>
      <c r="B68" s="75"/>
      <c r="C68" s="75"/>
      <c r="D68" s="75"/>
      <c r="E68" s="75"/>
      <c r="F68" s="75"/>
      <c r="G68" s="75"/>
      <c r="J68" s="239"/>
    </row>
    <row r="69" spans="1:10">
      <c r="A69" s="60"/>
      <c r="B69" s="75"/>
      <c r="C69" s="75"/>
      <c r="D69" s="75"/>
      <c r="E69" s="75"/>
      <c r="F69" s="75"/>
      <c r="G69" s="75"/>
      <c r="J69" s="63"/>
    </row>
    <row r="70" spans="1:10">
      <c r="A70" s="60"/>
      <c r="B70" s="75"/>
      <c r="C70" s="75"/>
      <c r="D70" s="75"/>
      <c r="E70" s="75"/>
      <c r="F70" s="75"/>
      <c r="G70" s="75"/>
    </row>
    <row r="71" spans="1:10">
      <c r="A71" s="60"/>
      <c r="B71" s="75"/>
      <c r="C71" s="75"/>
      <c r="D71" s="75"/>
      <c r="E71" s="75"/>
      <c r="F71" s="75"/>
      <c r="G71" s="75"/>
      <c r="I71" s="6"/>
    </row>
    <row r="72" spans="1:10" ht="17" customHeight="1">
      <c r="A72" s="60"/>
      <c r="B72" s="75"/>
      <c r="C72" s="75"/>
      <c r="D72" s="75"/>
      <c r="E72" s="75"/>
      <c r="F72" s="75"/>
      <c r="G72" s="75"/>
    </row>
    <row r="73" spans="1:10">
      <c r="A73" s="31"/>
      <c r="B73" s="247"/>
      <c r="C73" s="247"/>
      <c r="D73" s="247"/>
      <c r="E73" s="247"/>
      <c r="F73" s="247"/>
      <c r="G73" s="247"/>
      <c r="H73" s="29"/>
    </row>
    <row r="74" spans="1:10">
      <c r="A74" s="11"/>
      <c r="B74" s="75"/>
      <c r="C74" s="75"/>
      <c r="D74" s="75"/>
      <c r="E74" s="75"/>
      <c r="F74" s="75"/>
      <c r="G74" s="75"/>
      <c r="H74" s="12"/>
    </row>
    <row r="75" spans="1:10">
      <c r="A75" s="11"/>
      <c r="B75" s="75"/>
      <c r="C75" s="75"/>
      <c r="D75" s="75"/>
      <c r="E75" s="75"/>
      <c r="F75" s="75"/>
      <c r="G75" s="75"/>
    </row>
    <row r="76" spans="1:10">
      <c r="A76" s="11"/>
      <c r="B76" s="75"/>
      <c r="C76" s="75"/>
      <c r="D76" s="75"/>
      <c r="E76" s="75"/>
      <c r="F76" s="75"/>
      <c r="G76" s="75"/>
    </row>
    <row r="77" spans="1:10">
      <c r="A77" s="11"/>
      <c r="B77" s="75"/>
      <c r="C77" s="75"/>
      <c r="D77" s="75"/>
      <c r="E77" s="75"/>
      <c r="F77" s="75"/>
      <c r="G77" s="75"/>
    </row>
  </sheetData>
  <mergeCells count="1">
    <mergeCell ref="A1:F1"/>
  </mergeCells>
  <pageMargins left="0.7" right="0.7" top="0.75" bottom="0.75" header="0.3" footer="0.3"/>
  <pageSetup orientation="portrait" horizontalDpi="0" verticalDpi="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C9A995-F9D5-B745-8DA3-0EEC95F69A8D}">
  <sheetPr>
    <tabColor rgb="FFFFC000"/>
  </sheetPr>
  <dimension ref="A1:Q16"/>
  <sheetViews>
    <sheetView zoomScaleNormal="100" workbookViewId="0">
      <pane xSplit="1" ySplit="2" topLeftCell="B3" activePane="bottomRight" state="frozen"/>
      <selection pane="topRight" activeCell="B1" sqref="B1"/>
      <selection pane="bottomLeft" activeCell="A3" sqref="A3"/>
      <selection pane="bottomRight" activeCell="B9" sqref="B9"/>
    </sheetView>
  </sheetViews>
  <sheetFormatPr baseColWidth="10" defaultColWidth="11" defaultRowHeight="16"/>
  <sheetData>
    <row r="1" spans="1:17" ht="18">
      <c r="A1" s="639" t="s">
        <v>1095</v>
      </c>
      <c r="B1" s="639"/>
      <c r="C1" s="639"/>
      <c r="D1" s="639"/>
      <c r="E1" s="639"/>
      <c r="F1" s="639"/>
      <c r="G1" s="639"/>
      <c r="H1" s="639"/>
      <c r="I1" s="639"/>
      <c r="J1" s="639"/>
      <c r="K1" s="3"/>
      <c r="L1" s="3"/>
      <c r="M1" s="3"/>
      <c r="N1" s="3"/>
      <c r="O1" s="3"/>
      <c r="P1" s="3"/>
    </row>
    <row r="2" spans="1:17">
      <c r="A2" s="3"/>
      <c r="B2" s="4">
        <v>2009</v>
      </c>
      <c r="C2" s="4">
        <v>2010</v>
      </c>
      <c r="D2" s="4">
        <v>2011</v>
      </c>
      <c r="E2" s="4">
        <v>2012</v>
      </c>
      <c r="F2" s="4">
        <v>2013</v>
      </c>
      <c r="G2" s="4">
        <v>2014</v>
      </c>
      <c r="H2" s="4">
        <v>2015</v>
      </c>
      <c r="I2" s="4">
        <v>2016</v>
      </c>
      <c r="J2" s="4">
        <v>2017</v>
      </c>
      <c r="K2" s="4">
        <v>2018</v>
      </c>
      <c r="L2" s="4">
        <v>2019</v>
      </c>
      <c r="M2" s="4">
        <v>2020</v>
      </c>
      <c r="N2" s="4">
        <v>2021</v>
      </c>
      <c r="O2" s="4">
        <v>2022</v>
      </c>
      <c r="P2" s="4">
        <v>2023</v>
      </c>
      <c r="Q2" s="7">
        <v>2024</v>
      </c>
    </row>
    <row r="3" spans="1:17">
      <c r="A3" s="5" t="s">
        <v>461</v>
      </c>
      <c r="B3" s="89">
        <v>91.58</v>
      </c>
      <c r="C3" s="89">
        <v>92.66</v>
      </c>
      <c r="D3" s="89">
        <v>91.83</v>
      </c>
      <c r="E3" s="89">
        <v>91.21</v>
      </c>
      <c r="F3" s="89">
        <v>89.06</v>
      </c>
      <c r="G3" s="89">
        <v>87.96</v>
      </c>
      <c r="H3" s="89">
        <v>87.59</v>
      </c>
      <c r="I3" s="89">
        <v>87.91</v>
      </c>
      <c r="J3" s="89">
        <v>85.95</v>
      </c>
      <c r="K3" s="89">
        <v>86.6</v>
      </c>
      <c r="L3" s="89">
        <v>87.93</v>
      </c>
      <c r="M3" s="89">
        <v>86.71</v>
      </c>
      <c r="N3" s="89">
        <v>86.68</v>
      </c>
      <c r="O3" s="89">
        <v>84.68</v>
      </c>
      <c r="P3" s="89">
        <v>85.46</v>
      </c>
      <c r="Q3">
        <v>81.56</v>
      </c>
    </row>
    <row r="4" spans="1:17">
      <c r="A4" s="5" t="s">
        <v>462</v>
      </c>
      <c r="B4" s="89">
        <v>2.89</v>
      </c>
      <c r="C4" s="89">
        <v>3.96</v>
      </c>
      <c r="D4" s="89">
        <v>4.79</v>
      </c>
      <c r="E4" s="89">
        <v>5.64</v>
      </c>
      <c r="F4" s="89">
        <v>7.15</v>
      </c>
      <c r="G4" s="89">
        <v>7.03</v>
      </c>
      <c r="H4" s="89">
        <v>6.69</v>
      </c>
      <c r="I4" s="89">
        <v>7.76</v>
      </c>
      <c r="J4" s="89">
        <v>9.0299999999999994</v>
      </c>
      <c r="K4" s="89">
        <v>8.86</v>
      </c>
      <c r="L4" s="89">
        <v>7.87</v>
      </c>
      <c r="M4" s="89">
        <v>9.06</v>
      </c>
      <c r="N4" s="89">
        <v>9.11</v>
      </c>
      <c r="O4" s="89">
        <v>11.02</v>
      </c>
      <c r="P4" s="89">
        <v>10.6</v>
      </c>
      <c r="Q4">
        <v>13.58</v>
      </c>
    </row>
    <row r="5" spans="1:17">
      <c r="A5" s="5" t="s">
        <v>463</v>
      </c>
      <c r="B5" s="89">
        <v>3.52</v>
      </c>
      <c r="C5" s="89">
        <v>2.65</v>
      </c>
      <c r="D5" s="89">
        <v>2.62</v>
      </c>
      <c r="E5" s="89">
        <v>2.4300000000000002</v>
      </c>
      <c r="F5" s="89">
        <v>2.83</v>
      </c>
      <c r="G5" s="89">
        <v>3.65</v>
      </c>
      <c r="H5" s="89">
        <v>4.7</v>
      </c>
      <c r="I5" s="89">
        <v>3.34</v>
      </c>
      <c r="J5" s="89"/>
      <c r="K5" s="89"/>
      <c r="L5" s="89"/>
      <c r="M5" s="89"/>
      <c r="N5" s="89"/>
      <c r="O5" s="89"/>
      <c r="P5" s="89"/>
    </row>
    <row r="6" spans="1:17">
      <c r="A6" s="5" t="s">
        <v>464</v>
      </c>
      <c r="B6" s="89"/>
      <c r="C6" s="89"/>
      <c r="D6" s="89"/>
      <c r="E6" s="89"/>
      <c r="F6" s="89"/>
      <c r="G6" s="89"/>
      <c r="H6" s="89"/>
      <c r="I6" s="89"/>
      <c r="J6" s="89">
        <v>3.79</v>
      </c>
      <c r="K6" s="89">
        <v>3.07</v>
      </c>
      <c r="L6" s="89">
        <v>2.89</v>
      </c>
      <c r="M6" s="89">
        <v>2.73</v>
      </c>
      <c r="N6" s="89">
        <v>2.5</v>
      </c>
      <c r="O6" s="89">
        <v>2.4700000000000002</v>
      </c>
      <c r="P6" s="89">
        <v>2.44</v>
      </c>
      <c r="Q6">
        <v>3.15</v>
      </c>
    </row>
    <row r="7" spans="1:17">
      <c r="A7" s="5" t="s">
        <v>465</v>
      </c>
      <c r="B7" s="89">
        <v>0</v>
      </c>
      <c r="C7" s="89">
        <v>0</v>
      </c>
      <c r="D7" s="89">
        <v>0</v>
      </c>
      <c r="E7" s="89">
        <v>0.01</v>
      </c>
      <c r="F7" s="89">
        <v>0.02</v>
      </c>
      <c r="G7" s="89">
        <v>0.11</v>
      </c>
      <c r="H7" s="89">
        <v>0.28999999999999998</v>
      </c>
      <c r="I7" s="89">
        <v>0.32</v>
      </c>
      <c r="J7" s="89">
        <v>0.56999999999999995</v>
      </c>
      <c r="K7" s="89">
        <v>0.56000000000000005</v>
      </c>
      <c r="L7" s="89">
        <v>0.79</v>
      </c>
      <c r="M7" s="89">
        <v>0.96</v>
      </c>
      <c r="N7" s="89">
        <v>1.28</v>
      </c>
      <c r="O7" s="89">
        <v>1.34</v>
      </c>
      <c r="P7" s="89">
        <v>1.05</v>
      </c>
      <c r="Q7">
        <v>1.24</v>
      </c>
    </row>
    <row r="8" spans="1:17">
      <c r="A8" s="5" t="s">
        <v>466</v>
      </c>
      <c r="B8" s="89">
        <v>0.35</v>
      </c>
      <c r="C8" s="89">
        <v>0.48</v>
      </c>
      <c r="D8" s="89">
        <v>0.4</v>
      </c>
      <c r="E8" s="89">
        <v>0.36</v>
      </c>
      <c r="F8" s="89">
        <v>0.33</v>
      </c>
      <c r="G8" s="89">
        <v>0.35</v>
      </c>
      <c r="H8" s="89">
        <v>0.22</v>
      </c>
      <c r="I8" s="89">
        <v>0.06</v>
      </c>
      <c r="J8" s="89">
        <v>0.03</v>
      </c>
      <c r="K8" s="89">
        <v>0.01</v>
      </c>
      <c r="L8" s="89">
        <v>0.01</v>
      </c>
      <c r="M8" s="89">
        <v>0.01</v>
      </c>
      <c r="N8" s="89">
        <v>0.01</v>
      </c>
      <c r="O8" s="89">
        <v>0.03</v>
      </c>
      <c r="P8" s="89">
        <v>0</v>
      </c>
    </row>
    <row r="9" spans="1:17">
      <c r="A9" s="5" t="s">
        <v>467</v>
      </c>
      <c r="B9" s="89">
        <v>0.12</v>
      </c>
      <c r="C9" s="89">
        <v>0.11</v>
      </c>
      <c r="D9" s="89">
        <v>7.0000000000000007E-2</v>
      </c>
      <c r="E9" s="89">
        <v>0.04</v>
      </c>
      <c r="F9" s="89">
        <v>0.13</v>
      </c>
      <c r="G9" s="89">
        <v>0.25</v>
      </c>
      <c r="H9" s="89">
        <v>7.0000000000000007E-2</v>
      </c>
      <c r="I9" s="89">
        <v>0.03</v>
      </c>
      <c r="J9" s="89">
        <v>0.03</v>
      </c>
      <c r="K9" s="89">
        <v>0.01</v>
      </c>
      <c r="L9" s="89">
        <v>0.01</v>
      </c>
      <c r="M9" s="89">
        <v>0</v>
      </c>
      <c r="N9" s="89">
        <v>0</v>
      </c>
      <c r="O9" s="89">
        <v>0</v>
      </c>
      <c r="P9" s="89">
        <v>0</v>
      </c>
    </row>
    <row r="10" spans="1:17">
      <c r="A10" s="5" t="s">
        <v>468</v>
      </c>
      <c r="B10" s="89">
        <v>0.01</v>
      </c>
      <c r="C10" s="89">
        <v>0.02</v>
      </c>
      <c r="D10" s="89">
        <v>0.01</v>
      </c>
      <c r="E10" s="89">
        <v>0.02</v>
      </c>
      <c r="F10" s="89">
        <v>0.06</v>
      </c>
      <c r="G10" s="89">
        <v>0.06</v>
      </c>
      <c r="H10" s="89">
        <v>0.06</v>
      </c>
      <c r="I10" s="89">
        <v>0.06</v>
      </c>
      <c r="J10" s="89">
        <v>0.11</v>
      </c>
      <c r="K10" s="89">
        <v>0.08</v>
      </c>
      <c r="L10" s="89">
        <v>0.03</v>
      </c>
      <c r="M10" s="89">
        <v>0.03</v>
      </c>
      <c r="N10" s="89">
        <v>0.02</v>
      </c>
      <c r="O10" s="89">
        <v>0.05</v>
      </c>
      <c r="P10" s="89">
        <v>0.05</v>
      </c>
      <c r="Q10">
        <v>0.03</v>
      </c>
    </row>
    <row r="11" spans="1:17">
      <c r="A11" s="5" t="s">
        <v>469</v>
      </c>
      <c r="B11" s="89"/>
      <c r="C11" s="89"/>
      <c r="D11" s="89"/>
      <c r="E11" s="89"/>
      <c r="F11" s="89"/>
      <c r="G11" s="89"/>
      <c r="H11" s="89"/>
      <c r="I11" s="89"/>
      <c r="J11" s="89"/>
      <c r="K11" s="89">
        <v>0.2</v>
      </c>
      <c r="L11" s="89">
        <v>0</v>
      </c>
      <c r="M11" s="89">
        <v>0.05</v>
      </c>
      <c r="N11" s="89">
        <v>6.5000000000000002E-2</v>
      </c>
      <c r="O11" s="89">
        <v>0.1</v>
      </c>
      <c r="P11">
        <v>0.17</v>
      </c>
      <c r="Q11">
        <v>0.21</v>
      </c>
    </row>
    <row r="12" spans="1:17">
      <c r="A12" s="5" t="s">
        <v>470</v>
      </c>
      <c r="B12" s="89">
        <v>0.05</v>
      </c>
      <c r="C12" s="89">
        <v>0.03</v>
      </c>
      <c r="D12" s="89">
        <v>0.04</v>
      </c>
      <c r="E12" s="89">
        <v>0.05</v>
      </c>
      <c r="F12" s="89">
        <v>0.04</v>
      </c>
      <c r="G12" s="89">
        <v>0.05</v>
      </c>
      <c r="H12" s="89">
        <v>0.03</v>
      </c>
      <c r="I12" s="89">
        <v>0.06</v>
      </c>
      <c r="J12" s="89">
        <v>0.06</v>
      </c>
      <c r="K12" s="89">
        <v>0</v>
      </c>
      <c r="L12" s="89">
        <v>0</v>
      </c>
      <c r="M12" s="89">
        <v>0</v>
      </c>
      <c r="N12" s="89">
        <v>0</v>
      </c>
      <c r="O12" s="89">
        <v>0</v>
      </c>
      <c r="P12" s="89">
        <v>0.01</v>
      </c>
    </row>
    <row r="13" spans="1:17">
      <c r="A13" s="5" t="s">
        <v>121</v>
      </c>
      <c r="B13" s="89">
        <f t="shared" ref="B13:P13" si="0">100-(B3+B4+B5+B6+B7+B8+B9+B10+B11+B12)</f>
        <v>1.480000000000004</v>
      </c>
      <c r="C13" s="89">
        <f t="shared" si="0"/>
        <v>9.0000000000003411E-2</v>
      </c>
      <c r="D13" s="89">
        <f t="shared" si="0"/>
        <v>0.23999999999998067</v>
      </c>
      <c r="E13" s="89">
        <f t="shared" si="0"/>
        <v>0.23999999999999488</v>
      </c>
      <c r="F13" s="89">
        <f t="shared" si="0"/>
        <v>0.37999999999999545</v>
      </c>
      <c r="G13" s="89">
        <f t="shared" si="0"/>
        <v>0.54000000000000625</v>
      </c>
      <c r="H13" s="89">
        <f t="shared" si="0"/>
        <v>0.34999999999999432</v>
      </c>
      <c r="I13" s="89">
        <f t="shared" si="0"/>
        <v>0.45999999999999375</v>
      </c>
      <c r="J13" s="89">
        <f t="shared" si="0"/>
        <v>0.42999999999999261</v>
      </c>
      <c r="K13" s="89">
        <f t="shared" si="0"/>
        <v>0.60999999999999943</v>
      </c>
      <c r="L13" s="89">
        <f t="shared" si="0"/>
        <v>0.46999999999997044</v>
      </c>
      <c r="M13" s="89">
        <f t="shared" si="0"/>
        <v>0.45000000000000284</v>
      </c>
      <c r="N13" s="89">
        <f t="shared" si="0"/>
        <v>0.33499999999999375</v>
      </c>
      <c r="O13" s="89">
        <f t="shared" si="0"/>
        <v>0.31000000000000227</v>
      </c>
      <c r="P13" s="89">
        <f t="shared" si="0"/>
        <v>0.22000000000001307</v>
      </c>
      <c r="Q13">
        <v>0.24000000000000002</v>
      </c>
    </row>
    <row r="14" spans="1:17">
      <c r="A14" s="90" t="s">
        <v>124</v>
      </c>
      <c r="B14" s="91">
        <f t="shared" ref="B14:I14" si="1">B3+B4+B5+B8</f>
        <v>98.339999999999989</v>
      </c>
      <c r="C14" s="91">
        <f t="shared" si="1"/>
        <v>99.75</v>
      </c>
      <c r="D14" s="91">
        <f t="shared" si="1"/>
        <v>99.640000000000015</v>
      </c>
      <c r="E14" s="91">
        <f t="shared" si="1"/>
        <v>99.64</v>
      </c>
      <c r="F14" s="91">
        <f t="shared" si="1"/>
        <v>99.37</v>
      </c>
      <c r="G14" s="91">
        <f t="shared" si="1"/>
        <v>98.99</v>
      </c>
      <c r="H14" s="91">
        <f t="shared" si="1"/>
        <v>99.2</v>
      </c>
      <c r="I14" s="91">
        <f t="shared" si="1"/>
        <v>99.070000000000007</v>
      </c>
      <c r="J14" s="91">
        <f t="shared" ref="J14:O14" si="2">J3+J4+J6+J7</f>
        <v>99.34</v>
      </c>
      <c r="K14" s="91">
        <f t="shared" si="2"/>
        <v>99.089999999999989</v>
      </c>
      <c r="L14" s="91">
        <f t="shared" si="2"/>
        <v>99.480000000000018</v>
      </c>
      <c r="M14" s="91">
        <f t="shared" si="2"/>
        <v>99.46</v>
      </c>
      <c r="N14" s="91">
        <f t="shared" si="2"/>
        <v>99.570000000000007</v>
      </c>
      <c r="O14" s="91">
        <f t="shared" si="2"/>
        <v>99.51</v>
      </c>
      <c r="P14" s="91">
        <f>P3+P4+P6+P7</f>
        <v>99.549999999999983</v>
      </c>
      <c r="Q14" s="91">
        <f>Q3+Q4+Q6+Q7</f>
        <v>99.53</v>
      </c>
    </row>
    <row r="15" spans="1:17">
      <c r="A15" s="90" t="s">
        <v>359</v>
      </c>
      <c r="B15" s="91">
        <f t="shared" ref="B15:Q15" si="3">SUMSQ(B3,B4,B5,B6,B7,B8,B9,B10,B11,B12)</f>
        <v>8407.7783999999992</v>
      </c>
      <c r="C15" s="91">
        <f t="shared" si="3"/>
        <v>8608.8234999999986</v>
      </c>
      <c r="D15" s="91">
        <f t="shared" si="3"/>
        <v>8462.7240000000002</v>
      </c>
      <c r="E15" s="91">
        <f t="shared" si="3"/>
        <v>8357.112799999999</v>
      </c>
      <c r="F15" s="91">
        <f t="shared" si="3"/>
        <v>7990.9463999999998</v>
      </c>
      <c r="G15" s="91">
        <f t="shared" si="3"/>
        <v>7799.9081999999989</v>
      </c>
      <c r="H15" s="91">
        <f t="shared" si="3"/>
        <v>7738.9961000000003</v>
      </c>
      <c r="I15" s="91">
        <f t="shared" si="3"/>
        <v>7799.6553999999987</v>
      </c>
      <c r="J15" s="91">
        <f t="shared" si="3"/>
        <v>7483.6498999999994</v>
      </c>
      <c r="K15" s="91">
        <f t="shared" si="3"/>
        <v>7587.8446999999996</v>
      </c>
      <c r="L15" s="91">
        <f t="shared" si="3"/>
        <v>7802.5991000000013</v>
      </c>
      <c r="M15" s="91">
        <f t="shared" si="3"/>
        <v>7609.0856999999987</v>
      </c>
      <c r="N15" s="91">
        <f t="shared" si="3"/>
        <v>7604.3076250000013</v>
      </c>
      <c r="O15" s="91">
        <f t="shared" si="3"/>
        <v>7300.052700000002</v>
      </c>
      <c r="P15" s="91">
        <f t="shared" si="3"/>
        <v>7422.8591999999981</v>
      </c>
      <c r="Q15" s="91">
        <f t="shared" si="3"/>
        <v>6847.9551000000001</v>
      </c>
    </row>
    <row r="16" spans="1:17">
      <c r="A16" s="66" t="s">
        <v>471</v>
      </c>
      <c r="B16" s="89"/>
      <c r="C16" s="89"/>
      <c r="D16" s="89"/>
      <c r="E16" s="89"/>
      <c r="F16" s="89"/>
      <c r="G16" s="89"/>
      <c r="H16" s="89"/>
      <c r="I16" s="89"/>
      <c r="J16" s="89"/>
      <c r="K16" s="89"/>
      <c r="L16" s="89"/>
      <c r="M16" s="89"/>
      <c r="N16" s="89"/>
      <c r="O16" s="89"/>
      <c r="P16" s="89"/>
    </row>
  </sheetData>
  <mergeCells count="1">
    <mergeCell ref="A1:J1"/>
  </mergeCells>
  <pageMargins left="0.7" right="0.7" top="0.75" bottom="0.75" header="0.3" footer="0.3"/>
  <pageSetup orientation="portrait" horizontalDpi="0" verticalDpi="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15253-E034-BD45-B4EE-72F071D7F506}">
  <sheetPr>
    <tabColor rgb="FFFFC000"/>
  </sheetPr>
  <dimension ref="A1:H24"/>
  <sheetViews>
    <sheetView workbookViewId="0">
      <selection activeCell="A24" sqref="A24"/>
    </sheetView>
  </sheetViews>
  <sheetFormatPr baseColWidth="10" defaultColWidth="11" defaultRowHeight="16"/>
  <cols>
    <col min="1" max="16384" width="11" style="2"/>
  </cols>
  <sheetData>
    <row r="1" spans="1:8" ht="20">
      <c r="A1" s="640" t="s">
        <v>1096</v>
      </c>
      <c r="B1" s="641"/>
      <c r="C1" s="641"/>
      <c r="D1" s="641"/>
      <c r="E1" s="641"/>
      <c r="F1" s="641"/>
      <c r="G1" s="641"/>
      <c r="H1" s="641"/>
    </row>
    <row r="23" spans="1:1">
      <c r="A23" s="2" t="s">
        <v>472</v>
      </c>
    </row>
    <row r="24" spans="1:1">
      <c r="A24" s="41"/>
    </row>
  </sheetData>
  <mergeCells count="1">
    <mergeCell ref="A1:H1"/>
  </mergeCells>
  <pageMargins left="0.7" right="0.7" top="0.75" bottom="0.75" header="0.3" footer="0.3"/>
  <pageSetup orientation="portrait" horizontalDpi="0" verticalDpi="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EC4806-5336-744D-B866-63354A4F0912}">
  <sheetPr>
    <tabColor rgb="FFFFC000"/>
  </sheetPr>
  <dimension ref="A1:C21"/>
  <sheetViews>
    <sheetView topLeftCell="A2" zoomScale="140" zoomScaleNormal="140" workbookViewId="0">
      <selection activeCell="A21" sqref="A21"/>
    </sheetView>
  </sheetViews>
  <sheetFormatPr baseColWidth="10" defaultColWidth="11" defaultRowHeight="16"/>
  <cols>
    <col min="1" max="1" width="25" customWidth="1"/>
    <col min="2" max="2" width="24.6640625" customWidth="1"/>
    <col min="3" max="3" width="32.5" customWidth="1"/>
  </cols>
  <sheetData>
    <row r="1" spans="1:3" ht="25" customHeight="1">
      <c r="A1" s="642" t="s">
        <v>1097</v>
      </c>
      <c r="B1" s="642"/>
      <c r="C1" s="642"/>
    </row>
    <row r="2" spans="1:3" ht="63" customHeight="1">
      <c r="A2" s="96"/>
      <c r="B2" s="536" t="s">
        <v>1083</v>
      </c>
      <c r="C2" s="536" t="s">
        <v>1064</v>
      </c>
    </row>
    <row r="3" spans="1:3">
      <c r="A3" s="96" t="s">
        <v>1065</v>
      </c>
      <c r="B3" s="537" t="b">
        <v>1</v>
      </c>
      <c r="C3" s="538"/>
    </row>
    <row r="4" spans="1:3">
      <c r="A4" s="96" t="s">
        <v>1066</v>
      </c>
      <c r="B4" s="537" t="b">
        <v>1</v>
      </c>
      <c r="C4" s="538"/>
    </row>
    <row r="5" spans="1:3">
      <c r="A5" s="96" t="s">
        <v>1067</v>
      </c>
      <c r="B5" s="537" t="b">
        <v>1</v>
      </c>
      <c r="C5" s="538"/>
    </row>
    <row r="6" spans="1:3">
      <c r="A6" s="555" t="s">
        <v>1114</v>
      </c>
      <c r="B6" s="538"/>
      <c r="C6" s="537" t="b">
        <v>1</v>
      </c>
    </row>
    <row r="7" spans="1:3">
      <c r="A7" s="555" t="s">
        <v>1113</v>
      </c>
      <c r="B7" s="538"/>
      <c r="C7" s="537" t="b">
        <v>1</v>
      </c>
    </row>
    <row r="8" spans="1:3">
      <c r="A8" s="61" t="s">
        <v>1068</v>
      </c>
      <c r="B8" s="537" t="b">
        <v>1</v>
      </c>
      <c r="C8" s="538"/>
    </row>
    <row r="9" spans="1:3">
      <c r="A9" s="61" t="s">
        <v>1069</v>
      </c>
      <c r="B9" s="537" t="b">
        <v>1</v>
      </c>
      <c r="C9" s="538"/>
    </row>
    <row r="10" spans="1:3">
      <c r="A10" s="96" t="s">
        <v>1070</v>
      </c>
      <c r="B10" s="538"/>
      <c r="C10" s="537" t="b">
        <v>1</v>
      </c>
    </row>
    <row r="11" spans="1:3">
      <c r="A11" s="96" t="s">
        <v>1071</v>
      </c>
      <c r="B11" s="537" t="b">
        <v>1</v>
      </c>
      <c r="C11" s="538"/>
    </row>
    <row r="12" spans="1:3">
      <c r="A12" s="96" t="s">
        <v>1072</v>
      </c>
      <c r="B12" s="537" t="b">
        <v>1</v>
      </c>
      <c r="C12" s="538"/>
    </row>
    <row r="13" spans="1:3">
      <c r="A13" s="96" t="s">
        <v>1073</v>
      </c>
      <c r="B13" s="537" t="b">
        <v>1</v>
      </c>
      <c r="C13" s="538"/>
    </row>
    <row r="14" spans="1:3">
      <c r="A14" s="96" t="s">
        <v>1074</v>
      </c>
      <c r="B14" s="538"/>
      <c r="C14" s="537" t="b">
        <v>1</v>
      </c>
    </row>
    <row r="15" spans="1:3">
      <c r="A15" s="96" t="s">
        <v>1075</v>
      </c>
      <c r="B15" s="537" t="b">
        <v>1</v>
      </c>
      <c r="C15" s="538"/>
    </row>
    <row r="16" spans="1:3">
      <c r="A16" s="96" t="s">
        <v>1076</v>
      </c>
      <c r="B16" s="537" t="b">
        <v>1</v>
      </c>
      <c r="C16" s="538"/>
    </row>
    <row r="17" spans="1:3">
      <c r="A17" s="96" t="s">
        <v>1077</v>
      </c>
      <c r="B17" s="538"/>
      <c r="C17" s="537" t="b">
        <v>1</v>
      </c>
    </row>
    <row r="18" spans="1:3">
      <c r="A18" s="96"/>
      <c r="B18" s="538"/>
      <c r="C18" s="538"/>
    </row>
    <row r="19" spans="1:3">
      <c r="A19" s="96"/>
      <c r="B19" s="96"/>
      <c r="C19" s="96"/>
    </row>
    <row r="21" spans="1:3">
      <c r="A21" s="36"/>
    </row>
  </sheetData>
  <mergeCells count="1">
    <mergeCell ref="A1:C1"/>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68A03-B2CE-E145-81BA-FBC9021BB8A9}">
  <sheetPr>
    <tabColor rgb="FFFFC000"/>
  </sheetPr>
  <dimension ref="A1:AA40"/>
  <sheetViews>
    <sheetView zoomScale="115" zoomScaleNormal="115" workbookViewId="0">
      <pane xSplit="1" ySplit="2" topLeftCell="B3" activePane="bottomRight" state="frozen"/>
      <selection pane="topRight" activeCell="B1" sqref="B1"/>
      <selection pane="bottomLeft" activeCell="A3" sqref="A3"/>
      <selection pane="bottomRight" sqref="A1:E1"/>
    </sheetView>
  </sheetViews>
  <sheetFormatPr baseColWidth="10" defaultColWidth="11" defaultRowHeight="16"/>
  <cols>
    <col min="1" max="1" width="13.6640625" style="2" bestFit="1" customWidth="1"/>
    <col min="2" max="2" width="11.6640625" style="2" bestFit="1" customWidth="1"/>
    <col min="3" max="3" width="11" style="2" customWidth="1"/>
    <col min="4" max="8" width="13.6640625" style="2" customWidth="1"/>
    <col min="9" max="9" width="6.33203125" style="2" customWidth="1"/>
    <col min="10" max="10" width="13.6640625" style="2" customWidth="1"/>
    <col min="11" max="13" width="13.6640625" style="2" bestFit="1" customWidth="1"/>
    <col min="14" max="14" width="12" style="2" bestFit="1" customWidth="1"/>
    <col min="15" max="16" width="11.6640625" style="2" bestFit="1" customWidth="1"/>
    <col min="17" max="27" width="15.83203125" style="2" customWidth="1"/>
    <col min="28" max="16384" width="11" style="2"/>
  </cols>
  <sheetData>
    <row r="1" spans="1:15" ht="18">
      <c r="A1" s="633" t="s">
        <v>1098</v>
      </c>
      <c r="B1" s="634"/>
      <c r="C1" s="634"/>
      <c r="D1" s="634"/>
      <c r="E1" s="634"/>
    </row>
    <row r="2" spans="1:15">
      <c r="B2" s="31">
        <v>2011</v>
      </c>
      <c r="C2" s="108">
        <v>2012</v>
      </c>
      <c r="D2" s="108">
        <v>2013</v>
      </c>
      <c r="E2" s="108">
        <v>2014</v>
      </c>
      <c r="F2" s="108">
        <v>2015</v>
      </c>
      <c r="G2" s="108">
        <v>2016</v>
      </c>
      <c r="H2" s="108">
        <v>2017</v>
      </c>
      <c r="I2" s="108">
        <v>2018</v>
      </c>
      <c r="J2" s="108">
        <v>2019</v>
      </c>
      <c r="K2" s="108">
        <v>2020</v>
      </c>
      <c r="L2" s="108">
        <v>2021</v>
      </c>
      <c r="M2" s="108">
        <v>2022</v>
      </c>
      <c r="N2" s="31">
        <v>2023</v>
      </c>
      <c r="O2" s="31">
        <v>2024</v>
      </c>
    </row>
    <row r="3" spans="1:15">
      <c r="A3" s="2" t="s">
        <v>93</v>
      </c>
      <c r="B3" s="21">
        <v>69.883832674289252</v>
      </c>
      <c r="C3" s="21">
        <v>66.848516237201608</v>
      </c>
      <c r="D3" s="21">
        <v>65.58816363856684</v>
      </c>
      <c r="E3" s="21">
        <v>50.505050505050505</v>
      </c>
      <c r="F3" s="21">
        <v>54.068427583761746</v>
      </c>
      <c r="G3" s="21">
        <v>49.192165357884285</v>
      </c>
      <c r="H3" s="21">
        <v>50.995418912831951</v>
      </c>
      <c r="I3" s="21">
        <v>52.878100908163617</v>
      </c>
      <c r="J3" s="21">
        <v>50.952463667419366</v>
      </c>
      <c r="K3" s="21">
        <v>47.981546466676107</v>
      </c>
      <c r="L3" s="21">
        <v>43.37213448652161</v>
      </c>
      <c r="M3" s="21">
        <v>41.765155557686214</v>
      </c>
      <c r="N3" s="21">
        <v>44.2910900534918</v>
      </c>
      <c r="O3" s="21">
        <v>42.085661080074495</v>
      </c>
    </row>
    <row r="4" spans="1:15">
      <c r="A4" s="2" t="s">
        <v>473</v>
      </c>
      <c r="B4" s="12">
        <v>0</v>
      </c>
      <c r="C4" s="12">
        <v>0</v>
      </c>
      <c r="D4" s="21">
        <v>0</v>
      </c>
      <c r="E4" s="21">
        <v>0</v>
      </c>
      <c r="F4" s="21">
        <v>0</v>
      </c>
      <c r="G4" s="21">
        <v>0</v>
      </c>
      <c r="H4" s="21">
        <v>0.5168268107836318</v>
      </c>
      <c r="I4" s="21">
        <v>1.6529289632658637</v>
      </c>
      <c r="J4" s="21">
        <v>3.4740316136876839</v>
      </c>
      <c r="K4" s="21">
        <v>8.1193887971940431</v>
      </c>
      <c r="L4" s="21">
        <v>10.647844620411849</v>
      </c>
      <c r="M4" s="21">
        <v>13.163710839117357</v>
      </c>
      <c r="N4" s="21">
        <v>13.479896972801853</v>
      </c>
      <c r="O4" s="21">
        <v>11.6387337057728</v>
      </c>
    </row>
    <row r="5" spans="1:15" ht="17" customHeight="1">
      <c r="A5" s="2" t="s">
        <v>474</v>
      </c>
      <c r="B5" s="93">
        <v>3</v>
      </c>
      <c r="C5" s="21">
        <v>2</v>
      </c>
      <c r="D5" s="21">
        <v>2</v>
      </c>
      <c r="E5" s="21">
        <v>4.9820236260914221</v>
      </c>
      <c r="F5" s="21">
        <v>5.1586598120900549</v>
      </c>
      <c r="G5" s="21">
        <v>6.1287119776153078</v>
      </c>
      <c r="H5" s="21">
        <v>5.4457493224345308</v>
      </c>
      <c r="I5" s="21">
        <v>5.8103944474478224</v>
      </c>
      <c r="J5" s="21">
        <v>5.429139405168586</v>
      </c>
      <c r="K5" s="21">
        <v>9.0018026142878718</v>
      </c>
      <c r="L5" s="21">
        <v>8.2602371813040953</v>
      </c>
      <c r="M5" s="21">
        <v>9.0038699023077271</v>
      </c>
      <c r="N5" s="21">
        <v>10.168364619035538</v>
      </c>
      <c r="O5" s="21">
        <v>10.924891371818749</v>
      </c>
    </row>
    <row r="6" spans="1:15">
      <c r="A6" s="2" t="s">
        <v>119</v>
      </c>
      <c r="B6" s="93">
        <v>0</v>
      </c>
      <c r="C6" s="21">
        <v>0</v>
      </c>
      <c r="D6" s="21">
        <v>0</v>
      </c>
      <c r="E6" s="21">
        <v>5.9921246361924325</v>
      </c>
      <c r="F6" s="21">
        <v>8.8636766530756965</v>
      </c>
      <c r="G6" s="21">
        <v>9.0260853867677593</v>
      </c>
      <c r="H6" s="21">
        <v>10.760501238487475</v>
      </c>
      <c r="I6" s="21">
        <v>11.567084573660793</v>
      </c>
      <c r="J6" s="21">
        <v>10.808098353695017</v>
      </c>
      <c r="K6" s="21">
        <v>10.176790483360858</v>
      </c>
      <c r="L6" s="21">
        <v>10.019555652126678</v>
      </c>
      <c r="M6" s="21">
        <v>9.5765195642240641</v>
      </c>
      <c r="N6" s="21">
        <v>9.3396429025841421</v>
      </c>
      <c r="O6" s="21">
        <v>7.9143389199255134</v>
      </c>
    </row>
    <row r="7" spans="1:15" ht="18" customHeight="1">
      <c r="A7" s="2" t="s">
        <v>475</v>
      </c>
      <c r="B7" s="93">
        <v>17.706758996102241</v>
      </c>
      <c r="C7" s="21">
        <v>22.711278869010467</v>
      </c>
      <c r="D7" s="21">
        <v>24.608352545186857</v>
      </c>
      <c r="E7" s="21">
        <v>19.688409518917993</v>
      </c>
      <c r="F7" s="21">
        <v>14.181882644921115</v>
      </c>
      <c r="G7" s="21">
        <v>16.698257965520355</v>
      </c>
      <c r="H7" s="21">
        <v>14.503284277961379</v>
      </c>
      <c r="I7" s="21">
        <v>15.285076043766047</v>
      </c>
      <c r="J7" s="21">
        <v>15.440140505278595</v>
      </c>
      <c r="K7" s="21">
        <v>13.735416206983306</v>
      </c>
      <c r="L7" s="21">
        <v>11.397782724657388</v>
      </c>
      <c r="M7" s="21">
        <v>11.597494647152299</v>
      </c>
      <c r="N7" s="21">
        <v>10.617292675540895</v>
      </c>
      <c r="O7" s="21">
        <v>9.8386095592799521</v>
      </c>
    </row>
    <row r="8" spans="1:15">
      <c r="A8" s="2" t="s">
        <v>476</v>
      </c>
      <c r="B8" s="93">
        <v>0</v>
      </c>
      <c r="C8" s="21">
        <v>0</v>
      </c>
      <c r="D8" s="21">
        <v>0</v>
      </c>
      <c r="E8" s="21">
        <v>12.840267077555215</v>
      </c>
      <c r="F8" s="21">
        <v>11.522779648998405</v>
      </c>
      <c r="G8" s="21">
        <v>11.733911002798088</v>
      </c>
      <c r="H8" s="21">
        <v>11.696196998355951</v>
      </c>
      <c r="I8" s="21">
        <v>0</v>
      </c>
      <c r="J8" s="21">
        <v>0</v>
      </c>
      <c r="K8" s="21">
        <v>0</v>
      </c>
      <c r="L8" s="21">
        <v>0</v>
      </c>
      <c r="M8" s="21">
        <v>0</v>
      </c>
      <c r="N8" s="21">
        <v>0</v>
      </c>
      <c r="O8" s="21">
        <v>0</v>
      </c>
    </row>
    <row r="9" spans="1:15">
      <c r="A9" s="2" t="s">
        <v>477</v>
      </c>
      <c r="B9" s="93">
        <v>6</v>
      </c>
      <c r="C9" s="21">
        <v>6.1</v>
      </c>
      <c r="D9" s="21">
        <v>5.8999999999999995</v>
      </c>
      <c r="E9" s="21">
        <v>5.9921246361924325</v>
      </c>
      <c r="F9" s="21">
        <v>6.2045736571529879</v>
      </c>
      <c r="G9" s="21">
        <v>7.2208683094142074</v>
      </c>
      <c r="H9" s="21">
        <v>6.0820224391450948</v>
      </c>
      <c r="I9" s="21">
        <v>7.4359829402105087</v>
      </c>
      <c r="J9" s="21">
        <v>9.6500878157991217</v>
      </c>
      <c r="K9" s="21">
        <v>8.0091708497208209</v>
      </c>
      <c r="L9" s="21">
        <v>8.8291133964284594</v>
      </c>
      <c r="M9" s="21">
        <v>8.9679781872332374</v>
      </c>
      <c r="N9" s="21">
        <v>8.5986014917008351</v>
      </c>
      <c r="O9" s="21">
        <v>9.3420235878336442</v>
      </c>
    </row>
    <row r="10" spans="1:15">
      <c r="A10" s="2" t="s">
        <v>478</v>
      </c>
      <c r="B10" s="93">
        <v>0</v>
      </c>
      <c r="C10" s="21">
        <v>0</v>
      </c>
      <c r="D10" s="21">
        <v>2.2999999999999998</v>
      </c>
      <c r="E10" s="21">
        <v>0</v>
      </c>
      <c r="F10" s="21">
        <v>0</v>
      </c>
      <c r="G10" s="21">
        <v>0</v>
      </c>
      <c r="H10" s="21">
        <v>0</v>
      </c>
      <c r="I10" s="21">
        <v>5.3704321234853678</v>
      </c>
      <c r="J10" s="21">
        <v>4.2460386389516138</v>
      </c>
      <c r="K10" s="21">
        <v>2.9758845817770023</v>
      </c>
      <c r="L10" s="21">
        <v>2.4800880327046233</v>
      </c>
      <c r="M10" s="21">
        <v>2.306051533859975</v>
      </c>
      <c r="N10" s="21">
        <v>0</v>
      </c>
      <c r="O10" s="21">
        <v>0</v>
      </c>
    </row>
    <row r="11" spans="1:15">
      <c r="A11" s="2" t="s">
        <v>479</v>
      </c>
      <c r="B11" s="93">
        <v>0</v>
      </c>
      <c r="C11" s="21">
        <v>0</v>
      </c>
      <c r="D11" s="21">
        <v>0</v>
      </c>
      <c r="E11" s="21">
        <v>0</v>
      </c>
      <c r="F11" s="21">
        <v>0</v>
      </c>
      <c r="G11" s="21">
        <v>0</v>
      </c>
      <c r="H11" s="21">
        <v>0</v>
      </c>
      <c r="I11" s="21">
        <v>0</v>
      </c>
      <c r="J11" s="21">
        <v>0</v>
      </c>
      <c r="K11" s="21">
        <v>0</v>
      </c>
      <c r="L11" s="21">
        <v>4.9932439058453078</v>
      </c>
      <c r="M11" s="21">
        <v>3.6192197684191276</v>
      </c>
      <c r="N11" s="21">
        <v>3.5051112848449395</v>
      </c>
      <c r="O11" s="21">
        <v>3.8485412787088773</v>
      </c>
    </row>
    <row r="12" spans="1:15">
      <c r="A12" s="2" t="s">
        <v>907</v>
      </c>
      <c r="B12" s="93">
        <v>0</v>
      </c>
      <c r="C12" s="21">
        <v>0</v>
      </c>
      <c r="D12" s="21">
        <v>0</v>
      </c>
      <c r="E12" s="21">
        <v>0</v>
      </c>
      <c r="F12" s="21">
        <v>0</v>
      </c>
      <c r="G12" s="21">
        <v>0</v>
      </c>
      <c r="H12" s="21">
        <v>0</v>
      </c>
      <c r="I12" s="21">
        <v>0</v>
      </c>
      <c r="J12" s="21">
        <v>0</v>
      </c>
      <c r="K12" s="21">
        <v>0</v>
      </c>
      <c r="L12" s="21">
        <v>0</v>
      </c>
      <c r="M12" s="21">
        <v>0</v>
      </c>
      <c r="N12" s="21">
        <v>0</v>
      </c>
      <c r="O12" s="21">
        <v>4.4000000000000004</v>
      </c>
    </row>
    <row r="13" spans="1:15">
      <c r="A13" s="2" t="s">
        <v>121</v>
      </c>
      <c r="B13" s="93">
        <v>27.474382654278131</v>
      </c>
      <c r="C13" s="21">
        <v>22.41531576818381</v>
      </c>
      <c r="D13" s="21">
        <v>17.116401882480304</v>
      </c>
      <c r="E13" s="21"/>
      <c r="F13" s="21">
        <v>0</v>
      </c>
      <c r="G13" s="21">
        <v>0</v>
      </c>
      <c r="H13" s="21">
        <v>0</v>
      </c>
      <c r="I13" s="21">
        <v>0</v>
      </c>
      <c r="J13" s="21">
        <v>0</v>
      </c>
      <c r="K13" s="21">
        <v>0</v>
      </c>
      <c r="L13" s="21">
        <v>0</v>
      </c>
      <c r="M13" s="21">
        <v>0</v>
      </c>
      <c r="N13" s="21">
        <v>0</v>
      </c>
      <c r="O13" s="21"/>
    </row>
    <row r="14" spans="1:15" ht="18">
      <c r="A14" s="305" t="s">
        <v>124</v>
      </c>
      <c r="B14" s="21">
        <f>B3+B7+B9+B5</f>
        <v>96.59059167039149</v>
      </c>
      <c r="C14" s="21">
        <f>C3+C8+C7+C9</f>
        <v>95.659795106212073</v>
      </c>
      <c r="D14" s="21">
        <f>D3+D8+D7+D9</f>
        <v>96.096516183753707</v>
      </c>
      <c r="E14" s="21">
        <f>E3+E8+E7+E9</f>
        <v>89.025851737716138</v>
      </c>
      <c r="F14" s="21">
        <f>F3+F6+F8+F7</f>
        <v>88.636766530756972</v>
      </c>
      <c r="G14" s="21">
        <f>G3+G6+G8+G7</f>
        <v>86.650419712970489</v>
      </c>
      <c r="H14" s="21">
        <f>H3+H6+H8+H7</f>
        <v>87.955401427636772</v>
      </c>
      <c r="I14" s="21">
        <f>I3+I7+I6+I9</f>
        <v>87.166244465800972</v>
      </c>
      <c r="J14" s="21">
        <f>J3+J6+J7+J9</f>
        <v>86.850790342192099</v>
      </c>
      <c r="K14" s="21">
        <f>K3+K5+K6+K7</f>
        <v>80.895555771308139</v>
      </c>
      <c r="L14" s="21">
        <f>L3+L4+L6+L7</f>
        <v>75.437317483717536</v>
      </c>
      <c r="M14" s="21">
        <f>M3+M4+M6+M7</f>
        <v>76.10288060817993</v>
      </c>
      <c r="N14" s="21">
        <f>N3+N4+N5+N7</f>
        <v>78.556644320870092</v>
      </c>
      <c r="O14" s="21">
        <f>O3+O4+O5+O7</f>
        <v>74.487895716945985</v>
      </c>
    </row>
    <row r="15" spans="1:15" ht="18">
      <c r="A15" s="305" t="s">
        <v>359</v>
      </c>
      <c r="B15" s="21">
        <f t="shared" ref="B15:N15" si="0">SUMSQ(B3,B4,B5,B6,B7,B8,B9,B10,B11:B12)</f>
        <v>5242.2793833941059</v>
      </c>
      <c r="C15" s="21">
        <f t="shared" si="0"/>
        <v>5025.7363109813678</v>
      </c>
      <c r="D15" s="21">
        <f t="shared" si="0"/>
        <v>4951.4782244676262</v>
      </c>
      <c r="E15" s="21">
        <f t="shared" si="0"/>
        <v>3199.8977292475329</v>
      </c>
      <c r="F15" s="21">
        <f t="shared" si="0"/>
        <v>3400.9683767083634</v>
      </c>
      <c r="G15" s="21">
        <f t="shared" si="0"/>
        <v>3007.557886157771</v>
      </c>
      <c r="H15" s="21">
        <f t="shared" si="0"/>
        <v>3130.381708655827</v>
      </c>
      <c r="I15" s="21">
        <f t="shared" si="0"/>
        <v>3284.1527921244669</v>
      </c>
      <c r="J15" s="21">
        <f t="shared" si="0"/>
        <v>3104.0639719353408</v>
      </c>
      <c r="K15" s="21">
        <f t="shared" si="0"/>
        <v>2814.4171557457585</v>
      </c>
      <c r="L15" s="21">
        <f t="shared" si="0"/>
        <v>2402.0876744935299</v>
      </c>
      <c r="M15" s="21">
        <f t="shared" si="0"/>
        <v>2323.7340422616235</v>
      </c>
      <c r="N15" s="21">
        <f t="shared" si="0"/>
        <v>2532.9815055876388</v>
      </c>
      <c r="O15" s="21">
        <f>SUMSQ(O3,O4,O5,O6,O7,O8,O9,O10,O11:O12)</f>
        <v>2306.8959155957973</v>
      </c>
    </row>
    <row r="16" spans="1:15">
      <c r="B16" s="21">
        <f t="shared" ref="B16:I16" si="1">B4+B5+B7+B6</f>
        <v>20.706758996102241</v>
      </c>
      <c r="C16" s="21">
        <f t="shared" si="1"/>
        <v>24.711278869010467</v>
      </c>
      <c r="D16" s="21">
        <f t="shared" si="1"/>
        <v>26.608352545186857</v>
      </c>
      <c r="E16" s="21">
        <f t="shared" si="1"/>
        <v>30.662557781201848</v>
      </c>
      <c r="F16" s="21">
        <f t="shared" si="1"/>
        <v>28.204219110086868</v>
      </c>
      <c r="G16" s="21">
        <f t="shared" si="1"/>
        <v>31.85305532990342</v>
      </c>
      <c r="H16" s="21">
        <f t="shared" si="1"/>
        <v>31.226361649667016</v>
      </c>
      <c r="I16" s="21">
        <f t="shared" si="1"/>
        <v>34.315484028140524</v>
      </c>
      <c r="J16" s="21">
        <f t="shared" ref="J16:N16" si="2">J4+J5+J7+J6</f>
        <v>35.151409877829884</v>
      </c>
      <c r="K16" s="21">
        <f t="shared" si="2"/>
        <v>41.03339810182608</v>
      </c>
      <c r="L16" s="21">
        <f t="shared" si="2"/>
        <v>40.325420178500011</v>
      </c>
      <c r="M16" s="21">
        <f t="shared" si="2"/>
        <v>43.341594952801451</v>
      </c>
      <c r="N16" s="21">
        <f t="shared" si="2"/>
        <v>43.605197169962423</v>
      </c>
      <c r="O16" s="21">
        <f>O4+O5+O7+O6</f>
        <v>40.31657355679701</v>
      </c>
    </row>
    <row r="19" spans="1:21">
      <c r="A19" s="92"/>
      <c r="B19" s="92"/>
      <c r="C19" s="279"/>
      <c r="D19" s="279"/>
      <c r="E19" s="279"/>
      <c r="F19" s="279"/>
      <c r="G19" s="279"/>
      <c r="H19" s="279"/>
      <c r="I19" s="279"/>
      <c r="J19" s="279"/>
      <c r="K19" s="279"/>
      <c r="L19" s="279"/>
      <c r="M19" s="279"/>
      <c r="N19" s="279"/>
      <c r="O19" s="279"/>
      <c r="P19" s="279"/>
      <c r="Q19" s="279"/>
      <c r="T19" s="88"/>
    </row>
    <row r="20" spans="1:21">
      <c r="A20" s="92"/>
      <c r="B20" s="21"/>
      <c r="C20" s="21"/>
      <c r="D20" s="276"/>
      <c r="E20" s="55"/>
      <c r="F20" s="55"/>
      <c r="G20" s="55"/>
      <c r="H20" s="55"/>
      <c r="I20" s="279"/>
      <c r="J20" s="279"/>
      <c r="K20" s="279"/>
      <c r="L20" s="279"/>
      <c r="M20" s="279"/>
      <c r="N20" s="279"/>
      <c r="O20" s="279"/>
      <c r="P20" s="279"/>
      <c r="Q20" s="279"/>
      <c r="T20" s="88"/>
      <c r="U20" s="278"/>
    </row>
    <row r="21" spans="1:21">
      <c r="A21" s="92"/>
      <c r="B21" s="21"/>
      <c r="C21" s="21"/>
      <c r="D21" s="276"/>
      <c r="E21" s="55"/>
      <c r="F21" s="55"/>
      <c r="G21" s="55"/>
      <c r="H21" s="300"/>
      <c r="I21" s="55"/>
      <c r="J21" s="55"/>
      <c r="K21" s="279"/>
      <c r="L21" s="279"/>
      <c r="M21" s="279"/>
      <c r="N21" s="279"/>
      <c r="O21" s="279"/>
      <c r="P21" s="279"/>
      <c r="Q21" s="279"/>
      <c r="U21" s="278"/>
    </row>
    <row r="22" spans="1:21">
      <c r="A22" s="92"/>
      <c r="B22" s="21"/>
      <c r="C22" s="21"/>
      <c r="D22" s="276"/>
      <c r="E22" s="55"/>
      <c r="F22" s="55"/>
      <c r="G22" s="55"/>
      <c r="H22" s="55"/>
      <c r="I22" s="55"/>
      <c r="J22" s="357"/>
      <c r="K22" s="55"/>
      <c r="L22" s="55"/>
      <c r="M22" s="279"/>
      <c r="N22" s="279"/>
      <c r="O22" s="279"/>
      <c r="P22" s="279"/>
      <c r="Q22" s="279"/>
      <c r="U22" s="278"/>
    </row>
    <row r="23" spans="1:21">
      <c r="A23" s="92"/>
      <c r="B23" s="21"/>
      <c r="C23" s="21"/>
      <c r="D23" s="276"/>
      <c r="E23" s="279"/>
      <c r="F23" s="279"/>
      <c r="G23" s="279"/>
      <c r="H23" s="279"/>
      <c r="I23" s="279"/>
      <c r="J23" s="357"/>
      <c r="K23" s="279"/>
      <c r="L23" s="279"/>
      <c r="M23" s="279"/>
      <c r="N23" s="279"/>
      <c r="O23" s="279"/>
      <c r="P23" s="279"/>
      <c r="Q23" s="279"/>
      <c r="U23" s="278"/>
    </row>
    <row r="24" spans="1:21">
      <c r="B24" s="21"/>
      <c r="C24" s="21"/>
      <c r="D24" s="276"/>
      <c r="E24" s="55"/>
      <c r="F24" s="55"/>
      <c r="G24" s="55"/>
      <c r="H24" s="55"/>
      <c r="I24" s="55"/>
      <c r="J24" s="63"/>
      <c r="K24" s="55"/>
      <c r="L24" s="55"/>
      <c r="M24" s="55"/>
      <c r="N24" s="55"/>
      <c r="O24" s="55"/>
      <c r="P24" s="55"/>
      <c r="Q24" s="55"/>
      <c r="U24" s="278"/>
    </row>
    <row r="25" spans="1:21">
      <c r="B25" s="21"/>
      <c r="C25" s="21"/>
      <c r="D25" s="276"/>
      <c r="U25" s="278"/>
    </row>
    <row r="26" spans="1:21">
      <c r="B26" s="21"/>
      <c r="C26" s="21"/>
      <c r="D26" s="276"/>
      <c r="U26" s="278"/>
    </row>
    <row r="27" spans="1:21">
      <c r="A27" s="92"/>
      <c r="B27" s="21"/>
      <c r="C27" s="21"/>
      <c r="D27" s="276"/>
      <c r="E27" s="277"/>
      <c r="F27" s="277"/>
      <c r="G27" s="277"/>
      <c r="H27" s="277"/>
      <c r="I27" s="277"/>
      <c r="J27" s="277"/>
      <c r="K27" s="277"/>
      <c r="L27" s="277"/>
      <c r="M27" s="277"/>
      <c r="N27" s="277"/>
      <c r="O27" s="277"/>
      <c r="P27" s="277"/>
      <c r="Q27" s="277"/>
      <c r="U27" s="278"/>
    </row>
    <row r="28" spans="1:21">
      <c r="A28" s="92"/>
      <c r="B28" s="21"/>
      <c r="C28" s="21"/>
      <c r="D28" s="276"/>
      <c r="E28" s="277"/>
      <c r="F28" s="277"/>
      <c r="G28" s="277"/>
      <c r="H28" s="277"/>
      <c r="I28" s="277"/>
      <c r="J28" s="277"/>
      <c r="K28" s="277"/>
      <c r="L28" s="277"/>
      <c r="M28" s="277"/>
      <c r="N28" s="277"/>
      <c r="O28" s="277"/>
      <c r="P28" s="277"/>
      <c r="Q28" s="277"/>
    </row>
    <row r="29" spans="1:21">
      <c r="A29" s="92"/>
      <c r="B29" s="21"/>
      <c r="C29" s="21"/>
      <c r="D29" s="276"/>
      <c r="E29" s="277"/>
      <c r="F29" s="277"/>
      <c r="G29" s="277"/>
      <c r="H29" s="277"/>
      <c r="I29" s="277"/>
      <c r="J29" s="277"/>
      <c r="K29" s="277"/>
      <c r="L29" s="277"/>
      <c r="M29" s="277"/>
      <c r="N29" s="277"/>
      <c r="O29" s="277"/>
      <c r="P29" s="277"/>
      <c r="Q29" s="277"/>
    </row>
    <row r="30" spans="1:21">
      <c r="A30" s="92"/>
      <c r="B30" s="21"/>
      <c r="C30" s="21"/>
      <c r="D30" s="276"/>
      <c r="E30" s="277"/>
      <c r="F30" s="277"/>
      <c r="G30" s="277"/>
      <c r="H30" s="277"/>
      <c r="I30" s="277"/>
      <c r="J30" s="277"/>
      <c r="K30" s="277"/>
      <c r="L30" s="277"/>
      <c r="M30" s="277"/>
      <c r="N30" s="277"/>
      <c r="O30" s="277"/>
      <c r="P30" s="277"/>
      <c r="Q30" s="277"/>
    </row>
    <row r="31" spans="1:21">
      <c r="A31" s="92"/>
      <c r="B31" s="21"/>
      <c r="C31" s="21"/>
      <c r="D31" s="276"/>
      <c r="E31" s="277"/>
      <c r="F31" s="277"/>
      <c r="G31" s="277"/>
      <c r="H31" s="277"/>
      <c r="I31" s="277"/>
      <c r="J31" s="277"/>
      <c r="K31" s="277"/>
      <c r="L31" s="277"/>
      <c r="M31" s="277"/>
      <c r="N31" s="277"/>
      <c r="O31" s="277"/>
      <c r="P31" s="277"/>
      <c r="Q31" s="277"/>
    </row>
    <row r="32" spans="1:21">
      <c r="B32" s="21"/>
      <c r="C32" s="21"/>
      <c r="D32" s="276"/>
    </row>
    <row r="39" spans="16:27" ht="23">
      <c r="P39" s="275"/>
      <c r="Q39" s="273"/>
      <c r="R39" s="273"/>
      <c r="S39" s="273"/>
      <c r="T39" s="273"/>
      <c r="U39" s="273"/>
      <c r="V39" s="273"/>
      <c r="W39" s="273"/>
      <c r="X39" s="273"/>
      <c r="Y39" s="273"/>
      <c r="Z39" s="273"/>
      <c r="AA39" s="273"/>
    </row>
    <row r="40" spans="16:27" ht="23">
      <c r="P40" s="274"/>
      <c r="Q40" s="273"/>
      <c r="R40" s="273"/>
      <c r="S40" s="273"/>
      <c r="T40" s="273"/>
      <c r="U40" s="273"/>
      <c r="V40" s="273"/>
      <c r="W40" s="273"/>
      <c r="X40" s="273"/>
      <c r="Y40" s="273"/>
      <c r="Z40" s="273"/>
      <c r="AA40" s="273"/>
    </row>
  </sheetData>
  <mergeCells count="1">
    <mergeCell ref="A1:E1"/>
  </mergeCells>
  <pageMargins left="0.7" right="0.7" top="0.75" bottom="0.75" header="0.3" footer="0.3"/>
  <pageSetup orientation="portrait" horizontalDpi="0" verticalDpi="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2A7F9F-4CCE-284D-9EA0-F98259EA7E5D}">
  <sheetPr>
    <tabColor rgb="FFFFC000"/>
  </sheetPr>
  <dimension ref="A1:Q41"/>
  <sheetViews>
    <sheetView zoomScale="130" zoomScaleNormal="130" workbookViewId="0">
      <pane xSplit="1" ySplit="2" topLeftCell="B3" activePane="bottomRight" state="frozen"/>
      <selection pane="topRight" activeCell="B1" sqref="B1"/>
      <selection pane="bottomLeft" activeCell="A3" sqref="A3"/>
      <selection pane="bottomRight" activeCell="C13" sqref="C13:C16"/>
    </sheetView>
  </sheetViews>
  <sheetFormatPr baseColWidth="10" defaultColWidth="11" defaultRowHeight="16"/>
  <cols>
    <col min="1" max="1" width="32" style="2" customWidth="1"/>
    <col min="2" max="2" width="13" style="2" bestFit="1" customWidth="1"/>
    <col min="3" max="7" width="13.83203125" style="2" bestFit="1" customWidth="1"/>
    <col min="8" max="15" width="14.83203125" style="2" bestFit="1" customWidth="1"/>
    <col min="16" max="16" width="17" style="2" bestFit="1" customWidth="1"/>
    <col min="17" max="16384" width="11" style="2"/>
  </cols>
  <sheetData>
    <row r="1" spans="1:17" ht="16.25" customHeight="1">
      <c r="A1" s="633" t="s">
        <v>1099</v>
      </c>
      <c r="B1" s="634"/>
      <c r="C1" s="634"/>
      <c r="D1" s="634"/>
      <c r="E1" s="634"/>
      <c r="F1" s="634"/>
      <c r="G1" s="634"/>
      <c r="H1" s="634"/>
      <c r="I1" s="634"/>
    </row>
    <row r="2" spans="1:17">
      <c r="A2" s="11"/>
      <c r="B2" s="1">
        <v>2010</v>
      </c>
      <c r="C2" s="1">
        <v>2011</v>
      </c>
      <c r="D2" s="1">
        <v>2012</v>
      </c>
      <c r="E2" s="1">
        <v>2013</v>
      </c>
      <c r="F2" s="1">
        <v>2014</v>
      </c>
      <c r="G2" s="1">
        <v>2015</v>
      </c>
      <c r="H2" s="1">
        <v>2016</v>
      </c>
      <c r="I2" s="1">
        <v>2017</v>
      </c>
      <c r="J2" s="1">
        <v>2018</v>
      </c>
      <c r="K2" s="1">
        <v>2019</v>
      </c>
      <c r="L2" s="1">
        <v>2020</v>
      </c>
      <c r="M2" s="1">
        <v>2021</v>
      </c>
      <c r="N2" s="31">
        <v>2022</v>
      </c>
      <c r="O2" s="31">
        <v>2023</v>
      </c>
      <c r="P2" s="31">
        <v>2024</v>
      </c>
    </row>
    <row r="3" spans="1:17">
      <c r="A3" s="11" t="s">
        <v>480</v>
      </c>
      <c r="B3" s="12">
        <v>9.5773657701711485</v>
      </c>
      <c r="C3" s="12">
        <v>11.989709779951101</v>
      </c>
      <c r="D3" s="12">
        <v>13.393910024449877</v>
      </c>
      <c r="E3" s="12">
        <v>14.186022982885085</v>
      </c>
      <c r="F3" s="12">
        <v>14.726100000000001</v>
      </c>
      <c r="G3" s="12">
        <v>17.22</v>
      </c>
      <c r="H3" s="12">
        <v>18.48</v>
      </c>
      <c r="I3" s="12">
        <v>20.16</v>
      </c>
      <c r="J3" s="12">
        <v>26.5</v>
      </c>
      <c r="K3" s="12">
        <v>32.5</v>
      </c>
      <c r="L3" s="356">
        <v>35</v>
      </c>
      <c r="M3" s="12">
        <v>37.65</v>
      </c>
      <c r="N3" s="12">
        <v>37.424999999999997</v>
      </c>
      <c r="O3" s="21">
        <v>39.4</v>
      </c>
      <c r="P3" s="21">
        <v>42.975000000000001</v>
      </c>
      <c r="Q3" s="29"/>
    </row>
    <row r="4" spans="1:17" ht="17" customHeight="1">
      <c r="A4" s="11" t="s">
        <v>481</v>
      </c>
      <c r="B4" s="30">
        <v>0.72783827182168637</v>
      </c>
      <c r="C4" s="30">
        <v>0.89890352592579237</v>
      </c>
      <c r="D4" s="30">
        <v>1.0142449629571824</v>
      </c>
      <c r="E4" s="30">
        <v>1.3827492667564856</v>
      </c>
      <c r="F4" s="30">
        <v>2.4399427614915017</v>
      </c>
      <c r="G4" s="30">
        <v>3.2342190481029811</v>
      </c>
      <c r="H4" s="30">
        <v>4.9945887445887456</v>
      </c>
      <c r="I4" s="30">
        <v>7.0557663690476184</v>
      </c>
      <c r="J4" s="30">
        <v>6.5233490566037728</v>
      </c>
      <c r="K4" s="30">
        <v>6.7229600000000005</v>
      </c>
      <c r="L4" s="30">
        <v>6.9726059523809516</v>
      </c>
      <c r="M4" s="30">
        <v>8.7423162903939815</v>
      </c>
      <c r="N4" s="30">
        <v>8.5478401246938329</v>
      </c>
      <c r="O4" s="30">
        <v>8.8723934010152288</v>
      </c>
      <c r="P4" s="30">
        <v>9.2355916230366475</v>
      </c>
      <c r="Q4" s="57">
        <f>(P4-M4)/P4</f>
        <v>5.3410258137905613E-2</v>
      </c>
    </row>
    <row r="5" spans="1:17">
      <c r="A5" s="11" t="s">
        <v>482</v>
      </c>
      <c r="B5" s="30">
        <v>83.649280209186529</v>
      </c>
      <c r="C5" s="169">
        <v>129.3311087523</v>
      </c>
      <c r="D5" s="169">
        <v>163.01646931919998</v>
      </c>
      <c r="E5" s="169">
        <v>235.38855453330001</v>
      </c>
      <c r="F5" s="169">
        <v>431.17009320000005</v>
      </c>
      <c r="G5" s="169">
        <v>668.31902409999998</v>
      </c>
      <c r="H5" s="169">
        <v>1107.6000000000001</v>
      </c>
      <c r="I5" s="169">
        <v>1706.931</v>
      </c>
      <c r="J5" s="169">
        <v>2074.4249999999997</v>
      </c>
      <c r="K5" s="169">
        <v>2621.9544000000001</v>
      </c>
      <c r="L5" s="102">
        <v>2928.4944999999998</v>
      </c>
      <c r="M5" s="102">
        <v>3949.7785000000003</v>
      </c>
      <c r="N5" s="102">
        <v>3838.8349999999996</v>
      </c>
      <c r="O5" s="311">
        <v>4194.8675999999996</v>
      </c>
      <c r="P5" s="30">
        <v>4762.7945999999993</v>
      </c>
      <c r="Q5" s="57"/>
    </row>
    <row r="6" spans="1:17">
      <c r="A6" s="11" t="s">
        <v>483</v>
      </c>
      <c r="B6" s="30">
        <v>8.7340592618602368</v>
      </c>
      <c r="C6" s="30">
        <v>10.786842311109508</v>
      </c>
      <c r="D6" s="30">
        <v>12.170939555486187</v>
      </c>
      <c r="E6" s="30">
        <v>16.592991201077826</v>
      </c>
      <c r="F6" s="30">
        <v>29.279313137898018</v>
      </c>
      <c r="G6" s="30">
        <v>38.810628577235775</v>
      </c>
      <c r="H6" s="30">
        <v>59.935064935064943</v>
      </c>
      <c r="I6" s="30">
        <v>84.669196428571425</v>
      </c>
      <c r="J6" s="30">
        <v>78.280188679245271</v>
      </c>
      <c r="K6" s="30">
        <v>80.675520000000006</v>
      </c>
      <c r="L6" s="30">
        <v>83.671271428571416</v>
      </c>
      <c r="M6" s="30">
        <v>104.90779548472777</v>
      </c>
      <c r="N6" s="30">
        <v>102.57408149632599</v>
      </c>
      <c r="O6" s="30">
        <v>106.46872081218274</v>
      </c>
      <c r="P6" s="30">
        <v>110.82709947643977</v>
      </c>
      <c r="Q6" s="57"/>
    </row>
    <row r="7" spans="1:17" ht="17" customHeight="1">
      <c r="B7" s="11"/>
      <c r="C7" s="11"/>
      <c r="D7" s="11"/>
      <c r="E7" s="11"/>
      <c r="F7" s="11"/>
      <c r="G7" s="11"/>
      <c r="H7" s="11"/>
      <c r="I7" s="11"/>
      <c r="J7" s="11"/>
    </row>
    <row r="8" spans="1:17" ht="40.25" customHeight="1">
      <c r="A8" s="643" t="s">
        <v>958</v>
      </c>
      <c r="B8" s="643"/>
      <c r="C8" s="643"/>
      <c r="D8" s="643"/>
      <c r="E8" s="643"/>
      <c r="F8" s="643"/>
      <c r="G8" s="643"/>
      <c r="H8" s="643"/>
      <c r="I8" s="643"/>
      <c r="J8" s="643"/>
      <c r="K8" s="643"/>
      <c r="L8" s="643"/>
      <c r="M8" s="643"/>
      <c r="N8" s="643"/>
      <c r="O8" s="643"/>
    </row>
    <row r="10" spans="1:17">
      <c r="A10" s="270"/>
      <c r="B10" s="1"/>
      <c r="C10" s="1"/>
      <c r="D10" s="1"/>
      <c r="E10" s="1"/>
      <c r="F10" s="1"/>
      <c r="G10" s="1"/>
      <c r="H10" s="1"/>
      <c r="I10" s="1"/>
      <c r="J10" s="1"/>
      <c r="K10" s="1"/>
      <c r="L10" s="1"/>
      <c r="M10" s="1"/>
      <c r="N10" s="1"/>
      <c r="O10" s="1"/>
    </row>
    <row r="11" spans="1:17">
      <c r="A11" s="270"/>
      <c r="B11" s="11"/>
      <c r="C11" s="11"/>
      <c r="D11" s="11"/>
      <c r="E11" s="11"/>
      <c r="F11" s="11"/>
      <c r="G11" s="11"/>
      <c r="H11" s="11"/>
      <c r="I11" s="11"/>
      <c r="J11" s="11"/>
      <c r="K11" s="11"/>
      <c r="L11" s="11"/>
    </row>
    <row r="12" spans="1:17">
      <c r="A12" s="270"/>
      <c r="B12" s="30"/>
      <c r="C12" s="30"/>
      <c r="D12" s="30"/>
      <c r="E12" s="30"/>
      <c r="F12" s="30"/>
      <c r="G12" s="30"/>
      <c r="H12" s="30"/>
      <c r="I12" s="30"/>
      <c r="J12" s="30"/>
      <c r="K12" s="30"/>
      <c r="L12" s="30"/>
    </row>
    <row r="29" spans="3:3">
      <c r="C29" s="95"/>
    </row>
    <row r="30" spans="3:3">
      <c r="C30" s="95"/>
    </row>
    <row r="31" spans="3:3">
      <c r="C31" s="95"/>
    </row>
    <row r="32" spans="3:3">
      <c r="C32" s="95"/>
    </row>
    <row r="33" spans="3:3">
      <c r="C33" s="95"/>
    </row>
    <row r="34" spans="3:3">
      <c r="C34" s="95"/>
    </row>
    <row r="35" spans="3:3">
      <c r="C35" s="95"/>
    </row>
    <row r="36" spans="3:3">
      <c r="C36" s="95"/>
    </row>
    <row r="37" spans="3:3">
      <c r="C37" s="95"/>
    </row>
    <row r="38" spans="3:3">
      <c r="C38" s="44"/>
    </row>
    <row r="39" spans="3:3">
      <c r="C39" s="44"/>
    </row>
    <row r="40" spans="3:3">
      <c r="C40" s="44"/>
    </row>
    <row r="41" spans="3:3">
      <c r="C41" s="94"/>
    </row>
  </sheetData>
  <mergeCells count="2">
    <mergeCell ref="A1:I1"/>
    <mergeCell ref="A8:O8"/>
  </mergeCells>
  <pageMargins left="0.7" right="0.7" top="0.75" bottom="0.75" header="0.3" footer="0.3"/>
  <pageSetup orientation="portrait" horizontalDpi="0" verticalDpi="0"/>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9C454D-5CD9-E946-9D31-FAD96E14DE15}">
  <sheetPr>
    <tabColor rgb="FFFFC000"/>
  </sheetPr>
  <dimension ref="A1:AH89"/>
  <sheetViews>
    <sheetView zoomScale="88" zoomScaleNormal="120" workbookViewId="0">
      <pane xSplit="1" ySplit="3" topLeftCell="B9" activePane="bottomRight" state="frozen"/>
      <selection pane="topRight" activeCell="B1" sqref="B1"/>
      <selection pane="bottomLeft" activeCell="A4" sqref="A4"/>
      <selection pane="bottomRight" activeCell="I14" sqref="I14"/>
    </sheetView>
  </sheetViews>
  <sheetFormatPr baseColWidth="10" defaultColWidth="11" defaultRowHeight="16"/>
  <cols>
    <col min="1" max="10" width="11" style="2"/>
    <col min="11" max="11" width="16.83203125" style="2" bestFit="1" customWidth="1"/>
    <col min="12" max="12" width="23.83203125" style="2" customWidth="1"/>
    <col min="13" max="15" width="11" style="2"/>
    <col min="16" max="26" width="0" style="2" hidden="1" customWidth="1"/>
    <col min="27" max="16384" width="11" style="2"/>
  </cols>
  <sheetData>
    <row r="1" spans="1:7" ht="42.5" customHeight="1">
      <c r="A1" s="644" t="s">
        <v>1141</v>
      </c>
      <c r="B1" s="641"/>
      <c r="C1" s="641"/>
      <c r="D1" s="641"/>
      <c r="E1" s="641"/>
      <c r="F1" s="641"/>
    </row>
    <row r="2" spans="1:7">
      <c r="B2" s="1" t="s">
        <v>484</v>
      </c>
      <c r="C2" s="1" t="s">
        <v>484</v>
      </c>
      <c r="D2" s="1" t="s">
        <v>485</v>
      </c>
      <c r="E2" s="1" t="s">
        <v>484</v>
      </c>
      <c r="F2" s="1" t="s">
        <v>484</v>
      </c>
      <c r="G2" s="1" t="s">
        <v>484</v>
      </c>
    </row>
    <row r="3" spans="1:7">
      <c r="A3" s="252"/>
      <c r="B3" s="42">
        <v>2017</v>
      </c>
      <c r="C3" s="42">
        <v>2020</v>
      </c>
      <c r="D3" s="31">
        <v>2024</v>
      </c>
    </row>
    <row r="4" spans="1:7">
      <c r="A4" s="11" t="s">
        <v>461</v>
      </c>
      <c r="B4" s="75">
        <v>24.702327078179369</v>
      </c>
      <c r="C4" s="75">
        <v>32.200000000000003</v>
      </c>
      <c r="D4" s="470">
        <v>37.259914204092368</v>
      </c>
    </row>
    <row r="5" spans="1:7">
      <c r="A5" s="11" t="s">
        <v>444</v>
      </c>
      <c r="B5" s="75">
        <v>12.571365359032047</v>
      </c>
      <c r="C5" s="75">
        <v>19.899999999999999</v>
      </c>
      <c r="D5" s="470">
        <v>19.642473899855279</v>
      </c>
    </row>
    <row r="6" spans="1:7">
      <c r="A6" s="11" t="s">
        <v>94</v>
      </c>
      <c r="B6" s="75"/>
      <c r="C6" s="75">
        <v>5.6</v>
      </c>
      <c r="D6" s="470">
        <v>11.098134414891634</v>
      </c>
      <c r="E6" s="6">
        <v>68.000522518839276</v>
      </c>
    </row>
    <row r="7" spans="1:7">
      <c r="A7" s="11" t="s">
        <v>264</v>
      </c>
      <c r="B7" s="75">
        <v>13.381216477959478</v>
      </c>
      <c r="C7" s="75">
        <v>10.7</v>
      </c>
      <c r="D7" s="470">
        <v>6.4818965338196239</v>
      </c>
    </row>
    <row r="8" spans="1:7">
      <c r="A8" s="11" t="s">
        <v>486</v>
      </c>
      <c r="B8" s="75">
        <v>5.8476302200235288</v>
      </c>
      <c r="C8" s="75">
        <v>4.9000000000000004</v>
      </c>
      <c r="D8" s="470">
        <v>2.5329416047532289</v>
      </c>
    </row>
    <row r="9" spans="1:7">
      <c r="A9" s="11" t="s">
        <v>89</v>
      </c>
      <c r="B9" s="75">
        <v>5.7677937279821609</v>
      </c>
      <c r="C9" s="75">
        <v>3.7</v>
      </c>
      <c r="D9" s="470">
        <v>3.126187084932694</v>
      </c>
    </row>
    <row r="10" spans="1:7">
      <c r="A10" s="11" t="s">
        <v>473</v>
      </c>
      <c r="B10" s="75"/>
      <c r="C10" s="75">
        <v>0.7</v>
      </c>
      <c r="D10" s="470">
        <v>1.1135201910577723</v>
      </c>
    </row>
    <row r="11" spans="1:7">
      <c r="A11" s="11" t="s">
        <v>487</v>
      </c>
      <c r="B11" s="75">
        <v>1.102009292222289</v>
      </c>
      <c r="C11" s="75">
        <v>1.9</v>
      </c>
      <c r="D11" s="470">
        <v>1.5039923421698294</v>
      </c>
    </row>
    <row r="12" spans="1:7">
      <c r="A12" s="2" t="s">
        <v>95</v>
      </c>
      <c r="B12" s="75">
        <v>1.9085690150071979</v>
      </c>
      <c r="C12" s="75">
        <v>1.8</v>
      </c>
      <c r="D12" s="470">
        <v>2.2244009268478524</v>
      </c>
    </row>
    <row r="13" spans="1:7">
      <c r="A13" s="11" t="s">
        <v>92</v>
      </c>
      <c r="B13" s="75">
        <v>3.7956558904275606</v>
      </c>
      <c r="C13" s="75">
        <v>2.2000000000000002</v>
      </c>
      <c r="D13" s="470">
        <v>1.7026443917880094</v>
      </c>
    </row>
    <row r="14" spans="1:7">
      <c r="A14" s="11" t="s">
        <v>104</v>
      </c>
      <c r="B14" s="75">
        <v>3.0622096180534606</v>
      </c>
      <c r="C14" s="75">
        <v>1.6</v>
      </c>
      <c r="D14" s="470">
        <v>0.76352017426403562</v>
      </c>
    </row>
    <row r="15" spans="1:7">
      <c r="A15" s="11" t="s">
        <v>119</v>
      </c>
      <c r="B15" s="75"/>
      <c r="C15" s="75">
        <v>1.5</v>
      </c>
      <c r="D15" s="470">
        <v>0.85159549722784966</v>
      </c>
    </row>
    <row r="16" spans="1:7">
      <c r="A16" s="11" t="s">
        <v>152</v>
      </c>
      <c r="B16" s="75">
        <v>3.2271472758905038</v>
      </c>
      <c r="C16" s="75">
        <v>0.8</v>
      </c>
      <c r="D16" s="470">
        <v>0.43147339136653079</v>
      </c>
    </row>
    <row r="17" spans="1:4">
      <c r="A17" s="11" t="s">
        <v>488</v>
      </c>
      <c r="B17" s="75"/>
      <c r="C17" s="75">
        <v>0.83820356158208709</v>
      </c>
      <c r="D17" s="470">
        <v>0.25404756951540292</v>
      </c>
    </row>
    <row r="18" spans="1:4">
      <c r="A18" s="11" t="s">
        <v>447</v>
      </c>
      <c r="B18" s="75">
        <v>0.14245775544273101</v>
      </c>
      <c r="C18" s="75">
        <v>0.7</v>
      </c>
      <c r="D18" s="470">
        <v>0.52916541553493224</v>
      </c>
    </row>
    <row r="19" spans="1:4">
      <c r="A19" s="11" t="s">
        <v>448</v>
      </c>
      <c r="B19" s="75">
        <v>0.66229351814339454</v>
      </c>
      <c r="C19" s="75">
        <v>0.8</v>
      </c>
      <c r="D19" s="470">
        <v>0.13269861358324031</v>
      </c>
    </row>
    <row r="20" spans="1:4">
      <c r="A20" s="11" t="s">
        <v>96</v>
      </c>
      <c r="B20" s="245">
        <v>0.75208385411728207</v>
      </c>
      <c r="C20" s="75">
        <v>0.6</v>
      </c>
      <c r="D20" s="470">
        <v>0.2556972290577107</v>
      </c>
    </row>
    <row r="21" spans="1:4">
      <c r="A21" s="2" t="s">
        <v>450</v>
      </c>
      <c r="B21" s="245">
        <v>0.6555671444949186</v>
      </c>
      <c r="C21" s="75">
        <v>0.5</v>
      </c>
      <c r="D21" s="470">
        <v>0.3420940234372265</v>
      </c>
    </row>
    <row r="22" spans="1:4">
      <c r="A22" s="2" t="s">
        <v>106</v>
      </c>
      <c r="B22" s="75">
        <v>9.7404556464473199E-2</v>
      </c>
      <c r="C22" s="75">
        <v>0.16416805743090268</v>
      </c>
      <c r="D22" s="470">
        <v>0.28514365188790508</v>
      </c>
    </row>
    <row r="23" spans="1:4">
      <c r="A23" s="11" t="s">
        <v>489</v>
      </c>
      <c r="B23" s="75">
        <v>0.46252759433140567</v>
      </c>
      <c r="C23" s="75">
        <v>0.4</v>
      </c>
      <c r="D23" s="470">
        <v>0.13269861358324031</v>
      </c>
    </row>
    <row r="24" spans="1:4">
      <c r="A24" s="265" t="s">
        <v>490</v>
      </c>
      <c r="B24" s="75">
        <v>0.48078878215294729</v>
      </c>
      <c r="C24" s="75">
        <v>0.36769742676765194</v>
      </c>
      <c r="D24" s="470">
        <v>0.27224981556832423</v>
      </c>
    </row>
    <row r="25" spans="1:4">
      <c r="A25" s="2" t="s">
        <v>491</v>
      </c>
      <c r="B25" s="75">
        <v>0.53208172313127933</v>
      </c>
      <c r="C25" s="75">
        <v>0.3</v>
      </c>
      <c r="D25" s="470">
        <v>0.27792639139030845</v>
      </c>
    </row>
    <row r="26" spans="1:4">
      <c r="A26" s="11" t="s">
        <v>454</v>
      </c>
      <c r="B26" s="75">
        <v>0.19332549643280955</v>
      </c>
      <c r="C26" s="75">
        <v>0.17271740351636947</v>
      </c>
      <c r="D26" s="470">
        <v>0.29714702085977179</v>
      </c>
    </row>
    <row r="27" spans="1:4">
      <c r="A27" s="88" t="s">
        <v>492</v>
      </c>
      <c r="B27" s="75">
        <v>0.32657351240577559</v>
      </c>
      <c r="C27" s="75">
        <v>0.25955112477716602</v>
      </c>
      <c r="D27" s="470">
        <v>0.1383972425922225</v>
      </c>
    </row>
    <row r="28" spans="1:4">
      <c r="A28" s="11" t="s">
        <v>493</v>
      </c>
      <c r="B28" s="75"/>
      <c r="C28" s="75"/>
      <c r="D28" s="470">
        <v>9.0566308872698828E-2</v>
      </c>
    </row>
    <row r="29" spans="1:4">
      <c r="A29" s="11" t="s">
        <v>494</v>
      </c>
      <c r="B29" s="75">
        <v>0.30672378768679981</v>
      </c>
      <c r="C29" s="75">
        <v>0.2</v>
      </c>
      <c r="D29" s="470">
        <v>0.11575898971762887</v>
      </c>
    </row>
    <row r="30" spans="1:4">
      <c r="A30" s="282" t="s">
        <v>455</v>
      </c>
      <c r="B30" s="75"/>
      <c r="C30" s="75">
        <v>0.3</v>
      </c>
      <c r="D30" s="470">
        <v>0.15622790882583701</v>
      </c>
    </row>
    <row r="31" spans="1:4">
      <c r="A31" s="11" t="s">
        <v>121</v>
      </c>
      <c r="B31" s="75">
        <v>15.120856907822644</v>
      </c>
      <c r="C31" s="75">
        <v>9.3104955311029727</v>
      </c>
      <c r="D31" s="470">
        <v>7.9874865485068796</v>
      </c>
    </row>
    <row r="32" spans="1:4">
      <c r="A32" s="11"/>
      <c r="B32" s="243"/>
      <c r="C32" s="243"/>
      <c r="D32" s="245"/>
    </row>
    <row r="33" spans="1:34">
      <c r="A33" s="298" t="s">
        <v>458</v>
      </c>
      <c r="B33" s="353">
        <v>13907.915191</v>
      </c>
      <c r="C33" s="354">
        <v>15130.137835</v>
      </c>
      <c r="D33" s="470">
        <v>24247.427407985968</v>
      </c>
    </row>
    <row r="34" spans="1:34">
      <c r="A34" s="73" t="s">
        <v>459</v>
      </c>
      <c r="B34" s="355">
        <v>37.273692437211416</v>
      </c>
      <c r="C34" s="355">
        <v>52.1</v>
      </c>
      <c r="D34" s="355">
        <v>56.902388103947644</v>
      </c>
    </row>
    <row r="35" spans="1:34">
      <c r="A35" s="73" t="s">
        <v>124</v>
      </c>
      <c r="B35" s="355">
        <v>56.502539135194425</v>
      </c>
      <c r="C35" s="355">
        <v>68.400000000000006</v>
      </c>
      <c r="D35" s="355">
        <v>74.482419052658898</v>
      </c>
      <c r="AB35" s="11"/>
      <c r="AC35" s="63"/>
      <c r="AD35" s="63"/>
      <c r="AE35" s="63"/>
    </row>
    <row r="36" spans="1:34">
      <c r="A36" s="73" t="s">
        <v>125</v>
      </c>
      <c r="B36" s="355">
        <v>76.203098590516163</v>
      </c>
      <c r="C36" s="355">
        <v>84.325980904689914</v>
      </c>
      <c r="D36" s="355">
        <v>86.686105594208286</v>
      </c>
      <c r="L36" s="540"/>
      <c r="AB36" s="11"/>
      <c r="AC36" s="63"/>
      <c r="AD36" s="63"/>
      <c r="AE36" s="63"/>
    </row>
    <row r="37" spans="1:34">
      <c r="A37" s="73" t="s">
        <v>359</v>
      </c>
      <c r="B37" s="355">
        <v>1062.6960380280661</v>
      </c>
      <c r="C37" s="355">
        <v>1626.3519640365741</v>
      </c>
      <c r="D37" s="355">
        <v>1969.373241252649</v>
      </c>
      <c r="L37" s="63"/>
    </row>
    <row r="38" spans="1:34">
      <c r="L38" s="63"/>
    </row>
    <row r="39" spans="1:34" ht="409.6">
      <c r="A39" s="624" t="s">
        <v>495</v>
      </c>
      <c r="L39" s="63"/>
    </row>
    <row r="40" spans="1:34">
      <c r="A40" s="1"/>
      <c r="K40" s="252"/>
      <c r="L40" s="63"/>
    </row>
    <row r="41" spans="1:34">
      <c r="A41" s="73"/>
      <c r="L41" s="540"/>
    </row>
    <row r="42" spans="1:34">
      <c r="A42" s="1"/>
    </row>
    <row r="43" spans="1:34">
      <c r="A43" s="1"/>
    </row>
    <row r="44" spans="1:34">
      <c r="A44" s="252"/>
      <c r="B44" s="42"/>
      <c r="C44" s="42"/>
      <c r="D44" s="42"/>
      <c r="F44" s="252"/>
      <c r="G44" s="42"/>
      <c r="H44" s="42"/>
      <c r="I44" s="42"/>
      <c r="L44" s="42"/>
      <c r="M44" s="42"/>
      <c r="N44" s="42"/>
      <c r="Q44" s="42"/>
      <c r="R44" s="42"/>
      <c r="S44" s="99"/>
      <c r="T44" s="99"/>
      <c r="U44" s="42"/>
      <c r="V44" s="42"/>
      <c r="W44" s="99"/>
      <c r="Y44" s="31"/>
      <c r="AB44" s="42"/>
      <c r="AC44" s="42"/>
      <c r="AD44" s="42"/>
      <c r="AE44" s="42"/>
      <c r="AF44" s="42"/>
    </row>
    <row r="45" spans="1:34">
      <c r="B45" s="1"/>
      <c r="C45" s="1"/>
      <c r="D45" s="1"/>
      <c r="G45" s="1"/>
      <c r="H45" s="1"/>
      <c r="I45" s="1"/>
      <c r="L45" s="1"/>
      <c r="M45" s="1"/>
      <c r="N45" s="1"/>
      <c r="Q45" s="1"/>
      <c r="R45" s="1"/>
      <c r="S45" s="1"/>
      <c r="T45" s="1"/>
      <c r="U45" s="1"/>
      <c r="V45" s="1"/>
      <c r="W45" s="1"/>
      <c r="Y45" s="1"/>
      <c r="Z45" s="1"/>
      <c r="AA45" s="1"/>
      <c r="AC45" s="1"/>
      <c r="AD45" s="1"/>
      <c r="AE45" s="1"/>
      <c r="AG45" s="1"/>
      <c r="AH45" s="1"/>
    </row>
    <row r="46" spans="1:34">
      <c r="A46" s="11"/>
      <c r="B46" s="239"/>
      <c r="C46" s="281"/>
      <c r="D46" s="301"/>
      <c r="F46" s="11"/>
      <c r="G46" s="266"/>
      <c r="H46" s="281"/>
      <c r="I46" s="301"/>
      <c r="K46" s="11"/>
      <c r="L46" s="21"/>
      <c r="M46" s="280"/>
      <c r="N46" s="280"/>
      <c r="P46" s="11"/>
      <c r="Q46" s="283"/>
      <c r="R46" s="284"/>
      <c r="S46" s="11"/>
      <c r="T46" s="11"/>
      <c r="U46" s="285"/>
      <c r="V46" s="286"/>
      <c r="W46" s="287"/>
      <c r="X46" s="11"/>
      <c r="Y46" s="267"/>
      <c r="Z46" s="281"/>
      <c r="AA46" s="287"/>
      <c r="AB46" s="11"/>
      <c r="AC46" s="166"/>
      <c r="AD46" s="287"/>
      <c r="AE46" s="287"/>
      <c r="AF46" s="11"/>
      <c r="AG46" s="289"/>
      <c r="AH46" s="287"/>
    </row>
    <row r="47" spans="1:34">
      <c r="A47" s="11"/>
      <c r="B47" s="239"/>
      <c r="C47" s="281"/>
      <c r="D47" s="281"/>
      <c r="F47" s="11"/>
      <c r="G47" s="266"/>
      <c r="H47" s="281"/>
      <c r="I47" s="281"/>
      <c r="K47" s="11"/>
      <c r="L47" s="33"/>
      <c r="M47" s="288"/>
      <c r="N47" s="280"/>
      <c r="P47" s="11"/>
      <c r="Q47" s="283"/>
      <c r="R47" s="284"/>
      <c r="S47" s="11"/>
      <c r="T47" s="11"/>
      <c r="U47" s="47"/>
      <c r="V47" s="286"/>
      <c r="W47" s="287"/>
      <c r="X47" s="11"/>
      <c r="Y47" s="267"/>
      <c r="Z47" s="281"/>
      <c r="AA47" s="287"/>
      <c r="AB47" s="11"/>
      <c r="AC47" s="166"/>
      <c r="AD47" s="287"/>
      <c r="AE47" s="287"/>
      <c r="AF47" s="11"/>
      <c r="AG47" s="166"/>
      <c r="AH47" s="287"/>
    </row>
    <row r="48" spans="1:34">
      <c r="A48" s="11"/>
      <c r="B48" s="239"/>
      <c r="C48" s="281"/>
      <c r="D48" s="281"/>
      <c r="F48" s="11"/>
      <c r="G48" s="266"/>
      <c r="H48" s="281"/>
      <c r="I48" s="301"/>
      <c r="K48" s="11"/>
      <c r="L48" s="100"/>
      <c r="M48" s="288"/>
      <c r="N48" s="280"/>
      <c r="P48" s="11"/>
      <c r="Q48" s="283"/>
      <c r="R48" s="284"/>
      <c r="S48" s="11"/>
      <c r="T48" s="11"/>
      <c r="U48" s="47"/>
      <c r="V48" s="286"/>
      <c r="W48" s="287"/>
      <c r="X48" s="11"/>
      <c r="Y48" s="63"/>
      <c r="Z48" s="281"/>
      <c r="AA48" s="287"/>
      <c r="AB48" s="11"/>
      <c r="AC48" s="63"/>
      <c r="AD48" s="287"/>
      <c r="AE48" s="287"/>
      <c r="AF48" s="11"/>
      <c r="AG48" s="63"/>
      <c r="AH48" s="287"/>
    </row>
    <row r="49" spans="1:34">
      <c r="A49" s="11"/>
      <c r="B49" s="29"/>
      <c r="C49" s="281"/>
      <c r="D49" s="301"/>
      <c r="F49" s="11"/>
      <c r="G49" s="14"/>
      <c r="H49" s="281"/>
      <c r="I49" s="281"/>
      <c r="K49" s="11"/>
      <c r="L49" s="33"/>
      <c r="M49" s="288"/>
      <c r="N49" s="280"/>
      <c r="P49" s="11"/>
      <c r="Q49" s="283"/>
      <c r="R49" s="284"/>
      <c r="S49" s="11"/>
      <c r="T49" s="11"/>
      <c r="U49" s="289"/>
      <c r="V49" s="286"/>
      <c r="W49" s="287"/>
      <c r="X49" s="11"/>
      <c r="Y49" s="267"/>
      <c r="Z49" s="281"/>
      <c r="AA49" s="287"/>
      <c r="AB49" s="11"/>
      <c r="AC49" s="267"/>
      <c r="AD49" s="287"/>
      <c r="AE49" s="287"/>
      <c r="AF49" s="11"/>
      <c r="AG49" s="267"/>
      <c r="AH49" s="287"/>
    </row>
    <row r="50" spans="1:34">
      <c r="A50" s="11"/>
      <c r="B50" s="266"/>
      <c r="C50" s="281"/>
      <c r="D50" s="301"/>
      <c r="F50" s="11"/>
      <c r="G50" s="266"/>
      <c r="H50" s="281"/>
      <c r="I50" s="301"/>
      <c r="K50" s="11"/>
      <c r="L50" s="100"/>
      <c r="M50" s="288"/>
      <c r="N50" s="280"/>
      <c r="P50" s="11"/>
      <c r="Q50" s="269"/>
      <c r="R50" s="284"/>
      <c r="S50" s="11"/>
      <c r="T50" s="11"/>
      <c r="U50" s="47"/>
      <c r="V50" s="286"/>
      <c r="W50" s="12"/>
      <c r="X50" s="11"/>
      <c r="Y50" s="63"/>
      <c r="Z50" s="281"/>
      <c r="AA50" s="287"/>
      <c r="AB50" s="11"/>
      <c r="AC50" s="63"/>
      <c r="AD50" s="287"/>
      <c r="AE50" s="287"/>
      <c r="AF50" s="11"/>
      <c r="AG50" s="63"/>
      <c r="AH50" s="287"/>
    </row>
    <row r="51" spans="1:34">
      <c r="A51" s="11"/>
      <c r="B51" s="266"/>
      <c r="C51" s="281"/>
      <c r="D51" s="281"/>
      <c r="F51" s="11"/>
      <c r="G51" s="266"/>
      <c r="H51" s="281"/>
      <c r="I51" s="281"/>
      <c r="K51" s="11"/>
      <c r="L51" s="100"/>
      <c r="M51" s="288"/>
      <c r="N51" s="280"/>
      <c r="P51" s="11"/>
      <c r="Q51" s="283"/>
      <c r="R51" s="284"/>
      <c r="S51" s="11"/>
      <c r="T51" s="11"/>
      <c r="U51" s="47"/>
      <c r="V51" s="286"/>
      <c r="W51" s="12"/>
      <c r="X51" s="11"/>
      <c r="Y51" s="289"/>
      <c r="Z51" s="281"/>
      <c r="AA51" s="287"/>
      <c r="AB51" s="11"/>
      <c r="AC51" s="289"/>
      <c r="AD51" s="287"/>
      <c r="AE51" s="287"/>
      <c r="AF51" s="11"/>
      <c r="AG51" s="63"/>
      <c r="AH51" s="287"/>
    </row>
    <row r="52" spans="1:34">
      <c r="B52" s="266"/>
      <c r="C52" s="281"/>
      <c r="D52" s="281"/>
      <c r="G52" s="266"/>
      <c r="H52" s="281"/>
      <c r="I52" s="281"/>
      <c r="K52" s="11"/>
      <c r="L52" s="100"/>
      <c r="M52" s="288"/>
      <c r="N52" s="280"/>
      <c r="P52" s="11"/>
      <c r="Q52" s="283"/>
      <c r="R52" s="284"/>
      <c r="S52" s="11"/>
      <c r="T52" s="11"/>
      <c r="U52" s="47"/>
      <c r="V52" s="286"/>
      <c r="W52" s="12"/>
      <c r="X52" s="11"/>
      <c r="Y52" s="63"/>
      <c r="Z52" s="281"/>
      <c r="AA52" s="287"/>
      <c r="AC52" s="63"/>
      <c r="AD52" s="287"/>
      <c r="AE52" s="287"/>
      <c r="AF52" s="11"/>
      <c r="AG52" s="47"/>
      <c r="AH52" s="287"/>
    </row>
    <row r="53" spans="1:34">
      <c r="A53" s="11"/>
      <c r="B53" s="266"/>
      <c r="C53" s="281"/>
      <c r="D53" s="281"/>
      <c r="F53" s="11"/>
      <c r="G53" s="266"/>
      <c r="H53" s="281"/>
      <c r="I53" s="281"/>
      <c r="L53" s="93"/>
      <c r="M53" s="288"/>
      <c r="N53" s="280"/>
      <c r="Q53" s="101"/>
      <c r="R53" s="284"/>
      <c r="S53" s="11"/>
      <c r="T53" s="11"/>
      <c r="U53" s="47"/>
      <c r="V53" s="286"/>
      <c r="W53" s="12"/>
      <c r="X53" s="11"/>
      <c r="Y53" s="63"/>
      <c r="Z53" s="281"/>
      <c r="AA53" s="287"/>
      <c r="AB53" s="11"/>
      <c r="AC53" s="47"/>
      <c r="AD53" s="287"/>
      <c r="AE53" s="287"/>
      <c r="AF53" s="11"/>
      <c r="AG53" s="63"/>
      <c r="AH53" s="287"/>
    </row>
    <row r="54" spans="1:34">
      <c r="A54" s="11"/>
      <c r="B54" s="239"/>
      <c r="C54" s="281"/>
      <c r="D54" s="281"/>
      <c r="F54" s="11"/>
      <c r="G54" s="266"/>
      <c r="H54" s="281"/>
      <c r="I54" s="281"/>
      <c r="K54" s="11"/>
      <c r="L54" s="33"/>
      <c r="M54" s="288"/>
      <c r="N54" s="280"/>
      <c r="P54" s="11"/>
      <c r="Q54" s="283"/>
      <c r="R54" s="284"/>
      <c r="T54" s="11"/>
      <c r="U54" s="47"/>
      <c r="V54" s="286"/>
      <c r="W54" s="12"/>
      <c r="X54" s="11"/>
      <c r="Y54" s="47"/>
      <c r="Z54" s="281"/>
      <c r="AA54" s="287"/>
      <c r="AB54" s="11"/>
      <c r="AC54" s="63"/>
      <c r="AD54" s="287"/>
      <c r="AE54" s="287"/>
      <c r="AF54" s="11"/>
      <c r="AG54" s="63"/>
      <c r="AH54" s="287"/>
    </row>
    <row r="55" spans="1:34">
      <c r="A55" s="11"/>
      <c r="B55" s="63"/>
      <c r="C55" s="281"/>
      <c r="D55" s="281"/>
      <c r="F55" s="11"/>
      <c r="G55" s="266"/>
      <c r="H55" s="281"/>
      <c r="I55" s="281"/>
      <c r="K55" s="11"/>
      <c r="L55" s="33"/>
      <c r="M55" s="288"/>
      <c r="N55" s="280"/>
      <c r="P55" s="11"/>
      <c r="Q55" s="283"/>
      <c r="R55" s="284"/>
      <c r="S55" s="11"/>
      <c r="U55" s="47"/>
      <c r="V55" s="286"/>
      <c r="W55" s="12"/>
      <c r="X55" s="11"/>
      <c r="Y55" s="63"/>
      <c r="Z55" s="281"/>
      <c r="AA55" s="287"/>
      <c r="AB55" s="11"/>
      <c r="AC55" s="63"/>
      <c r="AD55" s="287"/>
      <c r="AE55" s="287"/>
      <c r="AF55" s="11"/>
      <c r="AG55" s="47"/>
      <c r="AH55" s="287"/>
    </row>
    <row r="56" spans="1:34">
      <c r="A56" s="11"/>
      <c r="B56" s="266"/>
      <c r="C56" s="281"/>
      <c r="D56" s="281"/>
      <c r="F56" s="11"/>
      <c r="G56" s="266"/>
      <c r="H56" s="281"/>
      <c r="I56" s="281"/>
      <c r="K56" s="11"/>
      <c r="L56" s="93"/>
      <c r="M56" s="288"/>
      <c r="N56" s="280"/>
      <c r="P56" s="11"/>
      <c r="Q56" s="33"/>
      <c r="R56" s="284"/>
      <c r="S56" s="11"/>
      <c r="T56" s="11"/>
      <c r="U56" s="47"/>
      <c r="V56" s="286"/>
      <c r="W56" s="12"/>
      <c r="Y56" s="63"/>
      <c r="Z56" s="281"/>
      <c r="AA56" s="287"/>
      <c r="AB56" s="11"/>
      <c r="AC56" s="47"/>
      <c r="AD56" s="287"/>
      <c r="AE56" s="287"/>
      <c r="AF56" s="11"/>
      <c r="AG56" s="47"/>
      <c r="AH56" s="287"/>
    </row>
    <row r="57" spans="1:34">
      <c r="A57" s="11"/>
      <c r="B57" s="239"/>
      <c r="C57" s="281"/>
      <c r="D57" s="281"/>
      <c r="F57" s="11"/>
      <c r="G57" s="12"/>
      <c r="H57" s="281"/>
      <c r="I57" s="281"/>
      <c r="K57" s="11"/>
      <c r="L57" s="33"/>
      <c r="M57" s="288"/>
      <c r="N57" s="280"/>
      <c r="P57" s="11"/>
      <c r="Q57" s="33"/>
      <c r="R57" s="284"/>
      <c r="S57" s="11"/>
      <c r="T57" s="11"/>
      <c r="U57" s="289"/>
      <c r="V57" s="286"/>
      <c r="W57" s="12"/>
      <c r="X57" s="11"/>
      <c r="Y57" s="63"/>
      <c r="Z57" s="281"/>
      <c r="AA57" s="287"/>
      <c r="AB57" s="11"/>
      <c r="AC57" s="47"/>
      <c r="AD57" s="287"/>
      <c r="AE57" s="287"/>
      <c r="AF57" s="11"/>
      <c r="AG57" s="289"/>
      <c r="AH57" s="287"/>
    </row>
    <row r="58" spans="1:34">
      <c r="A58" s="11"/>
      <c r="B58" s="266"/>
      <c r="C58" s="281"/>
      <c r="D58" s="281"/>
      <c r="F58" s="11"/>
      <c r="G58" s="266"/>
      <c r="H58" s="281"/>
      <c r="I58" s="281"/>
      <c r="K58" s="11"/>
      <c r="L58" s="93"/>
      <c r="M58" s="288"/>
      <c r="N58" s="280"/>
      <c r="P58" s="11"/>
      <c r="Q58" s="283"/>
      <c r="R58" s="284"/>
      <c r="S58" s="11"/>
      <c r="T58" s="11"/>
      <c r="U58" s="47"/>
      <c r="V58" s="286"/>
      <c r="W58" s="12"/>
      <c r="X58" s="11"/>
      <c r="Y58" s="47"/>
      <c r="Z58" s="281"/>
      <c r="AA58" s="287"/>
      <c r="AB58" s="11"/>
      <c r="AC58" s="63"/>
      <c r="AD58" s="287"/>
      <c r="AE58" s="287"/>
      <c r="AF58" s="11"/>
      <c r="AG58" s="47"/>
      <c r="AH58" s="287"/>
    </row>
    <row r="59" spans="1:34">
      <c r="A59" s="11"/>
      <c r="B59" s="239"/>
      <c r="C59" s="281"/>
      <c r="D59" s="281"/>
      <c r="F59" s="11"/>
      <c r="G59" s="266"/>
      <c r="H59" s="281"/>
      <c r="I59" s="281"/>
      <c r="K59" s="11"/>
      <c r="L59" s="33"/>
      <c r="M59" s="288"/>
      <c r="N59" s="280"/>
      <c r="P59" s="11"/>
      <c r="Q59" s="33"/>
      <c r="R59" s="284"/>
      <c r="S59" s="11"/>
      <c r="T59" s="11"/>
      <c r="U59" s="289"/>
      <c r="V59" s="286"/>
      <c r="W59" s="12"/>
      <c r="X59" s="11"/>
      <c r="Y59" s="63"/>
      <c r="Z59" s="281"/>
      <c r="AA59" s="287"/>
      <c r="AB59" s="11"/>
      <c r="AC59" s="63"/>
      <c r="AD59" s="287"/>
      <c r="AE59" s="287"/>
      <c r="AG59" s="63"/>
      <c r="AH59" s="287"/>
    </row>
    <row r="60" spans="1:34">
      <c r="A60" s="11"/>
      <c r="B60" s="290"/>
      <c r="C60" s="281"/>
      <c r="D60" s="281"/>
      <c r="F60" s="11"/>
      <c r="G60" s="290"/>
      <c r="H60" s="281"/>
      <c r="I60" s="281"/>
      <c r="K60" s="11"/>
      <c r="L60" s="33"/>
      <c r="M60" s="288"/>
      <c r="N60" s="280"/>
      <c r="P60" s="11"/>
      <c r="Q60" s="283"/>
      <c r="R60" s="284"/>
      <c r="S60" s="11"/>
      <c r="T60" s="11"/>
      <c r="U60" s="289"/>
      <c r="V60" s="286"/>
      <c r="W60" s="12"/>
      <c r="X60" s="11"/>
      <c r="Y60" s="63"/>
      <c r="Z60" s="281"/>
      <c r="AA60" s="287"/>
      <c r="AB60" s="11"/>
      <c r="AC60" s="63"/>
      <c r="AD60" s="281"/>
      <c r="AE60" s="287"/>
      <c r="AF60" s="11"/>
      <c r="AG60" s="63"/>
      <c r="AH60" s="281"/>
    </row>
    <row r="61" spans="1:34">
      <c r="A61" s="11"/>
      <c r="B61" s="266"/>
      <c r="C61" s="281"/>
      <c r="D61" s="281"/>
      <c r="F61" s="11"/>
      <c r="G61" s="266"/>
      <c r="H61" s="281"/>
      <c r="I61" s="281"/>
      <c r="K61" s="11"/>
      <c r="L61" s="33"/>
      <c r="M61" s="288"/>
      <c r="N61" s="280"/>
      <c r="P61" s="11"/>
      <c r="Q61" s="283"/>
      <c r="R61" s="284"/>
      <c r="T61" s="11"/>
      <c r="U61" s="47"/>
      <c r="V61" s="286"/>
      <c r="W61" s="12"/>
      <c r="X61" s="11"/>
      <c r="Y61" s="267"/>
      <c r="Z61" s="281"/>
      <c r="AA61" s="287"/>
      <c r="AB61" s="11"/>
      <c r="AC61" s="47"/>
      <c r="AD61" s="287"/>
      <c r="AE61" s="287"/>
      <c r="AF61" s="11"/>
      <c r="AG61" s="47"/>
      <c r="AH61" s="287"/>
    </row>
    <row r="62" spans="1:34">
      <c r="A62" s="11"/>
      <c r="B62" s="13"/>
      <c r="C62" s="281"/>
      <c r="D62" s="281"/>
      <c r="F62" s="11"/>
      <c r="G62" s="13"/>
      <c r="H62" s="281"/>
      <c r="I62" s="281"/>
      <c r="K62" s="11"/>
      <c r="L62" s="33"/>
      <c r="M62" s="288"/>
      <c r="N62" s="280"/>
      <c r="P62" s="11"/>
      <c r="Q62" s="101"/>
      <c r="R62" s="284"/>
      <c r="S62" s="11"/>
      <c r="T62" s="11"/>
      <c r="U62" s="103"/>
      <c r="V62" s="286"/>
      <c r="W62" s="12"/>
      <c r="Y62" s="63"/>
      <c r="Z62" s="281"/>
      <c r="AA62" s="287"/>
      <c r="AC62" s="63"/>
      <c r="AD62" s="287"/>
      <c r="AE62" s="287"/>
      <c r="AF62" s="11"/>
      <c r="AG62" s="47"/>
      <c r="AH62" s="287"/>
    </row>
    <row r="63" spans="1:34">
      <c r="A63" s="11"/>
      <c r="B63" s="290"/>
      <c r="C63" s="281"/>
      <c r="D63" s="281"/>
      <c r="F63" s="11"/>
      <c r="G63" s="290"/>
      <c r="H63" s="281"/>
      <c r="I63" s="281"/>
      <c r="K63" s="11"/>
      <c r="L63" s="33"/>
      <c r="M63" s="288"/>
      <c r="N63" s="280"/>
      <c r="P63" s="11"/>
      <c r="Q63" s="33"/>
      <c r="R63" s="284"/>
      <c r="S63" s="11"/>
      <c r="U63" s="63"/>
      <c r="V63" s="286"/>
      <c r="W63" s="12"/>
      <c r="X63" s="11"/>
      <c r="Y63" s="63"/>
      <c r="Z63" s="281"/>
      <c r="AA63" s="287"/>
      <c r="AB63" s="11"/>
      <c r="AC63" s="63"/>
      <c r="AD63" s="287"/>
      <c r="AE63" s="287"/>
      <c r="AG63" s="47"/>
      <c r="AH63" s="287"/>
    </row>
    <row r="64" spans="1:34">
      <c r="B64" s="101"/>
      <c r="C64" s="281"/>
      <c r="D64" s="281"/>
      <c r="G64" s="101"/>
      <c r="H64" s="281"/>
      <c r="I64" s="281"/>
      <c r="L64" s="100"/>
      <c r="M64" s="288"/>
      <c r="N64" s="280"/>
      <c r="Q64" s="101"/>
      <c r="R64" s="284"/>
      <c r="T64" s="11"/>
      <c r="U64" s="267"/>
      <c r="V64" s="286"/>
      <c r="W64" s="12"/>
      <c r="Y64" s="267"/>
      <c r="Z64" s="281"/>
      <c r="AA64" s="287"/>
      <c r="AC64" s="63"/>
      <c r="AD64" s="287"/>
      <c r="AE64" s="287"/>
      <c r="AF64" s="11"/>
      <c r="AG64" s="47"/>
      <c r="AH64" s="287"/>
    </row>
    <row r="65" spans="1:34">
      <c r="A65" s="282"/>
      <c r="B65" s="266"/>
      <c r="C65" s="281"/>
      <c r="D65" s="281"/>
      <c r="F65" s="282"/>
      <c r="G65" s="266"/>
      <c r="H65" s="281"/>
      <c r="I65" s="281"/>
      <c r="K65" s="282"/>
      <c r="L65" s="93"/>
      <c r="M65" s="288"/>
      <c r="N65" s="280"/>
      <c r="P65" s="282"/>
      <c r="Q65" s="101"/>
      <c r="R65" s="284"/>
      <c r="U65" s="47"/>
      <c r="V65" s="286"/>
      <c r="W65" s="12"/>
      <c r="X65" s="265"/>
      <c r="Y65" s="103"/>
      <c r="Z65" s="281"/>
      <c r="AA65" s="287"/>
      <c r="AC65" s="267"/>
      <c r="AD65" s="281"/>
      <c r="AE65" s="287"/>
      <c r="AF65" s="11"/>
      <c r="AG65" s="47"/>
      <c r="AH65" s="287"/>
    </row>
    <row r="66" spans="1:34">
      <c r="B66" s="266"/>
      <c r="C66" s="281"/>
      <c r="D66" s="29"/>
      <c r="G66" s="266"/>
      <c r="H66" s="281"/>
      <c r="I66" s="281"/>
      <c r="L66" s="93"/>
      <c r="M66" s="288"/>
      <c r="N66" s="280"/>
      <c r="Q66" s="269"/>
      <c r="R66" s="284"/>
      <c r="U66" s="267"/>
      <c r="V66" s="286"/>
      <c r="W66" s="12"/>
      <c r="X66" s="88"/>
      <c r="Y66" s="292"/>
      <c r="Z66" s="281"/>
      <c r="AA66" s="287"/>
      <c r="AB66" s="265"/>
      <c r="AC66" s="103"/>
      <c r="AD66" s="281"/>
      <c r="AE66" s="287"/>
      <c r="AG66" s="267"/>
      <c r="AH66" s="281"/>
    </row>
    <row r="67" spans="1:34">
      <c r="B67" s="155"/>
      <c r="C67" s="281"/>
      <c r="D67" s="281"/>
      <c r="G67" s="266"/>
      <c r="H67" s="281"/>
      <c r="I67" s="281"/>
      <c r="L67" s="93"/>
      <c r="M67" s="288"/>
      <c r="N67" s="280"/>
      <c r="P67" s="265"/>
      <c r="Q67" s="33"/>
      <c r="R67" s="284"/>
      <c r="T67" s="265"/>
      <c r="U67" s="103"/>
      <c r="V67" s="286"/>
      <c r="W67" s="12"/>
      <c r="Y67" s="63"/>
      <c r="Z67" s="281"/>
      <c r="AA67" s="287"/>
      <c r="AB67" s="88"/>
      <c r="AC67" s="292"/>
      <c r="AD67" s="281"/>
      <c r="AE67" s="287"/>
      <c r="AF67" s="265"/>
      <c r="AG67" s="103"/>
      <c r="AH67" s="281"/>
    </row>
    <row r="68" spans="1:34">
      <c r="A68" s="265"/>
      <c r="B68" s="291"/>
      <c r="C68" s="281"/>
      <c r="D68" s="281"/>
      <c r="F68" s="265"/>
      <c r="G68" s="291"/>
      <c r="H68" s="281"/>
      <c r="I68" s="281"/>
      <c r="K68" s="265"/>
      <c r="L68" s="33"/>
      <c r="M68" s="288"/>
      <c r="N68" s="280"/>
      <c r="P68" s="88"/>
      <c r="Q68" s="100"/>
      <c r="R68" s="284"/>
      <c r="T68" s="88"/>
      <c r="U68" s="292"/>
      <c r="V68" s="286"/>
      <c r="W68" s="12"/>
      <c r="X68" s="11"/>
      <c r="Y68" s="47"/>
      <c r="Z68" s="281"/>
      <c r="AB68" s="11"/>
      <c r="AC68" s="63"/>
      <c r="AD68" s="287"/>
      <c r="AE68" s="287"/>
      <c r="AF68" s="88"/>
      <c r="AG68" s="292"/>
      <c r="AH68" s="281"/>
    </row>
    <row r="69" spans="1:34">
      <c r="A69" s="88"/>
      <c r="B69" s="293"/>
      <c r="C69" s="281"/>
      <c r="D69" s="281"/>
      <c r="F69" s="88"/>
      <c r="G69" s="293"/>
      <c r="H69" s="281"/>
      <c r="I69" s="281"/>
      <c r="K69" s="88"/>
      <c r="L69" s="100"/>
      <c r="M69" s="288"/>
      <c r="N69" s="280"/>
      <c r="Q69" s="264"/>
      <c r="R69" s="284"/>
      <c r="S69" s="11"/>
      <c r="T69" s="11"/>
      <c r="U69" s="47"/>
      <c r="V69" s="286"/>
      <c r="W69" s="12"/>
      <c r="Y69" s="267"/>
      <c r="Z69" s="281"/>
      <c r="AB69" s="11"/>
      <c r="AC69" s="47"/>
      <c r="AD69" s="287"/>
      <c r="AE69" s="287"/>
      <c r="AF69" s="11"/>
      <c r="AG69" s="47"/>
      <c r="AH69" s="287"/>
    </row>
    <row r="70" spans="1:34">
      <c r="A70" s="11"/>
      <c r="B70" s="13"/>
      <c r="C70" s="281"/>
      <c r="D70" s="281"/>
      <c r="F70" s="11"/>
      <c r="G70" s="13"/>
      <c r="H70" s="281"/>
      <c r="I70" s="281"/>
      <c r="K70" s="11"/>
      <c r="L70" s="33"/>
      <c r="M70" s="288"/>
      <c r="N70" s="280"/>
      <c r="P70" s="11"/>
      <c r="Q70" s="100"/>
      <c r="R70" s="284"/>
      <c r="U70" s="267"/>
      <c r="V70" s="286"/>
      <c r="W70" s="287"/>
      <c r="Y70" s="267"/>
      <c r="Z70" s="281"/>
      <c r="AC70" s="267"/>
      <c r="AD70" s="281"/>
      <c r="AE70" s="287"/>
      <c r="AG70" s="267"/>
      <c r="AH70" s="281"/>
    </row>
    <row r="71" spans="1:34">
      <c r="A71" s="11"/>
      <c r="B71" s="13"/>
      <c r="C71" s="281"/>
      <c r="D71" s="281"/>
      <c r="F71" s="11"/>
      <c r="G71" s="13"/>
      <c r="H71" s="281"/>
      <c r="I71" s="281"/>
      <c r="K71" s="11"/>
      <c r="L71" s="33"/>
      <c r="M71" s="288"/>
      <c r="N71" s="280"/>
      <c r="P71" s="11"/>
      <c r="Q71" s="33"/>
      <c r="R71" s="284"/>
      <c r="T71" s="11"/>
      <c r="U71" s="63"/>
      <c r="V71" s="286"/>
      <c r="W71" s="98"/>
      <c r="X71" s="11"/>
      <c r="Y71" s="267"/>
      <c r="Z71" s="281"/>
      <c r="AB71" s="11"/>
      <c r="AC71" s="63"/>
      <c r="AD71" s="281"/>
      <c r="AF71" s="11"/>
      <c r="AG71" s="63"/>
      <c r="AH71" s="281"/>
    </row>
    <row r="72" spans="1:34">
      <c r="A72" s="11"/>
      <c r="B72" s="13"/>
      <c r="C72" s="281"/>
      <c r="D72" s="281"/>
      <c r="F72" s="11"/>
      <c r="G72" s="13"/>
      <c r="H72" s="281"/>
      <c r="I72" s="281"/>
      <c r="K72" s="11"/>
      <c r="L72" s="33"/>
      <c r="M72" s="288"/>
      <c r="N72" s="280"/>
      <c r="P72" s="11"/>
      <c r="Q72" s="101"/>
      <c r="R72" s="284"/>
      <c r="T72" s="11"/>
      <c r="U72" s="63"/>
      <c r="V72" s="286"/>
      <c r="W72" s="98"/>
      <c r="X72" s="11"/>
      <c r="Y72" s="63"/>
      <c r="Z72" s="281"/>
      <c r="AB72" s="11"/>
      <c r="AC72" s="267"/>
      <c r="AD72" s="12"/>
      <c r="AF72" s="11"/>
      <c r="AG72" s="47"/>
      <c r="AH72" s="281"/>
    </row>
    <row r="73" spans="1:34">
      <c r="A73" s="11"/>
      <c r="B73" s="12"/>
      <c r="C73" s="281"/>
      <c r="F73" s="11"/>
      <c r="G73" s="12"/>
      <c r="H73" s="281"/>
      <c r="K73" s="11"/>
      <c r="L73" s="33"/>
      <c r="M73" s="288"/>
      <c r="P73" s="11"/>
      <c r="Q73" s="283"/>
      <c r="R73" s="284"/>
      <c r="S73" s="11"/>
      <c r="T73" s="11"/>
      <c r="U73" s="47"/>
      <c r="V73" s="286"/>
      <c r="W73" s="98"/>
      <c r="Y73" s="47"/>
      <c r="Z73" s="281"/>
      <c r="AB73" s="11"/>
      <c r="AC73" s="47"/>
      <c r="AD73" s="287"/>
      <c r="AF73" s="11"/>
      <c r="AG73" s="47"/>
      <c r="AH73" s="287"/>
    </row>
    <row r="74" spans="1:34">
      <c r="B74" s="21"/>
      <c r="C74" s="21"/>
      <c r="D74" s="28"/>
      <c r="G74" s="21"/>
      <c r="H74" s="21"/>
      <c r="I74" s="28"/>
      <c r="L74" s="93"/>
      <c r="M74" s="93"/>
      <c r="N74" s="28"/>
      <c r="Q74" s="294"/>
      <c r="R74" s="101"/>
      <c r="S74" s="11"/>
      <c r="U74" s="63"/>
      <c r="V74" s="63"/>
      <c r="W74" s="98"/>
      <c r="AE74" s="98"/>
    </row>
    <row r="75" spans="1:34">
      <c r="B75" s="21"/>
      <c r="C75" s="21"/>
      <c r="D75" s="28"/>
      <c r="G75" s="21"/>
      <c r="H75" s="21"/>
      <c r="I75" s="28"/>
      <c r="L75" s="93"/>
      <c r="M75" s="93"/>
      <c r="N75" s="28"/>
      <c r="Q75" s="283"/>
      <c r="R75" s="101"/>
      <c r="S75" s="11"/>
      <c r="U75" s="63"/>
      <c r="V75" s="63"/>
      <c r="W75" s="98"/>
      <c r="AE75" s="98"/>
    </row>
    <row r="76" spans="1:34">
      <c r="A76" s="1"/>
      <c r="B76" s="21"/>
      <c r="C76" s="470"/>
      <c r="D76" s="98"/>
      <c r="F76" s="1"/>
      <c r="G76" s="21"/>
      <c r="H76" s="69"/>
      <c r="I76" s="98"/>
      <c r="K76" s="1"/>
      <c r="L76" s="93"/>
      <c r="M76" s="295"/>
      <c r="N76" s="98"/>
      <c r="P76" s="1"/>
      <c r="Q76" s="283"/>
      <c r="R76" s="269"/>
      <c r="S76" s="98"/>
      <c r="T76" s="1"/>
      <c r="U76" s="63"/>
      <c r="V76" s="296"/>
      <c r="W76" s="11"/>
      <c r="X76" s="31"/>
      <c r="Z76" s="31"/>
      <c r="AB76" s="31"/>
      <c r="AD76" s="31"/>
      <c r="AE76" s="98"/>
      <c r="AF76" s="1"/>
      <c r="AH76" s="31"/>
    </row>
    <row r="77" spans="1:34">
      <c r="A77" s="11"/>
      <c r="B77" s="12"/>
      <c r="C77" s="12"/>
      <c r="D77" s="98"/>
      <c r="F77" s="11"/>
      <c r="G77" s="12"/>
      <c r="H77" s="12"/>
      <c r="I77" s="98"/>
      <c r="K77" s="11"/>
      <c r="L77" s="33"/>
      <c r="M77" s="33"/>
      <c r="N77" s="98"/>
      <c r="P77" s="11"/>
      <c r="Q77" s="283"/>
      <c r="R77" s="283"/>
      <c r="S77" s="11"/>
      <c r="T77" s="11"/>
      <c r="U77" s="63"/>
      <c r="V77" s="47"/>
      <c r="X77" s="1"/>
      <c r="Z77" s="12"/>
      <c r="AB77" s="1"/>
      <c r="AC77" s="98"/>
      <c r="AD77" s="98"/>
      <c r="AE77" s="98"/>
      <c r="AF77" s="1"/>
      <c r="AG77" s="98"/>
      <c r="AH77" s="98"/>
    </row>
    <row r="78" spans="1:34">
      <c r="A78" s="11"/>
      <c r="B78" s="12"/>
      <c r="C78" s="12"/>
      <c r="D78" s="98"/>
      <c r="F78" s="11"/>
      <c r="G78" s="12"/>
      <c r="H78" s="12"/>
      <c r="I78" s="98"/>
      <c r="K78" s="11"/>
      <c r="L78" s="33"/>
      <c r="M78" s="33"/>
      <c r="N78" s="98"/>
      <c r="P78" s="11"/>
      <c r="Q78" s="283"/>
      <c r="R78" s="283"/>
      <c r="S78" s="11"/>
      <c r="T78" s="11"/>
      <c r="U78" s="63"/>
      <c r="V78" s="47"/>
      <c r="X78" s="1"/>
      <c r="Z78" s="98"/>
      <c r="AB78" s="1"/>
      <c r="AC78" s="98"/>
      <c r="AD78" s="98"/>
      <c r="AE78" s="11"/>
      <c r="AF78" s="1"/>
      <c r="AG78" s="98"/>
      <c r="AH78" s="98"/>
    </row>
    <row r="79" spans="1:34">
      <c r="A79" s="11"/>
      <c r="B79" s="12"/>
      <c r="C79" s="12"/>
      <c r="D79" s="12"/>
      <c r="F79" s="11"/>
      <c r="G79" s="12"/>
      <c r="H79" s="12"/>
      <c r="I79" s="12"/>
      <c r="K79" s="11"/>
      <c r="L79" s="33"/>
      <c r="M79" s="33"/>
      <c r="N79" s="12"/>
      <c r="P79" s="11"/>
      <c r="Q79" s="101"/>
      <c r="R79" s="283"/>
      <c r="S79" s="11"/>
      <c r="T79" s="11"/>
      <c r="U79" s="63"/>
      <c r="V79" s="47"/>
      <c r="X79" s="1"/>
      <c r="Z79" s="98"/>
      <c r="AB79" s="1"/>
      <c r="AC79" s="98"/>
      <c r="AD79" s="98"/>
      <c r="AF79" s="1"/>
      <c r="AG79" s="98"/>
      <c r="AH79" s="98"/>
    </row>
    <row r="80" spans="1:34">
      <c r="A80" s="11"/>
      <c r="B80" s="12"/>
      <c r="C80" s="12"/>
      <c r="F80" s="11"/>
      <c r="G80" s="12"/>
      <c r="H80" s="12"/>
      <c r="K80" s="11"/>
      <c r="L80" s="33"/>
      <c r="M80" s="33"/>
      <c r="P80" s="11"/>
      <c r="Q80" s="104"/>
      <c r="R80" s="33"/>
      <c r="T80" s="11"/>
      <c r="U80" s="63"/>
      <c r="V80" s="33"/>
      <c r="X80" s="1"/>
      <c r="Y80" s="11"/>
      <c r="Z80" s="33"/>
      <c r="AB80" s="1"/>
      <c r="AC80" s="11"/>
      <c r="AD80" s="12"/>
      <c r="AF80" s="11"/>
      <c r="AG80" s="11"/>
      <c r="AH80" s="12"/>
    </row>
    <row r="81" spans="2:34">
      <c r="C81" s="97"/>
      <c r="H81" s="29"/>
      <c r="M81" s="29"/>
      <c r="R81" s="29"/>
      <c r="V81" s="29"/>
      <c r="Z81" s="29"/>
      <c r="AD81" s="29"/>
      <c r="AH81" s="29"/>
    </row>
    <row r="82" spans="2:34">
      <c r="B82" s="21"/>
      <c r="G82" s="21"/>
      <c r="L82" s="297"/>
      <c r="AD82" s="6"/>
    </row>
    <row r="84" spans="2:34">
      <c r="B84" s="302"/>
      <c r="D84" s="87"/>
      <c r="G84" s="302"/>
      <c r="I84" s="87"/>
    </row>
    <row r="85" spans="2:34">
      <c r="B85" s="45"/>
      <c r="C85" s="87"/>
      <c r="G85" s="45"/>
      <c r="H85" s="87"/>
    </row>
    <row r="86" spans="2:34">
      <c r="B86" s="45"/>
      <c r="G86" s="45"/>
    </row>
    <row r="89" spans="2:34">
      <c r="B89" s="45"/>
    </row>
  </sheetData>
  <mergeCells count="1">
    <mergeCell ref="A1:F1"/>
  </mergeCells>
  <pageMargins left="0.7" right="0.7" top="0.75" bottom="0.75" header="0.3" footer="0.3"/>
  <pageSetup orientation="portrait" horizontalDpi="0" verticalDpi="0"/>
  <drawing r:id="rId1"/>
  <legacy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207AC-5966-C141-9DB1-948C50425D78}">
  <sheetPr>
    <tabColor rgb="FFFFC000"/>
  </sheetPr>
  <dimension ref="A1:AI31"/>
  <sheetViews>
    <sheetView zoomScale="85" zoomScaleNormal="85" workbookViewId="0">
      <pane xSplit="1" ySplit="2" topLeftCell="B3" activePane="bottomRight" state="frozen"/>
      <selection pane="topRight" activeCell="B1" sqref="B1"/>
      <selection pane="bottomLeft" activeCell="A3" sqref="A3"/>
      <selection pane="bottomRight" activeCell="D13" sqref="D13"/>
    </sheetView>
  </sheetViews>
  <sheetFormatPr baseColWidth="10" defaultColWidth="11.83203125" defaultRowHeight="16"/>
  <cols>
    <col min="1" max="1" width="40.33203125" style="2" customWidth="1"/>
    <col min="2" max="2" width="21.83203125" style="2" customWidth="1"/>
    <col min="3" max="4" width="11.83203125" style="2"/>
    <col min="5" max="5" width="10.1640625" style="2" bestFit="1" customWidth="1"/>
    <col min="6" max="16" width="11.83203125" style="2"/>
    <col min="17" max="17" width="11.83203125" style="2" customWidth="1"/>
    <col min="18" max="21" width="11.83203125" style="2"/>
    <col min="22" max="22" width="12.1640625" style="2" bestFit="1" customWidth="1"/>
    <col min="23" max="24" width="11.83203125" style="2"/>
    <col min="25" max="25" width="12.1640625" style="2" bestFit="1" customWidth="1"/>
    <col min="26" max="16384" width="11.83203125" style="2"/>
  </cols>
  <sheetData>
    <row r="1" spans="1:35" ht="43.25" customHeight="1">
      <c r="A1" s="645" t="s">
        <v>1100</v>
      </c>
      <c r="B1" s="645"/>
      <c r="C1" s="645"/>
      <c r="D1" s="645"/>
      <c r="E1" s="645"/>
      <c r="F1" s="645"/>
      <c r="G1" s="645"/>
      <c r="H1" s="645"/>
      <c r="I1" s="645"/>
      <c r="J1" s="645"/>
    </row>
    <row r="2" spans="1:35">
      <c r="A2" s="32"/>
      <c r="B2" s="46">
        <v>1984</v>
      </c>
      <c r="C2" s="46">
        <v>1988</v>
      </c>
      <c r="D2" s="46">
        <v>1992</v>
      </c>
      <c r="E2" s="46">
        <v>1996</v>
      </c>
      <c r="F2" s="46">
        <v>2000</v>
      </c>
      <c r="G2" s="46">
        <v>2004</v>
      </c>
      <c r="H2" s="46">
        <v>2008</v>
      </c>
      <c r="I2" s="46">
        <v>2010</v>
      </c>
      <c r="J2" s="46">
        <v>2011</v>
      </c>
      <c r="K2" s="46">
        <v>2012</v>
      </c>
      <c r="L2" s="46">
        <v>2013</v>
      </c>
      <c r="M2" s="46">
        <v>2014</v>
      </c>
      <c r="N2" s="46">
        <v>2015</v>
      </c>
      <c r="O2" s="46">
        <v>2016</v>
      </c>
      <c r="P2" s="46">
        <v>2017</v>
      </c>
      <c r="Q2" s="46">
        <v>2018</v>
      </c>
      <c r="R2" s="46">
        <v>2019</v>
      </c>
      <c r="S2" s="46">
        <v>2020</v>
      </c>
      <c r="T2" s="46">
        <v>2021</v>
      </c>
      <c r="U2" s="46">
        <v>2022</v>
      </c>
      <c r="V2" s="31">
        <v>2023</v>
      </c>
      <c r="W2" s="31">
        <v>2024</v>
      </c>
    </row>
    <row r="3" spans="1:35">
      <c r="A3" s="46" t="s">
        <v>123</v>
      </c>
      <c r="B3" s="236">
        <v>45.6205069028602</v>
      </c>
      <c r="C3" s="236">
        <v>40.355921014453479</v>
      </c>
      <c r="D3" s="236">
        <v>38.100660929832451</v>
      </c>
      <c r="E3" s="236">
        <v>33.15868537720295</v>
      </c>
      <c r="F3" s="236">
        <v>34.804234714491557</v>
      </c>
      <c r="G3" s="236">
        <v>30.707825565322672</v>
      </c>
      <c r="H3" s="236">
        <v>26.606824567736354</v>
      </c>
      <c r="I3" s="236">
        <v>26.826922761571577</v>
      </c>
      <c r="J3" s="236">
        <v>28.173441116253322</v>
      </c>
      <c r="K3" s="236">
        <v>27.252131054506691</v>
      </c>
      <c r="L3" s="236">
        <v>28.26254897198104</v>
      </c>
      <c r="M3" s="236">
        <v>28.611784908621722</v>
      </c>
      <c r="N3" s="236">
        <v>26.872616617406074</v>
      </c>
      <c r="O3" s="236">
        <v>26.300831991103614</v>
      </c>
      <c r="P3" s="236">
        <v>26.577968752740951</v>
      </c>
      <c r="Q3" s="236">
        <v>25.401525389363812</v>
      </c>
      <c r="R3" s="236">
        <v>24.639994745048398</v>
      </c>
      <c r="S3" s="236">
        <v>24.23757845153127</v>
      </c>
      <c r="T3" s="236">
        <v>22.340952093802031</v>
      </c>
      <c r="U3" s="236">
        <v>20.902317056847615</v>
      </c>
      <c r="V3" s="236">
        <v>20.330860522559092</v>
      </c>
      <c r="W3" s="236">
        <v>18.51274762171219</v>
      </c>
    </row>
    <row r="4" spans="1:35">
      <c r="A4" s="46" t="s">
        <v>124</v>
      </c>
      <c r="B4" s="236">
        <v>63.650392095166517</v>
      </c>
      <c r="C4" s="236">
        <v>58.456639290747738</v>
      </c>
      <c r="D4" s="236">
        <v>55.569918049598805</v>
      </c>
      <c r="E4" s="236">
        <v>54.393224920916545</v>
      </c>
      <c r="F4" s="236">
        <v>59.225268215951985</v>
      </c>
      <c r="G4" s="236">
        <v>59.178445524071719</v>
      </c>
      <c r="H4" s="236">
        <v>62.59219361189011</v>
      </c>
      <c r="I4" s="236">
        <v>64.289884927242284</v>
      </c>
      <c r="J4" s="236">
        <v>66.117652543124834</v>
      </c>
      <c r="K4" s="236">
        <v>65.149927690634101</v>
      </c>
      <c r="L4" s="236">
        <v>66.75233819194122</v>
      </c>
      <c r="M4" s="236">
        <v>66.817874555326057</v>
      </c>
      <c r="N4" s="236">
        <v>65.034047857559159</v>
      </c>
      <c r="O4" s="236">
        <v>64.677848706322536</v>
      </c>
      <c r="P4" s="236">
        <v>64.255500557064863</v>
      </c>
      <c r="Q4" s="236">
        <v>63.182079687204357</v>
      </c>
      <c r="R4" s="236">
        <v>61.031139402419029</v>
      </c>
      <c r="S4" s="236">
        <v>59.047683563170992</v>
      </c>
      <c r="T4" s="236">
        <v>56.837791014393972</v>
      </c>
      <c r="U4" s="236">
        <v>55.231359359416793</v>
      </c>
      <c r="V4" s="236">
        <v>58.549852129813807</v>
      </c>
      <c r="W4" s="236">
        <v>55.988079335035614</v>
      </c>
    </row>
    <row r="5" spans="1:35">
      <c r="A5" s="46" t="s">
        <v>239</v>
      </c>
      <c r="B5" s="236">
        <v>1.6100085368492247</v>
      </c>
      <c r="C5" s="236">
        <v>2.1852383344515389</v>
      </c>
      <c r="D5" s="236">
        <v>3.3429151322012727</v>
      </c>
      <c r="E5" s="236">
        <v>8.710735231113695</v>
      </c>
      <c r="F5" s="236">
        <v>45.451284551588842</v>
      </c>
      <c r="G5" s="236">
        <v>49.233900235721322</v>
      </c>
      <c r="H5" s="545">
        <v>26.474641130385567</v>
      </c>
      <c r="I5" s="545">
        <v>29.06976089254794</v>
      </c>
      <c r="J5" s="245">
        <v>57.441601277227122</v>
      </c>
      <c r="K5" s="245">
        <v>56.281187239215853</v>
      </c>
      <c r="L5" s="245">
        <v>57.136823899646942</v>
      </c>
      <c r="M5" s="245">
        <v>57.656081438075475</v>
      </c>
      <c r="N5" s="245">
        <v>54.678428394555191</v>
      </c>
      <c r="O5" s="245">
        <v>54.176950172069589</v>
      </c>
      <c r="P5" s="245">
        <v>53.670274128995395</v>
      </c>
      <c r="Q5" s="245">
        <v>52.336616959076864</v>
      </c>
      <c r="R5" s="245">
        <v>50.553908117630364</v>
      </c>
      <c r="S5" s="245">
        <v>49.497146888659103</v>
      </c>
      <c r="T5" s="245">
        <v>45.694879947691163</v>
      </c>
      <c r="U5" s="245">
        <v>43.155837544839002</v>
      </c>
      <c r="V5" s="245">
        <v>40.845842376558849</v>
      </c>
      <c r="W5" s="245">
        <v>38.281847810190314</v>
      </c>
    </row>
    <row r="6" spans="1:35">
      <c r="A6" s="46" t="s">
        <v>240</v>
      </c>
      <c r="B6" s="236"/>
      <c r="C6" s="236"/>
      <c r="D6" s="236"/>
      <c r="E6" s="236"/>
      <c r="F6" s="236"/>
      <c r="G6" s="236"/>
      <c r="H6" s="236">
        <v>1.2174389808959769</v>
      </c>
      <c r="I6" s="245">
        <v>2.317791037701002</v>
      </c>
      <c r="J6" s="245">
        <v>3.1494567593758154</v>
      </c>
      <c r="K6" s="245">
        <v>3.7083144315309795</v>
      </c>
      <c r="L6" s="245">
        <v>4.7515044956725365</v>
      </c>
      <c r="M6" s="245">
        <v>6.1561990496334218</v>
      </c>
      <c r="N6" s="245">
        <v>7.8053576331476435</v>
      </c>
      <c r="O6" s="245">
        <v>9.3458998474806734</v>
      </c>
      <c r="P6" s="245">
        <v>11.853009271458735</v>
      </c>
      <c r="Q6" s="245">
        <v>13.459924931325929</v>
      </c>
      <c r="R6" s="245">
        <v>16.222299119009644</v>
      </c>
      <c r="S6" s="245">
        <v>19.010369777165398</v>
      </c>
      <c r="T6" s="245">
        <v>22.571608233224367</v>
      </c>
      <c r="U6" s="245">
        <v>24.744705607479283</v>
      </c>
      <c r="V6" s="245">
        <v>26.332550386859012</v>
      </c>
      <c r="W6" s="245">
        <v>28.778719572819348</v>
      </c>
    </row>
    <row r="7" spans="1:35">
      <c r="B7" s="548"/>
      <c r="C7" s="548"/>
      <c r="D7" s="548"/>
      <c r="E7" s="548"/>
      <c r="F7" s="548"/>
      <c r="G7" s="548"/>
      <c r="H7" s="548"/>
      <c r="I7" s="548"/>
      <c r="J7" s="548"/>
      <c r="K7" s="548"/>
      <c r="L7" s="548"/>
      <c r="M7" s="548"/>
      <c r="N7" s="548"/>
      <c r="O7" s="548"/>
      <c r="P7" s="548"/>
      <c r="Q7" s="548"/>
      <c r="R7" s="548"/>
      <c r="S7" s="548"/>
      <c r="T7" s="548"/>
      <c r="U7" s="548"/>
      <c r="V7" s="548"/>
      <c r="W7" s="236"/>
    </row>
    <row r="8" spans="1:35">
      <c r="B8" s="548"/>
      <c r="C8" s="548"/>
      <c r="D8" s="548"/>
      <c r="E8" s="548"/>
      <c r="F8" s="548"/>
      <c r="G8" s="548"/>
      <c r="H8" s="548"/>
      <c r="I8" s="548"/>
      <c r="J8" s="548"/>
      <c r="K8" s="548"/>
      <c r="L8" s="548"/>
      <c r="M8" s="548"/>
      <c r="N8" s="548"/>
      <c r="O8" s="548"/>
      <c r="P8" s="548"/>
      <c r="Q8" s="548"/>
      <c r="R8" s="548"/>
      <c r="S8" s="548"/>
      <c r="T8" s="548"/>
      <c r="U8" s="548"/>
      <c r="V8" s="548"/>
    </row>
    <row r="9" spans="1:35">
      <c r="A9" s="11"/>
    </row>
    <row r="12" spans="1:35">
      <c r="B12" s="236"/>
      <c r="C12" s="236"/>
      <c r="D12" s="236"/>
      <c r="E12" s="236"/>
      <c r="F12" s="236"/>
      <c r="G12" s="236"/>
      <c r="H12" s="236"/>
      <c r="I12" s="236"/>
      <c r="J12" s="236"/>
      <c r="K12" s="236"/>
      <c r="L12" s="236"/>
      <c r="M12" s="236"/>
      <c r="N12" s="236"/>
      <c r="O12" s="236"/>
      <c r="P12" s="236"/>
      <c r="Q12" s="236"/>
      <c r="R12" s="236"/>
      <c r="S12" s="236"/>
      <c r="T12" s="236"/>
      <c r="U12" s="236"/>
      <c r="V12" s="236"/>
      <c r="W12" s="236"/>
    </row>
    <row r="13" spans="1:35">
      <c r="B13" s="236"/>
      <c r="C13" s="236"/>
      <c r="D13" s="236"/>
      <c r="E13" s="236"/>
      <c r="F13" s="236"/>
      <c r="G13" s="236"/>
      <c r="H13" s="236"/>
      <c r="I13" s="236"/>
      <c r="J13" s="236"/>
      <c r="K13" s="236"/>
      <c r="L13" s="236"/>
      <c r="M13" s="236"/>
      <c r="N13" s="236"/>
      <c r="O13" s="236"/>
      <c r="P13" s="236"/>
      <c r="Q13" s="236"/>
      <c r="R13" s="236"/>
      <c r="S13" s="236"/>
      <c r="T13" s="236"/>
      <c r="U13" s="236"/>
      <c r="V13" s="236"/>
      <c r="W13" s="236"/>
      <c r="Y13" s="109"/>
    </row>
    <row r="14" spans="1:35">
      <c r="B14" s="236"/>
      <c r="C14" s="236"/>
      <c r="D14" s="236"/>
      <c r="E14" s="236"/>
      <c r="F14" s="236"/>
      <c r="G14" s="236"/>
      <c r="H14" s="236"/>
      <c r="I14" s="236"/>
      <c r="J14" s="236"/>
      <c r="K14" s="236"/>
      <c r="L14" s="236"/>
      <c r="M14" s="236"/>
      <c r="N14" s="236"/>
      <c r="O14" s="236"/>
      <c r="P14" s="236"/>
      <c r="Q14" s="236"/>
      <c r="R14" s="236"/>
      <c r="S14" s="236"/>
      <c r="T14" s="236"/>
      <c r="U14" s="236"/>
      <c r="V14" s="236"/>
      <c r="W14" s="236"/>
      <c r="Y14" s="109"/>
      <c r="AI14" s="2">
        <v>84.9</v>
      </c>
    </row>
    <row r="15" spans="1:35">
      <c r="B15" s="236"/>
      <c r="C15" s="236"/>
      <c r="D15" s="236"/>
      <c r="E15" s="236"/>
      <c r="F15" s="236"/>
      <c r="G15" s="236"/>
      <c r="H15" s="236"/>
      <c r="I15" s="236"/>
      <c r="J15" s="236"/>
      <c r="K15" s="236"/>
      <c r="L15" s="236"/>
      <c r="M15" s="236"/>
      <c r="N15" s="236"/>
      <c r="O15" s="236"/>
      <c r="P15" s="236"/>
      <c r="Q15" s="236"/>
      <c r="R15" s="236"/>
      <c r="S15" s="236"/>
      <c r="T15" s="236"/>
      <c r="U15" s="236"/>
      <c r="V15" s="236"/>
      <c r="W15" s="236"/>
      <c r="Y15" s="109"/>
      <c r="AI15" s="2">
        <v>6.3720976542275682</v>
      </c>
    </row>
    <row r="16" spans="1:35">
      <c r="B16" s="236"/>
      <c r="C16" s="236"/>
      <c r="D16" s="236"/>
      <c r="E16" s="236"/>
      <c r="F16" s="236"/>
      <c r="G16" s="236"/>
      <c r="H16" s="236"/>
      <c r="I16" s="236"/>
      <c r="J16" s="236"/>
      <c r="K16" s="236"/>
      <c r="L16" s="236"/>
      <c r="M16" s="236"/>
      <c r="N16" s="236"/>
      <c r="O16" s="236"/>
      <c r="P16" s="236"/>
      <c r="Q16" s="236"/>
      <c r="R16" s="236"/>
      <c r="S16" s="236"/>
      <c r="T16" s="236"/>
      <c r="U16" s="236"/>
      <c r="V16" s="236"/>
      <c r="W16" s="236"/>
      <c r="Y16" s="21"/>
      <c r="AI16" s="2">
        <f>SUM(AI14:AI15)</f>
        <v>91.272097654227579</v>
      </c>
    </row>
    <row r="19" spans="25:31">
      <c r="AB19" s="109"/>
      <c r="AC19" s="109"/>
      <c r="AD19" s="109"/>
    </row>
    <row r="20" spans="25:31">
      <c r="AB20" s="109"/>
      <c r="AC20" s="109"/>
      <c r="AD20" s="109"/>
    </row>
    <row r="21" spans="25:31">
      <c r="AB21" s="109"/>
      <c r="AC21" s="109"/>
      <c r="AD21" s="109"/>
    </row>
    <row r="22" spans="25:31">
      <c r="AB22" s="109"/>
      <c r="AC22" s="33"/>
      <c r="AD22" s="109"/>
    </row>
    <row r="23" spans="25:31">
      <c r="AB23" s="109">
        <v>253</v>
      </c>
      <c r="AC23" s="109">
        <v>74.900000000000006</v>
      </c>
      <c r="AD23" s="33">
        <v>8.3000000000000007</v>
      </c>
    </row>
    <row r="24" spans="25:31">
      <c r="AB24" s="109">
        <v>63.4</v>
      </c>
      <c r="AC24" s="109">
        <v>141.1</v>
      </c>
      <c r="AD24" s="109">
        <v>143</v>
      </c>
    </row>
    <row r="25" spans="25:31">
      <c r="Y25" s="33">
        <v>224.3</v>
      </c>
      <c r="AB25" s="109">
        <v>305</v>
      </c>
      <c r="AC25" s="109">
        <v>302.7</v>
      </c>
      <c r="AD25" s="109">
        <v>166.7</v>
      </c>
    </row>
    <row r="26" spans="25:31">
      <c r="Y26" s="109">
        <v>8.9</v>
      </c>
      <c r="AB26" s="33">
        <v>497</v>
      </c>
    </row>
    <row r="27" spans="25:31">
      <c r="Y27" s="109">
        <v>850.1</v>
      </c>
      <c r="Z27" s="109">
        <v>59.7</v>
      </c>
      <c r="AB27" s="109">
        <v>130.30000000000001</v>
      </c>
    </row>
    <row r="28" spans="25:31">
      <c r="Y28" s="109">
        <v>29.4</v>
      </c>
      <c r="Z28" s="109">
        <v>659</v>
      </c>
      <c r="AB28" s="109">
        <v>308.5</v>
      </c>
    </row>
    <row r="29" spans="25:31">
      <c r="Y29" s="21">
        <f>SUM(Y25:Y28)</f>
        <v>1112.7</v>
      </c>
      <c r="Z29" s="21">
        <f>SUM(Z25:Z28)</f>
        <v>718.7</v>
      </c>
      <c r="AA29" s="21">
        <f>Y29+Z29</f>
        <v>1831.4</v>
      </c>
      <c r="AB29" s="21">
        <f>SUM(AB19:AB28)</f>
        <v>1557.2</v>
      </c>
      <c r="AC29" s="21">
        <f>SUM(AC19:AC28)</f>
        <v>518.70000000000005</v>
      </c>
      <c r="AD29" s="21">
        <f>SUM(AD19:AD28)</f>
        <v>318</v>
      </c>
      <c r="AE29" s="21">
        <f>SUM(AA29:AD29)</f>
        <v>4225.3</v>
      </c>
    </row>
    <row r="30" spans="25:31">
      <c r="AE30" s="2">
        <v>45325.231626000001</v>
      </c>
    </row>
    <row r="31" spans="25:31">
      <c r="AE31" s="2">
        <f>AE29/AE30</f>
        <v>9.3221807113198135E-2</v>
      </c>
    </row>
  </sheetData>
  <mergeCells count="1">
    <mergeCell ref="A1:J1"/>
  </mergeCells>
  <pageMargins left="0.7" right="0.7" top="0.75" bottom="0.75" header="0.3" footer="0.3"/>
  <pageSetup orientation="portrait" verticalDpi="0" r:id="rId1"/>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0BA6B-6DD5-704A-94F4-37FD95A31F50}">
  <sheetPr>
    <tabColor rgb="FFFFC000"/>
  </sheetPr>
  <dimension ref="A1:AA142"/>
  <sheetViews>
    <sheetView zoomScaleNormal="130" workbookViewId="0">
      <pane xSplit="1" ySplit="2" topLeftCell="B3" activePane="bottomRight" state="frozen"/>
      <selection pane="topRight" activeCell="B1" sqref="B1"/>
      <selection pane="bottomLeft" activeCell="A3" sqref="A3"/>
      <selection pane="bottomRight" activeCell="C19" sqref="C19"/>
    </sheetView>
  </sheetViews>
  <sheetFormatPr baseColWidth="10" defaultColWidth="11" defaultRowHeight="16"/>
  <cols>
    <col min="1" max="1" width="30" style="2" customWidth="1"/>
    <col min="2" max="8" width="12.33203125" style="2" customWidth="1"/>
    <col min="9" max="9" width="14.5" style="2" customWidth="1"/>
    <col min="10" max="26" width="12.33203125" style="2" customWidth="1"/>
    <col min="27" max="16384" width="11" style="2"/>
  </cols>
  <sheetData>
    <row r="1" spans="1:27">
      <c r="A1" s="646" t="s">
        <v>1101</v>
      </c>
      <c r="B1" s="646"/>
      <c r="C1" s="646"/>
      <c r="D1" s="646"/>
      <c r="E1" s="646"/>
      <c r="F1" s="646"/>
      <c r="G1" s="646"/>
      <c r="H1" s="646"/>
      <c r="I1" s="646"/>
      <c r="J1" s="646"/>
      <c r="K1" s="646"/>
    </row>
    <row r="2" spans="1:27" ht="17" customHeight="1">
      <c r="A2" s="31"/>
      <c r="B2" s="235">
        <v>1984</v>
      </c>
      <c r="C2" s="235">
        <v>1988</v>
      </c>
      <c r="D2" s="235">
        <v>1992</v>
      </c>
      <c r="E2" s="235">
        <v>1996</v>
      </c>
      <c r="F2" s="235">
        <v>2000</v>
      </c>
      <c r="G2" s="235">
        <v>2004</v>
      </c>
      <c r="H2" s="235">
        <v>2008</v>
      </c>
      <c r="I2" s="235">
        <v>2010</v>
      </c>
      <c r="J2" s="235">
        <v>2011</v>
      </c>
      <c r="K2" s="235">
        <v>2012</v>
      </c>
      <c r="L2" s="235">
        <v>2013</v>
      </c>
      <c r="M2" s="235">
        <v>2014</v>
      </c>
      <c r="N2" s="235">
        <v>2015</v>
      </c>
      <c r="O2" s="235">
        <v>2016</v>
      </c>
      <c r="P2" s="235">
        <v>2017</v>
      </c>
      <c r="Q2" s="235">
        <v>2018</v>
      </c>
      <c r="R2" s="235">
        <v>2019</v>
      </c>
      <c r="S2" s="235">
        <v>2020</v>
      </c>
      <c r="T2" s="235">
        <v>2021</v>
      </c>
      <c r="U2" s="235">
        <v>2022</v>
      </c>
      <c r="V2" s="31">
        <v>2023</v>
      </c>
      <c r="W2" s="31">
        <v>2024</v>
      </c>
    </row>
    <row r="3" spans="1:27">
      <c r="A3" s="2" t="s">
        <v>496</v>
      </c>
      <c r="B3" s="21">
        <v>526.20000000000005</v>
      </c>
      <c r="C3" s="21">
        <v>627.9</v>
      </c>
      <c r="D3" s="21">
        <v>724.5</v>
      </c>
      <c r="E3" s="21">
        <v>763.8</v>
      </c>
      <c r="F3" s="21">
        <v>984.9</v>
      </c>
      <c r="G3" s="21">
        <v>1208.0999999999999</v>
      </c>
      <c r="H3" s="21">
        <v>1560.03</v>
      </c>
      <c r="I3" s="21">
        <v>1664.21</v>
      </c>
      <c r="J3" s="21">
        <v>1735.61</v>
      </c>
      <c r="K3" s="21">
        <v>1719.64</v>
      </c>
      <c r="L3" s="21">
        <v>1719.28</v>
      </c>
      <c r="M3" s="21">
        <v>1615.3</v>
      </c>
      <c r="N3" s="21">
        <v>1608.5</v>
      </c>
      <c r="O3" s="21">
        <v>1550.6</v>
      </c>
      <c r="P3" s="21">
        <v>1520.8</v>
      </c>
      <c r="Q3" s="21">
        <v>1512.3</v>
      </c>
      <c r="R3" s="21">
        <v>1452.2</v>
      </c>
      <c r="S3" s="21">
        <v>1149.8499999999999</v>
      </c>
      <c r="T3" s="21">
        <v>1073.74</v>
      </c>
      <c r="U3" s="21">
        <v>1109.93</v>
      </c>
      <c r="V3" s="21">
        <v>1103.79</v>
      </c>
      <c r="W3" s="21">
        <v>1093.57</v>
      </c>
    </row>
    <row r="4" spans="1:27">
      <c r="A4" s="2" t="s">
        <v>497</v>
      </c>
      <c r="B4" s="21">
        <v>243</v>
      </c>
      <c r="C4" s="21">
        <v>267</v>
      </c>
      <c r="D4" s="21">
        <v>261.39999999999998</v>
      </c>
      <c r="E4" s="21">
        <v>279.60000000000002</v>
      </c>
      <c r="F4" s="21">
        <v>271.3</v>
      </c>
      <c r="G4" s="21">
        <v>305.8</v>
      </c>
      <c r="H4" s="21">
        <v>396.6</v>
      </c>
      <c r="I4" s="21">
        <v>358.3</v>
      </c>
      <c r="J4" s="21">
        <v>327.3</v>
      </c>
      <c r="K4" s="21">
        <v>316.5</v>
      </c>
      <c r="L4" s="21">
        <v>309.5</v>
      </c>
      <c r="M4" s="21">
        <v>291.7</v>
      </c>
      <c r="N4" s="21">
        <v>268.89999999999998</v>
      </c>
      <c r="O4" s="21">
        <v>280.95999999999998</v>
      </c>
      <c r="P4" s="21">
        <v>314.10000000000002</v>
      </c>
      <c r="Q4" s="21">
        <v>348.2</v>
      </c>
      <c r="R4" s="21">
        <v>362.8</v>
      </c>
      <c r="S4" s="21">
        <v>371.7</v>
      </c>
      <c r="T4" s="21">
        <v>392.7</v>
      </c>
      <c r="U4" s="21">
        <v>358.5</v>
      </c>
      <c r="V4" s="21">
        <v>375</v>
      </c>
      <c r="W4" s="21">
        <v>415.3</v>
      </c>
    </row>
    <row r="5" spans="1:27">
      <c r="A5" s="29" t="s">
        <v>498</v>
      </c>
      <c r="B5" s="21"/>
      <c r="C5" s="21"/>
      <c r="D5" s="21"/>
      <c r="E5" s="21"/>
      <c r="F5" s="21"/>
      <c r="G5" s="21"/>
      <c r="H5" s="21">
        <v>122.01</v>
      </c>
      <c r="I5" s="21">
        <v>189.48</v>
      </c>
      <c r="J5" s="21">
        <v>238.39</v>
      </c>
      <c r="K5" s="21">
        <v>259.60000000000002</v>
      </c>
      <c r="L5" s="21">
        <v>232.35</v>
      </c>
      <c r="M5" s="21">
        <v>262.8</v>
      </c>
      <c r="N5" s="21">
        <v>298.26</v>
      </c>
      <c r="O5" s="21">
        <v>287.63</v>
      </c>
      <c r="P5" s="21">
        <v>422.17</v>
      </c>
      <c r="Q5" s="21">
        <v>467.32</v>
      </c>
      <c r="R5" s="21">
        <v>486.91</v>
      </c>
      <c r="S5" s="21">
        <v>487.84</v>
      </c>
      <c r="T5" s="21">
        <v>470.17</v>
      </c>
      <c r="U5" s="21">
        <v>531.73</v>
      </c>
      <c r="V5" s="21">
        <v>520.69000000000005</v>
      </c>
      <c r="W5" s="21">
        <v>508.19875584158416</v>
      </c>
      <c r="Y5" s="21"/>
      <c r="AA5" s="331"/>
    </row>
    <row r="6" spans="1:27" ht="15" customHeight="1">
      <c r="A6" s="31" t="s">
        <v>499</v>
      </c>
      <c r="B6" s="21">
        <v>769.2</v>
      </c>
      <c r="C6" s="21">
        <v>894.9</v>
      </c>
      <c r="D6" s="21">
        <v>985.9</v>
      </c>
      <c r="E6" s="21">
        <v>1043.4000000000001</v>
      </c>
      <c r="F6" s="21">
        <v>1256.2</v>
      </c>
      <c r="G6" s="21">
        <v>1513.8999999999999</v>
      </c>
      <c r="H6" s="21">
        <v>2078.6400000000003</v>
      </c>
      <c r="I6" s="21">
        <v>2211.9899999999998</v>
      </c>
      <c r="J6" s="21">
        <v>2301.2999999999997</v>
      </c>
      <c r="K6" s="21">
        <v>2295.7400000000002</v>
      </c>
      <c r="L6" s="21">
        <v>2261.13</v>
      </c>
      <c r="M6" s="21">
        <v>2169.8000000000002</v>
      </c>
      <c r="N6" s="21">
        <v>2175.66</v>
      </c>
      <c r="O6" s="21">
        <v>2119.19</v>
      </c>
      <c r="P6" s="21">
        <v>2257.0700000000002</v>
      </c>
      <c r="Q6" s="21">
        <v>2327.8200000000002</v>
      </c>
      <c r="R6" s="21">
        <v>2301.91</v>
      </c>
      <c r="S6" s="21">
        <v>2009.3899999999999</v>
      </c>
      <c r="T6" s="21">
        <v>1936.6100000000001</v>
      </c>
      <c r="U6" s="21">
        <v>2000.16</v>
      </c>
      <c r="V6" s="21">
        <v>1999.48</v>
      </c>
      <c r="W6" s="21">
        <v>2017.0687558415841</v>
      </c>
    </row>
    <row r="7" spans="1:27" ht="15" customHeight="1">
      <c r="L7" s="29"/>
      <c r="M7" s="29"/>
      <c r="N7" s="29"/>
      <c r="O7" s="29"/>
      <c r="P7" s="29"/>
      <c r="Q7" s="29"/>
      <c r="R7" s="29"/>
      <c r="S7" s="29"/>
      <c r="T7" s="29"/>
      <c r="U7" s="29"/>
    </row>
    <row r="8" spans="1:27" ht="15" customHeight="1">
      <c r="B8" s="332"/>
      <c r="C8" s="332"/>
      <c r="D8" s="332"/>
      <c r="E8" s="332"/>
      <c r="F8" s="332"/>
      <c r="G8" s="332"/>
      <c r="H8" s="332"/>
      <c r="I8" s="332"/>
      <c r="J8" s="332"/>
      <c r="K8" s="332"/>
      <c r="L8" s="332"/>
      <c r="M8" s="332"/>
      <c r="N8" s="332"/>
      <c r="O8" s="332"/>
      <c r="P8" s="332"/>
      <c r="Q8" s="332"/>
      <c r="R8" s="332"/>
      <c r="S8" s="332"/>
      <c r="T8" s="332"/>
      <c r="U8" s="332"/>
      <c r="V8" s="332"/>
    </row>
    <row r="9" spans="1:27" ht="15" customHeight="1">
      <c r="B9" s="57">
        <v>0.6840873634945398</v>
      </c>
      <c r="C9" s="57">
        <v>0.70164264163593693</v>
      </c>
      <c r="D9" s="57">
        <v>0.734861547824323</v>
      </c>
      <c r="E9" s="57">
        <v>0.73202990224266806</v>
      </c>
      <c r="F9" s="57">
        <v>0.78403120522209835</v>
      </c>
      <c r="G9" s="57">
        <v>0.79800515225576329</v>
      </c>
      <c r="H9" s="57">
        <v>0.75050513797482954</v>
      </c>
      <c r="I9" s="57">
        <v>0.75235873579898649</v>
      </c>
      <c r="J9" s="57">
        <v>0.75418676400295492</v>
      </c>
      <c r="K9" s="57">
        <v>0.74905694895763453</v>
      </c>
      <c r="L9" s="57">
        <v>0.7603631812412377</v>
      </c>
      <c r="M9" s="57">
        <v>0.74444649276430996</v>
      </c>
      <c r="N9" s="57">
        <v>0.73931588575420792</v>
      </c>
      <c r="O9" s="57">
        <v>0.7316946569208046</v>
      </c>
      <c r="P9" s="57">
        <v>0.67379390094237213</v>
      </c>
      <c r="Q9" s="57">
        <v>0.64966363378611747</v>
      </c>
      <c r="R9" s="57">
        <v>0.63086741010725877</v>
      </c>
      <c r="S9" s="57">
        <v>0.57223834098905635</v>
      </c>
      <c r="T9" s="57">
        <v>0.55444307320524</v>
      </c>
      <c r="U9" s="57">
        <v>0.55492060635149187</v>
      </c>
      <c r="V9" s="57">
        <v>0.55203853001780456</v>
      </c>
      <c r="W9" s="57">
        <v>0.54215801857667878</v>
      </c>
    </row>
    <row r="10" spans="1:27" ht="20" customHeight="1">
      <c r="B10" s="57">
        <v>0.3159126365054602</v>
      </c>
      <c r="C10" s="57">
        <v>0.29835735836406302</v>
      </c>
      <c r="D10" s="57">
        <v>0.26513845217567705</v>
      </c>
      <c r="E10" s="57">
        <v>0.26797009775733177</v>
      </c>
      <c r="F10" s="57">
        <v>0.2159687947779016</v>
      </c>
      <c r="G10" s="57">
        <v>0.20199484774423676</v>
      </c>
      <c r="H10" s="57">
        <v>0.19079782934995956</v>
      </c>
      <c r="I10" s="57">
        <v>0.16198084078137787</v>
      </c>
      <c r="J10" s="57">
        <v>0.14222396037022556</v>
      </c>
      <c r="K10" s="57">
        <v>0.1378640438377168</v>
      </c>
      <c r="L10" s="57">
        <v>0.13687846342315568</v>
      </c>
      <c r="M10" s="57">
        <v>0.13443635358097519</v>
      </c>
      <c r="N10" s="57">
        <v>0.12359467931570189</v>
      </c>
      <c r="O10" s="57">
        <v>0.13257895705434622</v>
      </c>
      <c r="P10" s="57">
        <v>0.1391627198093103</v>
      </c>
      <c r="Q10" s="57">
        <v>0.14958201235490715</v>
      </c>
      <c r="R10" s="57">
        <v>0.15760824706439436</v>
      </c>
      <c r="S10" s="57">
        <v>0.18498151180208919</v>
      </c>
      <c r="T10" s="57">
        <v>0.20277701757194272</v>
      </c>
      <c r="U10" s="57">
        <v>0.17923566114710823</v>
      </c>
      <c r="V10" s="57">
        <v>0.18754876267829634</v>
      </c>
      <c r="W10" s="57">
        <v>0.20589283275409415</v>
      </c>
    </row>
    <row r="11" spans="1:27">
      <c r="B11" s="57">
        <v>0</v>
      </c>
      <c r="C11" s="57">
        <v>0</v>
      </c>
      <c r="D11" s="57">
        <v>0</v>
      </c>
      <c r="E11" s="57">
        <v>0</v>
      </c>
      <c r="F11" s="57">
        <v>0</v>
      </c>
      <c r="G11" s="57">
        <v>0</v>
      </c>
      <c r="H11" s="57">
        <v>5.869703267521071E-2</v>
      </c>
      <c r="I11" s="57">
        <v>8.5660423419635714E-2</v>
      </c>
      <c r="J11" s="57">
        <v>0.10358927562681963</v>
      </c>
      <c r="K11" s="57">
        <v>0.11307900720464861</v>
      </c>
      <c r="L11" s="57">
        <v>0.10275835533560652</v>
      </c>
      <c r="M11" s="57">
        <v>0.12111715365471472</v>
      </c>
      <c r="N11" s="57">
        <v>0.13708943493009018</v>
      </c>
      <c r="O11" s="57">
        <v>0.1357263860248491</v>
      </c>
      <c r="P11" s="57">
        <v>0.18704337924831752</v>
      </c>
      <c r="Q11" s="57">
        <v>0.20075435385897533</v>
      </c>
      <c r="R11" s="57">
        <v>0.21152434282834692</v>
      </c>
      <c r="S11" s="57">
        <v>0.24278014720885444</v>
      </c>
      <c r="T11" s="57">
        <v>0.24277990922281717</v>
      </c>
      <c r="U11" s="57">
        <v>0.26584373250139987</v>
      </c>
      <c r="V11" s="57">
        <v>0.26041270730389904</v>
      </c>
      <c r="W11" s="57">
        <v>0.25194914866922707</v>
      </c>
    </row>
    <row r="12" spans="1:27">
      <c r="R12" s="44"/>
    </row>
    <row r="13" spans="1:27">
      <c r="R13" s="44"/>
    </row>
    <row r="14" spans="1:27">
      <c r="R14" s="44"/>
    </row>
    <row r="15" spans="1:27">
      <c r="B15" s="11"/>
      <c r="C15" s="30"/>
      <c r="M15" s="306"/>
      <c r="N15" s="94"/>
      <c r="R15" s="44"/>
    </row>
    <row r="16" spans="1:27">
      <c r="B16" s="11"/>
      <c r="C16" s="30"/>
      <c r="M16" s="306"/>
      <c r="N16" s="306"/>
      <c r="R16" s="44"/>
    </row>
    <row r="17" spans="2:18">
      <c r="B17" s="11"/>
      <c r="C17" s="30"/>
      <c r="M17" s="306"/>
      <c r="N17" s="306"/>
      <c r="R17" s="44"/>
    </row>
    <row r="18" spans="2:18">
      <c r="B18" s="11"/>
      <c r="C18" s="30"/>
      <c r="M18" s="306"/>
      <c r="N18" s="306"/>
      <c r="R18" s="44"/>
    </row>
    <row r="19" spans="2:18">
      <c r="B19" s="11"/>
      <c r="C19" s="30"/>
      <c r="M19" s="306"/>
      <c r="N19" s="306"/>
    </row>
    <row r="20" spans="2:18">
      <c r="B20" s="11"/>
      <c r="C20" s="30"/>
    </row>
    <row r="21" spans="2:18">
      <c r="B21" s="11"/>
      <c r="C21" s="30"/>
    </row>
    <row r="22" spans="2:18">
      <c r="B22" s="11"/>
      <c r="C22" s="30"/>
    </row>
    <row r="23" spans="2:18">
      <c r="B23" s="11"/>
      <c r="C23" s="30"/>
    </row>
    <row r="24" spans="2:18">
      <c r="B24" s="11"/>
      <c r="C24" s="30"/>
    </row>
    <row r="25" spans="2:18">
      <c r="B25" s="11"/>
      <c r="C25" s="30"/>
      <c r="L25" s="332"/>
    </row>
    <row r="26" spans="2:18">
      <c r="B26" s="11"/>
      <c r="C26" s="30"/>
      <c r="L26" s="332"/>
    </row>
    <row r="27" spans="2:18">
      <c r="B27" s="11"/>
      <c r="C27" s="30"/>
      <c r="L27" s="332"/>
    </row>
    <row r="28" spans="2:18">
      <c r="B28" s="11"/>
      <c r="C28" s="519"/>
      <c r="D28" s="387"/>
      <c r="E28" s="387"/>
      <c r="F28" s="387"/>
      <c r="G28" s="499"/>
      <c r="H28" s="542"/>
      <c r="I28" s="520"/>
      <c r="L28" s="332"/>
    </row>
    <row r="29" spans="2:18">
      <c r="B29" s="11"/>
      <c r="L29" s="332"/>
    </row>
    <row r="30" spans="2:18">
      <c r="B30" s="11"/>
      <c r="C30" s="519"/>
      <c r="D30" s="387"/>
      <c r="E30" s="387"/>
      <c r="F30" s="387"/>
      <c r="G30" s="499"/>
      <c r="H30" s="542"/>
      <c r="I30" s="520"/>
      <c r="L30" s="332"/>
    </row>
    <row r="31" spans="2:18">
      <c r="B31" s="11"/>
      <c r="C31" s="519"/>
      <c r="D31" s="387"/>
      <c r="E31" s="387"/>
      <c r="F31" s="387"/>
      <c r="G31" s="499"/>
      <c r="H31" s="542"/>
      <c r="I31" s="520"/>
      <c r="L31" s="332"/>
    </row>
    <row r="32" spans="2:18">
      <c r="B32" s="11"/>
    </row>
    <row r="33" spans="2:17">
      <c r="B33" s="11"/>
      <c r="C33" s="543"/>
      <c r="D33" s="498"/>
      <c r="E33" s="387"/>
      <c r="F33" s="387"/>
      <c r="G33" s="499"/>
      <c r="H33" s="542"/>
      <c r="I33" s="520"/>
      <c r="L33" s="332"/>
    </row>
    <row r="34" spans="2:17">
      <c r="B34" s="94"/>
      <c r="C34" s="543"/>
      <c r="D34" s="498"/>
      <c r="E34" s="387"/>
      <c r="F34" s="387"/>
      <c r="G34" s="499"/>
      <c r="H34" s="542"/>
      <c r="I34" s="520"/>
      <c r="L34" s="332"/>
    </row>
    <row r="35" spans="2:17">
      <c r="B35" s="97"/>
      <c r="C35" s="543"/>
      <c r="D35" s="498"/>
      <c r="E35" s="387"/>
      <c r="F35" s="387"/>
      <c r="G35" s="499"/>
      <c r="H35" s="542"/>
      <c r="I35" s="520"/>
      <c r="L35" s="332"/>
    </row>
    <row r="36" spans="2:17">
      <c r="C36" s="543"/>
      <c r="D36" s="498"/>
      <c r="E36" s="387"/>
      <c r="F36" s="387"/>
      <c r="G36" s="499"/>
      <c r="H36" s="542"/>
      <c r="I36" s="520"/>
      <c r="L36" s="332"/>
    </row>
    <row r="37" spans="2:17">
      <c r="C37" s="543"/>
      <c r="D37" s="544"/>
      <c r="E37" s="387"/>
      <c r="F37" s="387"/>
      <c r="G37" s="499"/>
      <c r="H37" s="542"/>
      <c r="I37" s="520"/>
      <c r="L37" s="332"/>
    </row>
    <row r="38" spans="2:17">
      <c r="C38" s="543"/>
      <c r="D38" s="544"/>
      <c r="E38" s="387"/>
      <c r="F38" s="387"/>
      <c r="G38" s="499"/>
      <c r="H38" s="542"/>
      <c r="I38" s="520"/>
      <c r="J38" s="520"/>
      <c r="K38" s="520"/>
      <c r="L38" s="520"/>
      <c r="M38" s="520"/>
      <c r="N38" s="520"/>
      <c r="O38" s="520"/>
      <c r="P38" s="520"/>
      <c r="Q38" s="520"/>
    </row>
    <row r="39" spans="2:17">
      <c r="C39" s="543"/>
      <c r="D39" s="544"/>
      <c r="E39" s="387"/>
      <c r="F39" s="387"/>
      <c r="G39" s="499"/>
      <c r="H39" s="542"/>
      <c r="I39" s="520"/>
      <c r="L39" s="332"/>
    </row>
    <row r="40" spans="2:17">
      <c r="C40" s="519"/>
      <c r="D40" s="387"/>
      <c r="E40" s="387"/>
      <c r="F40" s="387"/>
      <c r="G40" s="499"/>
      <c r="H40" s="542"/>
      <c r="I40" s="520"/>
      <c r="L40" s="332"/>
    </row>
    <row r="41" spans="2:17">
      <c r="C41" s="519"/>
      <c r="D41" s="387"/>
      <c r="E41" s="387"/>
      <c r="F41" s="387"/>
      <c r="G41" s="499"/>
      <c r="H41" s="542"/>
      <c r="I41" s="520"/>
      <c r="L41" s="332"/>
    </row>
    <row r="42" spans="2:17">
      <c r="C42" s="519"/>
      <c r="D42" s="387"/>
      <c r="E42" s="387"/>
      <c r="F42" s="387"/>
      <c r="G42" s="499"/>
      <c r="H42" s="542"/>
      <c r="I42" s="520"/>
      <c r="L42" s="332"/>
    </row>
    <row r="43" spans="2:17">
      <c r="C43" s="519"/>
      <c r="D43" s="387"/>
      <c r="E43" s="387"/>
      <c r="F43" s="387"/>
      <c r="G43" s="499"/>
      <c r="H43" s="542"/>
      <c r="I43" s="520"/>
      <c r="L43" s="332"/>
    </row>
    <row r="44" spans="2:17">
      <c r="C44" s="519"/>
      <c r="D44" s="387"/>
      <c r="E44" s="387"/>
      <c r="F44" s="387"/>
      <c r="G44" s="499"/>
      <c r="H44" s="542"/>
      <c r="I44" s="520"/>
      <c r="L44" s="332"/>
    </row>
    <row r="45" spans="2:17">
      <c r="C45" s="519"/>
      <c r="D45" s="387"/>
      <c r="E45" s="387"/>
      <c r="F45" s="387"/>
      <c r="G45" s="499"/>
      <c r="H45" s="542"/>
      <c r="I45" s="520"/>
      <c r="L45" s="332"/>
    </row>
    <row r="46" spans="2:17">
      <c r="C46" s="519"/>
      <c r="D46" s="387"/>
      <c r="E46" s="387"/>
      <c r="F46" s="387"/>
      <c r="G46" s="499"/>
      <c r="H46" s="542"/>
      <c r="I46" s="520"/>
      <c r="L46" s="332"/>
    </row>
    <row r="47" spans="2:17">
      <c r="C47" s="519"/>
      <c r="D47" s="387"/>
      <c r="E47" s="387"/>
      <c r="F47" s="387"/>
      <c r="G47" s="499"/>
      <c r="H47" s="542"/>
      <c r="I47" s="520"/>
      <c r="L47" s="332"/>
    </row>
    <row r="48" spans="2:17">
      <c r="C48" s="519"/>
      <c r="D48" s="387"/>
      <c r="E48" s="387"/>
      <c r="F48" s="387"/>
      <c r="G48" s="30"/>
      <c r="H48" s="542"/>
      <c r="I48" s="520"/>
    </row>
    <row r="49" spans="9:9">
      <c r="I49" s="21"/>
    </row>
    <row r="88" spans="1:27">
      <c r="A88" s="1"/>
      <c r="B88" s="37"/>
    </row>
    <row r="89" spans="1:27">
      <c r="A89" s="1"/>
      <c r="B89" s="11"/>
    </row>
    <row r="90" spans="1:27">
      <c r="A90" s="1"/>
      <c r="B90" s="11"/>
    </row>
    <row r="91" spans="1:27">
      <c r="A91" s="1"/>
      <c r="B91" s="11"/>
    </row>
    <row r="92" spans="1:27">
      <c r="A92" s="1"/>
      <c r="B92" s="11"/>
    </row>
    <row r="93" spans="1:27">
      <c r="A93" s="1"/>
      <c r="B93" s="11"/>
    </row>
    <row r="94" spans="1:27">
      <c r="A94" s="1"/>
      <c r="B94" s="11"/>
    </row>
    <row r="95" spans="1:27">
      <c r="A95" s="1"/>
      <c r="B95" s="11"/>
      <c r="R95" s="56"/>
      <c r="S95" s="56"/>
      <c r="T95" s="56"/>
      <c r="Y95" s="21"/>
      <c r="AA95" s="331"/>
    </row>
    <row r="96" spans="1:27">
      <c r="A96" s="1"/>
      <c r="R96" s="56"/>
      <c r="S96" s="56"/>
      <c r="T96" s="56"/>
      <c r="Y96" s="21"/>
      <c r="AA96" s="331"/>
    </row>
    <row r="97" spans="1:27">
      <c r="A97" s="1"/>
      <c r="B97" s="11"/>
      <c r="C97" s="56"/>
      <c r="D97" s="56"/>
      <c r="E97" s="56"/>
      <c r="F97" s="56"/>
      <c r="G97" s="56"/>
      <c r="H97" s="56"/>
      <c r="I97" s="56"/>
      <c r="J97" s="56"/>
      <c r="K97" s="56"/>
      <c r="L97" s="56"/>
      <c r="M97" s="56"/>
      <c r="N97" s="56"/>
      <c r="O97" s="56"/>
      <c r="P97" s="56"/>
      <c r="Q97" s="56"/>
      <c r="Y97" s="21"/>
      <c r="AA97" s="331"/>
    </row>
    <row r="98" spans="1:27">
      <c r="A98" s="333"/>
      <c r="C98" s="56"/>
      <c r="D98" s="56"/>
      <c r="E98" s="56"/>
      <c r="F98" s="56"/>
      <c r="G98" s="56"/>
      <c r="H98" s="56"/>
      <c r="I98" s="56"/>
      <c r="J98" s="56"/>
      <c r="K98" s="56"/>
      <c r="L98" s="56"/>
      <c r="M98" s="56"/>
      <c r="N98" s="56"/>
      <c r="O98" s="11"/>
      <c r="P98" s="56"/>
      <c r="Q98" s="56"/>
      <c r="Y98" s="21"/>
      <c r="AA98" s="331"/>
    </row>
    <row r="99" spans="1:27">
      <c r="O99" s="11"/>
    </row>
    <row r="101" spans="1:27">
      <c r="A101" s="333"/>
      <c r="Y101" s="21"/>
      <c r="AA101" s="331"/>
    </row>
    <row r="102" spans="1:27">
      <c r="Y102" s="21"/>
      <c r="AA102" s="331"/>
    </row>
    <row r="103" spans="1:27">
      <c r="O103" s="11"/>
      <c r="Q103" s="11"/>
      <c r="Y103" s="21"/>
      <c r="AA103" s="331"/>
    </row>
    <row r="104" spans="1:27">
      <c r="O104" s="11"/>
      <c r="Q104" s="11"/>
      <c r="Y104" s="21"/>
      <c r="AA104" s="331"/>
    </row>
    <row r="105" spans="1:27">
      <c r="O105" s="11"/>
      <c r="Q105" s="11"/>
      <c r="R105" s="11"/>
      <c r="S105" s="11"/>
      <c r="T105" s="11"/>
      <c r="U105" s="334"/>
      <c r="Y105" s="21"/>
      <c r="AA105" s="331"/>
    </row>
    <row r="106" spans="1:27">
      <c r="O106" s="11"/>
      <c r="Q106" s="11"/>
      <c r="Y106" s="21"/>
      <c r="AA106" s="331"/>
    </row>
    <row r="107" spans="1:27">
      <c r="B107" s="235"/>
      <c r="O107" s="11"/>
      <c r="P107" s="11"/>
      <c r="Q107" s="11"/>
      <c r="R107" s="235"/>
      <c r="S107" s="235"/>
      <c r="T107" s="235"/>
      <c r="Y107" s="12"/>
      <c r="AA107" s="335"/>
    </row>
    <row r="108" spans="1:27">
      <c r="A108" s="336"/>
      <c r="B108" s="29"/>
      <c r="O108" s="11"/>
      <c r="Q108" s="11"/>
      <c r="R108" s="337"/>
      <c r="S108" s="337"/>
      <c r="T108" s="337"/>
      <c r="Y108" s="12"/>
      <c r="AA108" s="335"/>
    </row>
    <row r="109" spans="1:27">
      <c r="A109" s="1"/>
      <c r="B109" s="1"/>
      <c r="C109" s="235"/>
      <c r="D109" s="235"/>
      <c r="E109" s="235"/>
      <c r="F109" s="235"/>
      <c r="G109" s="235"/>
      <c r="H109" s="235"/>
      <c r="I109" s="235"/>
      <c r="J109" s="235"/>
      <c r="K109" s="235"/>
      <c r="L109" s="235"/>
      <c r="N109" s="235"/>
      <c r="O109" s="334"/>
      <c r="P109" s="235"/>
      <c r="Q109" s="11"/>
      <c r="Y109" s="21"/>
      <c r="AA109" s="331"/>
    </row>
    <row r="110" spans="1:27">
      <c r="A110" s="11"/>
      <c r="B110" s="11"/>
      <c r="C110" s="29"/>
      <c r="D110" s="29"/>
      <c r="E110" s="29"/>
      <c r="F110" s="29"/>
      <c r="G110" s="29"/>
      <c r="H110" s="29"/>
      <c r="I110" s="29"/>
      <c r="J110" s="29"/>
      <c r="K110" s="29"/>
      <c r="L110" s="29"/>
      <c r="N110" s="29"/>
      <c r="O110" s="29"/>
      <c r="P110" s="337"/>
      <c r="Q110" s="337"/>
      <c r="Y110" s="21"/>
      <c r="AA110" s="331"/>
    </row>
    <row r="111" spans="1:27">
      <c r="C111" s="1"/>
      <c r="D111" s="1"/>
      <c r="E111" s="1"/>
      <c r="F111" s="1"/>
      <c r="G111" s="1"/>
      <c r="H111" s="1"/>
      <c r="I111" s="1"/>
      <c r="J111" s="1"/>
      <c r="K111" s="1"/>
      <c r="L111" s="1"/>
      <c r="M111" s="1"/>
      <c r="N111" s="1"/>
      <c r="O111" s="11"/>
      <c r="Y111" s="12"/>
      <c r="AA111" s="12"/>
    </row>
    <row r="112" spans="1:27">
      <c r="C112" s="11"/>
      <c r="D112" s="11"/>
      <c r="E112" s="37"/>
      <c r="F112" s="11"/>
      <c r="G112" s="11"/>
      <c r="H112" s="11"/>
      <c r="I112" s="11"/>
      <c r="J112" s="11"/>
      <c r="K112" s="11"/>
      <c r="L112" s="11"/>
      <c r="N112" s="11"/>
      <c r="O112" s="11"/>
      <c r="Y112" s="12"/>
      <c r="AA112" s="335"/>
    </row>
    <row r="113" spans="1:27">
      <c r="A113" s="336"/>
      <c r="Y113" s="338"/>
      <c r="AA113" s="335"/>
    </row>
    <row r="114" spans="1:27">
      <c r="B114" s="31"/>
    </row>
    <row r="115" spans="1:27">
      <c r="B115" s="21"/>
    </row>
    <row r="116" spans="1:27">
      <c r="B116" s="21"/>
      <c r="C116" s="31"/>
      <c r="D116" s="31"/>
      <c r="E116" s="339"/>
      <c r="F116" s="339"/>
      <c r="G116" s="339"/>
      <c r="H116" s="31"/>
      <c r="I116" s="31"/>
      <c r="J116" s="31"/>
    </row>
    <row r="117" spans="1:27">
      <c r="B117" s="21"/>
      <c r="C117" s="21"/>
      <c r="D117" s="21"/>
      <c r="E117" s="21"/>
      <c r="F117" s="21"/>
      <c r="G117" s="21"/>
      <c r="H117" s="21"/>
      <c r="I117" s="21"/>
      <c r="J117" s="21"/>
    </row>
    <row r="118" spans="1:27">
      <c r="B118" s="21"/>
      <c r="C118" s="21"/>
      <c r="D118" s="21"/>
      <c r="E118" s="21"/>
      <c r="F118" s="21"/>
      <c r="G118" s="21"/>
      <c r="H118" s="21"/>
      <c r="I118" s="21"/>
      <c r="J118" s="21"/>
    </row>
    <row r="119" spans="1:27">
      <c r="B119" s="21"/>
      <c r="C119" s="21"/>
      <c r="D119" s="21"/>
      <c r="E119" s="21"/>
      <c r="F119" s="21"/>
      <c r="G119" s="21"/>
      <c r="H119" s="21"/>
      <c r="I119" s="21"/>
      <c r="J119" s="21"/>
    </row>
    <row r="120" spans="1:27">
      <c r="B120" s="21"/>
      <c r="C120" s="21"/>
      <c r="D120" s="21"/>
      <c r="E120" s="21"/>
      <c r="F120" s="21"/>
      <c r="G120" s="21"/>
      <c r="H120" s="21"/>
      <c r="I120" s="21"/>
      <c r="J120" s="21"/>
    </row>
    <row r="121" spans="1:27">
      <c r="C121" s="21"/>
      <c r="D121" s="21"/>
      <c r="E121" s="21"/>
      <c r="F121" s="21"/>
      <c r="G121" s="21"/>
      <c r="H121" s="21"/>
      <c r="I121" s="21"/>
      <c r="J121" s="21"/>
    </row>
    <row r="122" spans="1:27">
      <c r="B122" s="31"/>
      <c r="C122" s="21"/>
      <c r="D122" s="21"/>
      <c r="E122" s="21"/>
      <c r="F122" s="21"/>
      <c r="G122" s="21"/>
      <c r="H122" s="21"/>
      <c r="I122" s="21"/>
      <c r="J122" s="21"/>
    </row>
    <row r="123" spans="1:27">
      <c r="B123" s="21"/>
    </row>
    <row r="124" spans="1:27">
      <c r="B124" s="21"/>
      <c r="C124" s="31"/>
      <c r="D124" s="31"/>
      <c r="E124" s="339"/>
      <c r="F124" s="339"/>
      <c r="G124" s="339"/>
      <c r="H124" s="31"/>
      <c r="I124" s="31"/>
      <c r="J124" s="31"/>
    </row>
    <row r="125" spans="1:27">
      <c r="A125" s="31"/>
      <c r="B125" s="118"/>
      <c r="C125" s="21"/>
      <c r="D125" s="21"/>
      <c r="E125" s="21"/>
      <c r="F125" s="21"/>
      <c r="G125" s="21"/>
      <c r="H125" s="21"/>
      <c r="I125" s="21"/>
      <c r="J125" s="21"/>
    </row>
    <row r="126" spans="1:27">
      <c r="A126" s="31"/>
      <c r="B126" s="118"/>
      <c r="C126" s="21"/>
      <c r="D126" s="12"/>
      <c r="E126" s="12"/>
      <c r="F126" s="12"/>
      <c r="G126" s="12"/>
      <c r="H126" s="12"/>
      <c r="I126" s="283"/>
      <c r="J126" s="340"/>
    </row>
    <row r="127" spans="1:27">
      <c r="C127" s="118"/>
      <c r="D127" s="118"/>
      <c r="E127" s="118"/>
      <c r="F127" s="118"/>
      <c r="G127" s="118"/>
      <c r="H127" s="118"/>
      <c r="I127" s="118"/>
      <c r="J127" s="118"/>
    </row>
    <row r="128" spans="1:27">
      <c r="C128" s="118"/>
      <c r="D128" s="118"/>
      <c r="E128" s="118"/>
      <c r="F128" s="118"/>
      <c r="G128" s="118"/>
      <c r="H128" s="118"/>
      <c r="I128" s="118"/>
      <c r="J128" s="118"/>
    </row>
    <row r="129" spans="1:10">
      <c r="A129" s="336"/>
      <c r="B129" s="31"/>
    </row>
    <row r="130" spans="1:10">
      <c r="A130" s="341"/>
      <c r="B130" s="31"/>
    </row>
    <row r="132" spans="1:10">
      <c r="A132" s="11"/>
      <c r="B132" s="11"/>
      <c r="C132" s="31"/>
      <c r="D132" s="31"/>
      <c r="E132" s="339"/>
      <c r="F132" s="339"/>
      <c r="G132" s="339"/>
      <c r="H132" s="31"/>
      <c r="I132" s="31"/>
      <c r="J132" s="31"/>
    </row>
    <row r="133" spans="1:10">
      <c r="C133" s="342"/>
      <c r="D133" s="343"/>
      <c r="E133" s="342"/>
      <c r="F133" s="342"/>
      <c r="G133" s="342"/>
      <c r="H133" s="21"/>
      <c r="I133" s="21"/>
    </row>
    <row r="134" spans="1:10">
      <c r="A134" s="341"/>
      <c r="C134" s="344"/>
      <c r="D134" s="344"/>
      <c r="E134" s="344"/>
      <c r="F134" s="344"/>
      <c r="G134" s="344"/>
      <c r="H134" s="21"/>
      <c r="I134" s="21"/>
    </row>
    <row r="135" spans="1:10">
      <c r="A135" s="341"/>
      <c r="C135" s="345"/>
      <c r="D135" s="21"/>
      <c r="E135" s="346"/>
      <c r="F135" s="346"/>
      <c r="G135" s="347"/>
      <c r="H135" s="347"/>
      <c r="I135" s="21"/>
    </row>
    <row r="136" spans="1:10">
      <c r="A136" s="341"/>
      <c r="C136" s="21"/>
      <c r="D136" s="21"/>
      <c r="E136" s="348"/>
      <c r="F136" s="348"/>
      <c r="G136" s="349"/>
      <c r="H136" s="349"/>
      <c r="I136" s="349"/>
    </row>
    <row r="137" spans="1:10">
      <c r="A137" s="341"/>
      <c r="C137" s="21"/>
      <c r="D137" s="21"/>
      <c r="E137" s="349"/>
      <c r="F137" s="349"/>
      <c r="G137" s="349"/>
      <c r="H137" s="349"/>
      <c r="I137" s="349"/>
    </row>
    <row r="138" spans="1:10">
      <c r="A138" s="341"/>
      <c r="C138" s="21"/>
      <c r="D138" s="21"/>
      <c r="E138" s="349"/>
      <c r="F138" s="349"/>
      <c r="G138" s="349"/>
      <c r="H138" s="349"/>
      <c r="I138" s="349"/>
    </row>
    <row r="139" spans="1:10">
      <c r="A139" s="336"/>
      <c r="B139" s="350"/>
      <c r="C139" s="21"/>
      <c r="D139" s="21"/>
      <c r="E139" s="349"/>
      <c r="F139" s="349"/>
      <c r="G139" s="349"/>
      <c r="H139" s="349"/>
      <c r="I139" s="349"/>
    </row>
    <row r="140" spans="1:10">
      <c r="A140" s="336"/>
      <c r="B140" s="31"/>
      <c r="C140" s="21"/>
      <c r="D140" s="21"/>
      <c r="E140" s="349"/>
      <c r="F140" s="349"/>
      <c r="G140" s="349"/>
      <c r="H140" s="349"/>
      <c r="I140" s="349"/>
    </row>
    <row r="141" spans="1:10">
      <c r="C141" s="351"/>
      <c r="D141" s="351"/>
      <c r="E141" s="351"/>
      <c r="F141" s="351"/>
      <c r="G141" s="351"/>
      <c r="H141" s="351"/>
      <c r="I141" s="351"/>
    </row>
    <row r="142" spans="1:10">
      <c r="C142" s="118"/>
      <c r="D142" s="118"/>
      <c r="E142" s="352"/>
      <c r="F142" s="352"/>
      <c r="G142" s="352"/>
      <c r="H142" s="352"/>
      <c r="I142" s="352"/>
    </row>
  </sheetData>
  <mergeCells count="1">
    <mergeCell ref="A1:K1"/>
  </mergeCells>
  <pageMargins left="0.7" right="0.7" top="0.75" bottom="0.75" header="0.3" footer="0.3"/>
  <pageSetup orientation="portrait" horizontalDpi="0" verticalDpi="0"/>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0B0598-B270-5042-98B8-7F1427FCB559}">
  <dimension ref="A1:R48"/>
  <sheetViews>
    <sheetView zoomScale="75" zoomScaleNormal="56" workbookViewId="0">
      <pane xSplit="1" ySplit="2" topLeftCell="B3" activePane="bottomRight" state="frozen"/>
      <selection pane="topRight" activeCell="B1" sqref="B1"/>
      <selection pane="bottomLeft" activeCell="A3" sqref="A3"/>
      <selection pane="bottomRight" activeCell="A3" sqref="A3"/>
    </sheetView>
  </sheetViews>
  <sheetFormatPr baseColWidth="10" defaultColWidth="11" defaultRowHeight="16"/>
  <cols>
    <col min="1" max="2" width="18.83203125" customWidth="1"/>
    <col min="3" max="3" width="14.83203125" customWidth="1"/>
    <col min="4" max="5" width="17.1640625" customWidth="1"/>
    <col min="6" max="6" width="13.1640625" customWidth="1"/>
    <col min="7" max="7" width="12" customWidth="1"/>
    <col min="8" max="8" width="11.33203125" customWidth="1"/>
    <col min="9" max="9" width="10" customWidth="1"/>
    <col min="10" max="10" width="15.83203125" customWidth="1"/>
    <col min="11" max="11" width="14" customWidth="1"/>
    <col min="12" max="12" width="17.33203125" customWidth="1"/>
    <col min="13" max="13" width="10.33203125" customWidth="1"/>
    <col min="14" max="14" width="19" customWidth="1"/>
    <col min="15" max="15" width="14.6640625" customWidth="1"/>
    <col min="16" max="16" width="13.5" customWidth="1"/>
    <col min="17" max="17" width="16.6640625" customWidth="1"/>
    <col min="18" max="18" width="12.83203125" customWidth="1"/>
    <col min="19" max="19" width="14.33203125" customWidth="1"/>
    <col min="20" max="20" width="14" bestFit="1" customWidth="1"/>
    <col min="21" max="21" width="13.1640625" customWidth="1"/>
    <col min="22" max="22" width="34.1640625" bestFit="1" customWidth="1"/>
    <col min="23" max="23" width="31" bestFit="1" customWidth="1"/>
    <col min="24" max="24" width="34.1640625" bestFit="1" customWidth="1"/>
    <col min="25" max="25" width="31" bestFit="1" customWidth="1"/>
    <col min="26" max="26" width="34.1640625" bestFit="1" customWidth="1"/>
    <col min="27" max="27" width="31" bestFit="1" customWidth="1"/>
    <col min="28" max="28" width="34.1640625" bestFit="1" customWidth="1"/>
    <col min="29" max="29" width="31" bestFit="1" customWidth="1"/>
    <col min="30" max="30" width="38.83203125" bestFit="1" customWidth="1"/>
    <col min="31" max="31" width="35.6640625" bestFit="1" customWidth="1"/>
  </cols>
  <sheetData>
    <row r="1" spans="1:18" ht="59.75" customHeight="1">
      <c r="A1" s="627" t="s">
        <v>1004</v>
      </c>
      <c r="B1" s="627"/>
      <c r="C1" s="627"/>
      <c r="D1" s="627"/>
      <c r="E1" s="627"/>
      <c r="F1" s="627"/>
      <c r="G1" s="627"/>
      <c r="H1" s="627"/>
      <c r="I1" s="627"/>
      <c r="J1" s="627"/>
      <c r="K1" s="627"/>
      <c r="L1" s="627"/>
    </row>
    <row r="2" spans="1:18">
      <c r="C2" t="s">
        <v>76</v>
      </c>
      <c r="D2" t="s">
        <v>77</v>
      </c>
      <c r="E2" t="s">
        <v>78</v>
      </c>
      <c r="F2" t="s">
        <v>621</v>
      </c>
      <c r="G2" t="s">
        <v>79</v>
      </c>
      <c r="H2" t="s">
        <v>80</v>
      </c>
      <c r="I2" t="s">
        <v>81</v>
      </c>
      <c r="J2" t="s">
        <v>82</v>
      </c>
      <c r="K2" t="s">
        <v>83</v>
      </c>
      <c r="L2" t="s">
        <v>84</v>
      </c>
      <c r="M2" t="s">
        <v>85</v>
      </c>
      <c r="N2" t="s">
        <v>21</v>
      </c>
      <c r="O2" t="s">
        <v>28</v>
      </c>
      <c r="P2" t="s">
        <v>26</v>
      </c>
      <c r="Q2" t="s">
        <v>86</v>
      </c>
      <c r="R2" t="s">
        <v>67</v>
      </c>
    </row>
    <row r="3" spans="1:18">
      <c r="A3">
        <v>1</v>
      </c>
      <c r="B3" t="s">
        <v>88</v>
      </c>
      <c r="C3">
        <v>5767.6691404406447</v>
      </c>
      <c r="D3">
        <v>9864</v>
      </c>
      <c r="E3">
        <v>4070.4358595593558</v>
      </c>
      <c r="G3">
        <v>1833.37</v>
      </c>
      <c r="H3">
        <v>524.66399999999999</v>
      </c>
      <c r="I3">
        <v>1390.1467600000001</v>
      </c>
      <c r="J3">
        <v>712.34</v>
      </c>
      <c r="L3">
        <v>213.82100000000003</v>
      </c>
      <c r="O3">
        <v>4.6091520796679344</v>
      </c>
      <c r="P3">
        <v>113.43883269867213</v>
      </c>
      <c r="R3">
        <f t="shared" ref="R3:R38" si="0">SUM(C3:Q3)</f>
        <v>24494.494744778342</v>
      </c>
    </row>
    <row r="4" spans="1:18">
      <c r="A4">
        <v>2</v>
      </c>
      <c r="B4" t="s">
        <v>89</v>
      </c>
      <c r="C4">
        <v>1983.8966490984694</v>
      </c>
      <c r="D4">
        <v>10595</v>
      </c>
      <c r="E4">
        <v>3842.9083509015309</v>
      </c>
      <c r="G4">
        <v>2049.1990000000001</v>
      </c>
      <c r="H4">
        <v>183.91800000000001</v>
      </c>
      <c r="I4">
        <v>942.29114271239996</v>
      </c>
      <c r="J4">
        <v>421.08</v>
      </c>
      <c r="L4">
        <v>133.08000000000001</v>
      </c>
      <c r="P4">
        <v>64.319999999999993</v>
      </c>
      <c r="R4">
        <f t="shared" si="0"/>
        <v>20215.693142712407</v>
      </c>
    </row>
    <row r="5" spans="1:18">
      <c r="A5">
        <v>3</v>
      </c>
      <c r="B5" t="s">
        <v>90</v>
      </c>
      <c r="C5">
        <v>4922.816150764842</v>
      </c>
      <c r="D5">
        <v>9355</v>
      </c>
      <c r="E5">
        <v>2466.6818492351581</v>
      </c>
      <c r="G5">
        <v>838.50199999999995</v>
      </c>
      <c r="R5">
        <f t="shared" si="0"/>
        <v>17583</v>
      </c>
    </row>
    <row r="6" spans="1:18">
      <c r="A6">
        <v>4</v>
      </c>
      <c r="B6" t="s">
        <v>91</v>
      </c>
      <c r="F6">
        <v>2269.4918919675056</v>
      </c>
      <c r="J6">
        <v>301.6400000000001</v>
      </c>
      <c r="K6">
        <v>217.18</v>
      </c>
      <c r="M6">
        <v>179.09</v>
      </c>
      <c r="P6">
        <v>9034.5706489151489</v>
      </c>
      <c r="Q6">
        <v>248.5</v>
      </c>
      <c r="R6">
        <f t="shared" si="0"/>
        <v>12250.472540882654</v>
      </c>
    </row>
    <row r="7" spans="1:18">
      <c r="A7">
        <v>5</v>
      </c>
      <c r="B7" t="s">
        <v>94</v>
      </c>
      <c r="F7">
        <v>7912.0354308187889</v>
      </c>
      <c r="J7">
        <v>78.128598010928826</v>
      </c>
      <c r="M7">
        <v>132.84765107234495</v>
      </c>
      <c r="P7">
        <v>2691.012085891557</v>
      </c>
      <c r="R7">
        <f t="shared" si="0"/>
        <v>10814.02376579362</v>
      </c>
    </row>
    <row r="8" spans="1:18">
      <c r="A8">
        <v>6</v>
      </c>
      <c r="B8" t="s">
        <v>101</v>
      </c>
      <c r="F8">
        <v>5743.0085750374828</v>
      </c>
      <c r="K8">
        <v>766.66561869999759</v>
      </c>
      <c r="P8">
        <v>412.84746291494173</v>
      </c>
      <c r="R8">
        <f t="shared" si="0"/>
        <v>6922.5216566524223</v>
      </c>
    </row>
    <row r="9" spans="1:18">
      <c r="A9">
        <v>7</v>
      </c>
      <c r="B9" t="s">
        <v>92</v>
      </c>
      <c r="C9">
        <v>248.9</v>
      </c>
      <c r="D9">
        <v>2355.1</v>
      </c>
      <c r="E9">
        <v>1250</v>
      </c>
      <c r="G9">
        <v>779.4</v>
      </c>
      <c r="H9">
        <v>159.99700000000001</v>
      </c>
      <c r="I9">
        <v>199.46</v>
      </c>
      <c r="J9">
        <v>71.3</v>
      </c>
      <c r="N9">
        <v>135.08500000000001</v>
      </c>
      <c r="O9">
        <v>33.286000000000001</v>
      </c>
      <c r="P9">
        <v>73.209999999999994</v>
      </c>
      <c r="R9">
        <f t="shared" si="0"/>
        <v>5305.7380000000003</v>
      </c>
    </row>
    <row r="10" spans="1:18">
      <c r="A10">
        <v>8</v>
      </c>
      <c r="B10" t="s">
        <v>93</v>
      </c>
      <c r="P10">
        <v>4762.7945999999993</v>
      </c>
      <c r="R10">
        <f t="shared" si="0"/>
        <v>4762.7945999999993</v>
      </c>
    </row>
    <row r="11" spans="1:18">
      <c r="A11">
        <v>10</v>
      </c>
      <c r="B11" t="s">
        <v>95</v>
      </c>
      <c r="H11">
        <v>1165.57</v>
      </c>
      <c r="I11">
        <v>156.5</v>
      </c>
      <c r="J11">
        <v>24.6</v>
      </c>
      <c r="L11">
        <v>415.3</v>
      </c>
      <c r="P11">
        <v>75.3</v>
      </c>
      <c r="R11">
        <f t="shared" si="0"/>
        <v>1837.2699999999998</v>
      </c>
    </row>
    <row r="12" spans="1:18">
      <c r="A12">
        <v>11</v>
      </c>
      <c r="B12" t="s">
        <v>97</v>
      </c>
      <c r="J12">
        <v>1756.5672</v>
      </c>
      <c r="R12">
        <f t="shared" si="0"/>
        <v>1756.5672</v>
      </c>
    </row>
    <row r="13" spans="1:18">
      <c r="A13">
        <v>12</v>
      </c>
      <c r="B13" t="s">
        <v>96</v>
      </c>
      <c r="C13">
        <v>245.56510683071838</v>
      </c>
      <c r="E13">
        <v>813.41089316928174</v>
      </c>
      <c r="G13">
        <v>451.43099999999998</v>
      </c>
      <c r="L13">
        <v>82.948999999999998</v>
      </c>
      <c r="R13">
        <f t="shared" si="0"/>
        <v>1593.3560000000002</v>
      </c>
    </row>
    <row r="14" spans="1:18">
      <c r="A14">
        <v>13</v>
      </c>
      <c r="B14" t="s">
        <v>98</v>
      </c>
      <c r="C14">
        <v>228.29</v>
      </c>
      <c r="D14">
        <v>674.97199999999998</v>
      </c>
      <c r="E14">
        <v>318.78300000000002</v>
      </c>
      <c r="G14">
        <v>98.131</v>
      </c>
      <c r="R14">
        <f t="shared" si="0"/>
        <v>1320.1760000000002</v>
      </c>
    </row>
    <row r="15" spans="1:18">
      <c r="A15">
        <v>14</v>
      </c>
      <c r="B15" t="s">
        <v>99</v>
      </c>
      <c r="J15">
        <v>229.1</v>
      </c>
      <c r="K15">
        <v>575.59408527642495</v>
      </c>
      <c r="M15">
        <v>153.03015356076983</v>
      </c>
      <c r="Q15">
        <v>299.02432899873406</v>
      </c>
      <c r="R15">
        <f t="shared" si="0"/>
        <v>1256.748567835929</v>
      </c>
    </row>
    <row r="16" spans="1:18">
      <c r="A16">
        <v>15</v>
      </c>
      <c r="B16" t="s">
        <v>911</v>
      </c>
      <c r="F16">
        <v>1252.2349166673644</v>
      </c>
      <c r="R16">
        <f t="shared" si="0"/>
        <v>1252.2349166673644</v>
      </c>
    </row>
    <row r="17" spans="1:18" ht="17" customHeight="1">
      <c r="A17">
        <v>16</v>
      </c>
      <c r="B17" t="s">
        <v>100</v>
      </c>
      <c r="C17">
        <v>85.28</v>
      </c>
      <c r="D17">
        <v>230.49</v>
      </c>
      <c r="E17">
        <v>550.4844794044335</v>
      </c>
      <c r="G17">
        <v>241.97</v>
      </c>
      <c r="R17">
        <f t="shared" si="0"/>
        <v>1108.2244794044334</v>
      </c>
    </row>
    <row r="18" spans="1:18">
      <c r="A18">
        <v>9</v>
      </c>
      <c r="B18" t="s">
        <v>168</v>
      </c>
      <c r="H18">
        <v>258.25799999999998</v>
      </c>
      <c r="I18">
        <v>565.08000000000004</v>
      </c>
      <c r="J18">
        <v>137.1</v>
      </c>
      <c r="L18">
        <v>69.757999999999996</v>
      </c>
      <c r="P18">
        <v>55.23</v>
      </c>
      <c r="R18">
        <f>SUM(C18:Q18)</f>
        <v>1085.4259999999999</v>
      </c>
    </row>
    <row r="19" spans="1:18">
      <c r="A19">
        <v>17</v>
      </c>
      <c r="B19" t="s">
        <v>102</v>
      </c>
      <c r="M19">
        <v>1055.7221290000314</v>
      </c>
      <c r="R19">
        <f t="shared" si="0"/>
        <v>1055.7221290000314</v>
      </c>
    </row>
    <row r="20" spans="1:18">
      <c r="A20">
        <v>18</v>
      </c>
      <c r="B20" t="s">
        <v>109</v>
      </c>
      <c r="E20">
        <v>856.8</v>
      </c>
      <c r="P20">
        <v>61.6</v>
      </c>
      <c r="R20">
        <f t="shared" si="0"/>
        <v>918.4</v>
      </c>
    </row>
    <row r="21" spans="1:18">
      <c r="A21">
        <v>19</v>
      </c>
      <c r="B21" t="s">
        <v>103</v>
      </c>
      <c r="K21">
        <v>559.68132582502142</v>
      </c>
      <c r="M21">
        <v>259.5</v>
      </c>
      <c r="R21">
        <f t="shared" si="0"/>
        <v>819.18132582502142</v>
      </c>
    </row>
    <row r="22" spans="1:18">
      <c r="A22">
        <v>20</v>
      </c>
      <c r="B22" t="s">
        <v>105</v>
      </c>
      <c r="J22">
        <v>685.33</v>
      </c>
      <c r="R22">
        <f t="shared" si="0"/>
        <v>685.33</v>
      </c>
    </row>
    <row r="23" spans="1:18">
      <c r="A23">
        <v>21</v>
      </c>
      <c r="B23" t="s">
        <v>106</v>
      </c>
      <c r="M23">
        <v>569.68030503652665</v>
      </c>
      <c r="P23">
        <v>67.39</v>
      </c>
      <c r="R23">
        <f t="shared" si="0"/>
        <v>637.07030503652663</v>
      </c>
    </row>
    <row r="24" spans="1:18">
      <c r="A24">
        <v>22</v>
      </c>
      <c r="B24" t="s">
        <v>619</v>
      </c>
      <c r="F24">
        <v>636.25941890567719</v>
      </c>
      <c r="R24">
        <f t="shared" si="0"/>
        <v>636.25941890567719</v>
      </c>
    </row>
    <row r="25" spans="1:18">
      <c r="A25">
        <v>23</v>
      </c>
      <c r="B25" t="s">
        <v>618</v>
      </c>
      <c r="F25">
        <v>558.16426403180731</v>
      </c>
      <c r="R25">
        <f t="shared" si="0"/>
        <v>558.16426403180731</v>
      </c>
    </row>
    <row r="26" spans="1:18">
      <c r="A26">
        <v>24</v>
      </c>
      <c r="B26" t="s">
        <v>108</v>
      </c>
      <c r="P26">
        <v>539.36</v>
      </c>
      <c r="R26">
        <f t="shared" si="0"/>
        <v>539.36</v>
      </c>
    </row>
    <row r="27" spans="1:18">
      <c r="A27">
        <v>25</v>
      </c>
      <c r="B27" t="s">
        <v>107</v>
      </c>
      <c r="L27">
        <v>452.08</v>
      </c>
      <c r="R27">
        <f t="shared" si="0"/>
        <v>452.08</v>
      </c>
    </row>
    <row r="28" spans="1:18">
      <c r="A28">
        <v>26</v>
      </c>
      <c r="B28" t="s">
        <v>104</v>
      </c>
      <c r="N28">
        <v>344.91</v>
      </c>
      <c r="O28">
        <v>1.8164982411626227</v>
      </c>
      <c r="P28">
        <v>63.5</v>
      </c>
      <c r="R28">
        <f t="shared" si="0"/>
        <v>410.22649824116263</v>
      </c>
    </row>
    <row r="29" spans="1:18">
      <c r="A29">
        <v>27</v>
      </c>
      <c r="B29" t="s">
        <v>110</v>
      </c>
      <c r="M29">
        <v>403.17</v>
      </c>
      <c r="R29">
        <f t="shared" si="0"/>
        <v>403.17</v>
      </c>
    </row>
    <row r="30" spans="1:18">
      <c r="A30">
        <v>28</v>
      </c>
      <c r="B30" t="s">
        <v>1134</v>
      </c>
      <c r="J30">
        <v>352.87700000000001</v>
      </c>
      <c r="R30">
        <f t="shared" si="0"/>
        <v>352.87700000000001</v>
      </c>
    </row>
    <row r="31" spans="1:18">
      <c r="A31">
        <v>29</v>
      </c>
      <c r="B31" t="s">
        <v>112</v>
      </c>
      <c r="K31">
        <v>348.81128591446628</v>
      </c>
      <c r="R31">
        <f t="shared" si="0"/>
        <v>348.81128591446628</v>
      </c>
    </row>
    <row r="32" spans="1:18">
      <c r="A32">
        <v>30</v>
      </c>
      <c r="B32" t="s">
        <v>572</v>
      </c>
      <c r="K32">
        <v>318.83</v>
      </c>
      <c r="R32">
        <f t="shared" si="0"/>
        <v>318.83</v>
      </c>
    </row>
    <row r="33" spans="1:18">
      <c r="A33">
        <v>31</v>
      </c>
      <c r="B33" t="s">
        <v>114</v>
      </c>
      <c r="K33">
        <v>282.07419557995502</v>
      </c>
      <c r="R33">
        <f t="shared" si="0"/>
        <v>282.07419557995502</v>
      </c>
    </row>
    <row r="34" spans="1:18">
      <c r="A34">
        <v>32</v>
      </c>
      <c r="B34" t="s">
        <v>617</v>
      </c>
      <c r="F34">
        <v>262.87014894901898</v>
      </c>
      <c r="R34">
        <f t="shared" si="0"/>
        <v>262.87014894901898</v>
      </c>
    </row>
    <row r="35" spans="1:18">
      <c r="A35">
        <v>33</v>
      </c>
      <c r="B35" t="s">
        <v>116</v>
      </c>
      <c r="E35">
        <v>259.25400000000002</v>
      </c>
      <c r="R35">
        <f t="shared" si="0"/>
        <v>259.25400000000002</v>
      </c>
    </row>
    <row r="36" spans="1:18">
      <c r="A36">
        <v>34</v>
      </c>
      <c r="B36" t="s">
        <v>934</v>
      </c>
      <c r="J36">
        <v>44.73</v>
      </c>
      <c r="M36">
        <v>213.83</v>
      </c>
      <c r="R36">
        <f t="shared" si="0"/>
        <v>258.56</v>
      </c>
    </row>
    <row r="37" spans="1:18">
      <c r="A37">
        <v>35</v>
      </c>
      <c r="B37" t="s">
        <v>115</v>
      </c>
      <c r="K37">
        <v>255.90627691008976</v>
      </c>
      <c r="R37">
        <f t="shared" si="0"/>
        <v>255.90627691008976</v>
      </c>
    </row>
    <row r="38" spans="1:18">
      <c r="A38">
        <v>36</v>
      </c>
      <c r="B38" t="s">
        <v>117</v>
      </c>
      <c r="N38">
        <v>207.86</v>
      </c>
      <c r="O38">
        <v>3.2849757917176112</v>
      </c>
      <c r="P38">
        <v>38.82</v>
      </c>
      <c r="R38">
        <f t="shared" si="0"/>
        <v>249.96497579171762</v>
      </c>
    </row>
    <row r="39" spans="1:18">
      <c r="B39" t="s">
        <v>121</v>
      </c>
      <c r="I39">
        <v>299.86</v>
      </c>
      <c r="K39">
        <v>363.1</v>
      </c>
      <c r="L39">
        <v>158.91</v>
      </c>
      <c r="M39">
        <v>189.71976133032695</v>
      </c>
      <c r="R39">
        <f>Q40-SUM(R3,R4,R5,R6,R8,R10,R7:R38)</f>
        <v>-134400.64293524495</v>
      </c>
    </row>
    <row r="40" spans="1:18">
      <c r="A40" t="s">
        <v>122</v>
      </c>
      <c r="C40">
        <v>13822.149947134676</v>
      </c>
      <c r="D40">
        <v>33230</v>
      </c>
      <c r="E40">
        <v>15962</v>
      </c>
      <c r="F40">
        <v>18653.770368666199</v>
      </c>
      <c r="G40">
        <v>6443.8580000000002</v>
      </c>
      <c r="H40">
        <v>2510.9</v>
      </c>
      <c r="I40">
        <v>3764.067</v>
      </c>
      <c r="J40">
        <v>4814.7927980109298</v>
      </c>
      <c r="K40">
        <v>4614.9742983774595</v>
      </c>
      <c r="L40">
        <v>2017.0687558415841</v>
      </c>
      <c r="M40">
        <v>3156.59</v>
      </c>
      <c r="N40">
        <v>1900.457346203619</v>
      </c>
      <c r="O40">
        <v>775.96034399999996</v>
      </c>
      <c r="P40">
        <v>18437.693735673252</v>
      </c>
      <c r="Q40">
        <v>547.52676032008821</v>
      </c>
      <c r="R40">
        <f>SUM(C40:Q40)</f>
        <v>130651.80935422781</v>
      </c>
    </row>
    <row r="41" spans="1:18">
      <c r="A41" t="s">
        <v>123</v>
      </c>
      <c r="R41">
        <v>18.74791850633159</v>
      </c>
    </row>
    <row r="42" spans="1:18">
      <c r="A42" t="s">
        <v>124</v>
      </c>
      <c r="R42">
        <v>57.055207116395913</v>
      </c>
    </row>
    <row r="43" spans="1:18">
      <c r="A43" t="s">
        <v>125</v>
      </c>
      <c r="R43">
        <v>81.087721765554875</v>
      </c>
    </row>
    <row r="44" spans="1:18">
      <c r="A44" t="s">
        <v>126</v>
      </c>
      <c r="R44">
        <v>38.281847097797012</v>
      </c>
    </row>
    <row r="45" spans="1:18">
      <c r="A45" t="s">
        <v>127</v>
      </c>
      <c r="R45">
        <v>34.467373409580183</v>
      </c>
    </row>
    <row r="46" spans="1:18">
      <c r="A46" t="s">
        <v>1006</v>
      </c>
      <c r="R46">
        <v>0.9434454375194915</v>
      </c>
    </row>
    <row r="47" spans="1:18">
      <c r="A47" t="s">
        <v>128</v>
      </c>
      <c r="R47">
        <v>999.23997256903147</v>
      </c>
    </row>
    <row r="48" spans="1:18">
      <c r="A48" t="s">
        <v>129</v>
      </c>
      <c r="R48">
        <v>2548.0739121343418</v>
      </c>
    </row>
  </sheetData>
  <mergeCells count="1">
    <mergeCell ref="A1:L1"/>
  </mergeCells>
  <pageMargins left="0.7" right="0.7" top="0.75" bottom="0.75" header="0.3" footer="0.3"/>
  <pageSetup orientation="portrait" horizontalDpi="0" verticalDpi="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D4CC8-68EC-2B45-B5D9-D5D6DA1FCDA5}">
  <sheetPr>
    <tabColor rgb="FFFFC000"/>
  </sheetPr>
  <dimension ref="A1:T31"/>
  <sheetViews>
    <sheetView zoomScale="140" zoomScaleNormal="140" workbookViewId="0">
      <pane xSplit="1" ySplit="2" topLeftCell="B3" activePane="bottomRight" state="frozen"/>
      <selection pane="topRight" activeCell="B1" sqref="B1"/>
      <selection pane="bottomLeft" activeCell="A3" sqref="A3"/>
      <selection pane="bottomRight" activeCell="I17" sqref="B17:I17"/>
    </sheetView>
  </sheetViews>
  <sheetFormatPr baseColWidth="10" defaultColWidth="11" defaultRowHeight="16"/>
  <cols>
    <col min="1" max="1" width="35" style="2" customWidth="1"/>
    <col min="2" max="2" width="8.1640625" style="2" customWidth="1"/>
    <col min="3" max="5" width="9" style="2" bestFit="1" customWidth="1"/>
    <col min="6" max="14" width="11" style="2" customWidth="1"/>
    <col min="15" max="16" width="11" style="2"/>
    <col min="17" max="17" width="13.33203125" style="2" customWidth="1"/>
    <col min="18" max="19" width="11" style="2"/>
    <col min="20" max="20" width="16.6640625" style="2" customWidth="1"/>
    <col min="21" max="16384" width="11" style="2"/>
  </cols>
  <sheetData>
    <row r="1" spans="1:20" ht="38" customHeight="1">
      <c r="A1" s="646" t="s">
        <v>1102</v>
      </c>
      <c r="B1" s="646"/>
      <c r="C1" s="643"/>
      <c r="D1" s="643"/>
      <c r="O1" s="329"/>
      <c r="P1" s="329"/>
      <c r="Q1" s="329"/>
      <c r="R1" s="329"/>
      <c r="S1" s="329"/>
      <c r="T1" s="253"/>
    </row>
    <row r="2" spans="1:20">
      <c r="A2" s="35"/>
      <c r="B2" s="35">
        <v>2011</v>
      </c>
      <c r="C2" s="35">
        <v>2012</v>
      </c>
      <c r="D2" s="35">
        <v>2013</v>
      </c>
      <c r="E2" s="35">
        <v>2014</v>
      </c>
      <c r="F2" s="35">
        <v>2015</v>
      </c>
      <c r="G2" s="35">
        <v>2016</v>
      </c>
      <c r="H2" s="35">
        <v>2017</v>
      </c>
      <c r="I2" s="35">
        <v>2018</v>
      </c>
      <c r="J2" s="35">
        <v>2019</v>
      </c>
      <c r="K2" s="35">
        <v>2020</v>
      </c>
      <c r="L2" s="35">
        <v>2021</v>
      </c>
      <c r="M2" s="35">
        <v>2022</v>
      </c>
      <c r="N2" s="35">
        <v>2023</v>
      </c>
      <c r="O2" s="35">
        <v>2024</v>
      </c>
    </row>
    <row r="3" spans="1:20">
      <c r="A3" s="25" t="s">
        <v>97</v>
      </c>
      <c r="B3" s="21">
        <v>48.5</v>
      </c>
      <c r="C3" s="21">
        <v>134.05000000000001</v>
      </c>
      <c r="D3" s="21">
        <v>229.02</v>
      </c>
      <c r="E3" s="21">
        <v>338.9</v>
      </c>
      <c r="F3" s="21">
        <v>396.57</v>
      </c>
      <c r="G3" s="21">
        <v>520.44000000000005</v>
      </c>
      <c r="H3" s="21">
        <v>602.58900000000006</v>
      </c>
      <c r="I3" s="21">
        <v>746.29882369999996</v>
      </c>
      <c r="J3" s="21">
        <v>968.22375539999996</v>
      </c>
      <c r="K3" s="21">
        <v>1125.98173</v>
      </c>
      <c r="L3" s="21">
        <v>1312.637802</v>
      </c>
      <c r="M3" s="21">
        <v>1456.893082</v>
      </c>
      <c r="N3" s="21">
        <v>1522.098761</v>
      </c>
      <c r="O3" s="327">
        <v>1756.5672</v>
      </c>
    </row>
    <row r="4" spans="1:20">
      <c r="A4" s="25" t="s">
        <v>88</v>
      </c>
      <c r="B4" s="21"/>
      <c r="C4" s="21"/>
      <c r="D4" s="21"/>
      <c r="E4" s="21"/>
      <c r="F4" s="21">
        <v>48</v>
      </c>
      <c r="G4" s="21">
        <v>81.599999999999994</v>
      </c>
      <c r="H4" s="21">
        <v>167.26</v>
      </c>
      <c r="I4" s="21">
        <v>261.79000000000002</v>
      </c>
      <c r="J4" s="21">
        <v>441</v>
      </c>
      <c r="K4" s="21">
        <v>486</v>
      </c>
      <c r="L4" s="21">
        <v>513</v>
      </c>
      <c r="M4" s="21">
        <v>608.55999999999995</v>
      </c>
      <c r="N4" s="21">
        <v>631.56679999999994</v>
      </c>
      <c r="O4" s="327">
        <v>712.34</v>
      </c>
    </row>
    <row r="5" spans="1:20">
      <c r="A5" s="25" t="s">
        <v>105</v>
      </c>
      <c r="B5" s="21"/>
      <c r="C5" s="21"/>
      <c r="D5" s="21"/>
      <c r="E5" s="21"/>
      <c r="F5" s="21"/>
      <c r="G5" s="21"/>
      <c r="H5" s="21"/>
      <c r="I5" s="21"/>
      <c r="J5" s="21"/>
      <c r="K5" s="21">
        <v>244.64</v>
      </c>
      <c r="L5" s="21">
        <v>377.05399999999997</v>
      </c>
      <c r="M5" s="21">
        <v>447.988</v>
      </c>
      <c r="N5" s="21">
        <v>541.77800000000002</v>
      </c>
      <c r="O5" s="327">
        <v>685.33</v>
      </c>
    </row>
    <row r="6" spans="1:20">
      <c r="A6" s="25" t="s">
        <v>89</v>
      </c>
      <c r="B6" s="21"/>
      <c r="C6" s="21"/>
      <c r="D6" s="21"/>
      <c r="E6" s="21"/>
      <c r="F6" s="21">
        <v>18</v>
      </c>
      <c r="G6" s="21">
        <v>46</v>
      </c>
      <c r="H6" s="21">
        <v>81.650000000000006</v>
      </c>
      <c r="I6" s="21">
        <v>116.14</v>
      </c>
      <c r="J6" s="21">
        <v>147.09</v>
      </c>
      <c r="K6" s="21">
        <v>211.46</v>
      </c>
      <c r="L6" s="327">
        <v>243.85</v>
      </c>
      <c r="M6" s="327">
        <v>302.29000000000002</v>
      </c>
      <c r="N6" s="63">
        <v>365.03</v>
      </c>
      <c r="O6" s="327">
        <v>421.08</v>
      </c>
      <c r="Q6" s="21"/>
    </row>
    <row r="7" spans="1:20" s="38" customFormat="1">
      <c r="A7" s="556" t="s">
        <v>1115</v>
      </c>
      <c r="B7" s="546"/>
      <c r="C7" s="546"/>
      <c r="D7" s="546"/>
      <c r="E7" s="546"/>
      <c r="F7" s="546"/>
      <c r="G7" s="546"/>
      <c r="H7" s="546"/>
      <c r="I7" s="546"/>
      <c r="J7" s="559">
        <v>36.909999999999997</v>
      </c>
      <c r="K7" s="560">
        <v>46.94</v>
      </c>
      <c r="L7" s="560">
        <v>83.724000000000004</v>
      </c>
      <c r="M7" s="560">
        <v>162.19</v>
      </c>
      <c r="N7" s="560">
        <v>245.857</v>
      </c>
      <c r="O7" s="559">
        <v>352.87700000000001</v>
      </c>
    </row>
    <row r="8" spans="1:20">
      <c r="A8" s="25" t="s">
        <v>91</v>
      </c>
      <c r="B8" s="21"/>
      <c r="C8" s="21"/>
      <c r="D8" s="21"/>
      <c r="E8" s="21"/>
      <c r="F8" s="21"/>
      <c r="G8" s="21">
        <v>0</v>
      </c>
      <c r="H8" s="21">
        <v>0</v>
      </c>
      <c r="I8" s="21">
        <v>44.55</v>
      </c>
      <c r="J8" s="21">
        <v>124.63</v>
      </c>
      <c r="K8" s="21">
        <v>159.97999999999999</v>
      </c>
      <c r="L8" s="21">
        <v>167.53</v>
      </c>
      <c r="M8" s="21">
        <v>211.15</v>
      </c>
      <c r="N8" s="21">
        <v>288.58</v>
      </c>
      <c r="O8" s="327">
        <v>301.6400000000001</v>
      </c>
      <c r="R8" s="63"/>
    </row>
    <row r="9" spans="1:20" s="38" customFormat="1">
      <c r="A9" s="557" t="s">
        <v>99</v>
      </c>
      <c r="B9" s="559">
        <v>34.409999999999997</v>
      </c>
      <c r="C9" s="559">
        <v>48.9</v>
      </c>
      <c r="D9" s="559">
        <v>61.94</v>
      </c>
      <c r="E9" s="559">
        <v>85.77</v>
      </c>
      <c r="F9" s="559">
        <v>105.09</v>
      </c>
      <c r="G9" s="559">
        <v>95.7</v>
      </c>
      <c r="H9" s="559">
        <v>82.91</v>
      </c>
      <c r="I9" s="559">
        <v>147.30000000000001</v>
      </c>
      <c r="J9" s="559">
        <v>147.80000000000001</v>
      </c>
      <c r="K9" s="559">
        <v>175.4</v>
      </c>
      <c r="L9" s="559">
        <v>167</v>
      </c>
      <c r="M9" s="559">
        <v>130</v>
      </c>
      <c r="N9" s="559">
        <v>146.19999999999999</v>
      </c>
      <c r="O9" s="559">
        <v>229.1</v>
      </c>
    </row>
    <row r="10" spans="1:20">
      <c r="A10" s="25" t="s">
        <v>486</v>
      </c>
      <c r="B10" s="21"/>
      <c r="C10" s="21"/>
      <c r="D10" s="21"/>
      <c r="E10" s="21"/>
      <c r="F10" s="21">
        <v>18</v>
      </c>
      <c r="G10" s="21">
        <v>46</v>
      </c>
      <c r="H10" s="21"/>
      <c r="I10" s="21"/>
      <c r="J10" s="21"/>
      <c r="K10" s="21">
        <v>20.45</v>
      </c>
      <c r="L10" s="21">
        <v>64.319999999999993</v>
      </c>
      <c r="M10" s="21">
        <v>137.81</v>
      </c>
      <c r="N10" s="21">
        <v>146</v>
      </c>
      <c r="O10" s="327">
        <v>137.1</v>
      </c>
    </row>
    <row r="11" spans="1:20">
      <c r="A11" s="25" t="s">
        <v>94</v>
      </c>
      <c r="B11" s="21"/>
      <c r="C11" s="21"/>
      <c r="D11" s="21"/>
      <c r="E11" s="21"/>
      <c r="F11" s="21"/>
      <c r="G11" s="21"/>
      <c r="H11" s="327">
        <v>2.5959010050304956</v>
      </c>
      <c r="I11" s="327">
        <v>3.3170678254601635</v>
      </c>
      <c r="J11" s="327">
        <v>8.7869211968633749</v>
      </c>
      <c r="K11" s="327">
        <v>22.420728266791567</v>
      </c>
      <c r="L11" s="327">
        <v>21.225277188431729</v>
      </c>
      <c r="M11" s="327">
        <v>51.502854781552145</v>
      </c>
      <c r="N11" s="330">
        <v>69.795909461851821</v>
      </c>
      <c r="O11" s="327">
        <v>78.128598010928826</v>
      </c>
    </row>
    <row r="12" spans="1:20">
      <c r="A12" s="25" t="s">
        <v>92</v>
      </c>
      <c r="B12" s="21"/>
      <c r="C12" s="21"/>
      <c r="D12" s="21"/>
      <c r="E12" s="327">
        <v>12.2</v>
      </c>
      <c r="F12" s="327">
        <v>23.6</v>
      </c>
      <c r="G12" s="327">
        <v>31.4</v>
      </c>
      <c r="H12" s="327">
        <v>39.700000000000003</v>
      </c>
      <c r="I12" s="327">
        <v>47</v>
      </c>
      <c r="J12" s="327">
        <v>52.3</v>
      </c>
      <c r="K12" s="327">
        <v>55.7</v>
      </c>
      <c r="L12" s="327">
        <v>58.33</v>
      </c>
      <c r="M12" s="327">
        <v>63.31</v>
      </c>
      <c r="N12" s="327">
        <v>68.400000000000006</v>
      </c>
      <c r="O12" s="327">
        <v>71.3</v>
      </c>
    </row>
    <row r="13" spans="1:20">
      <c r="A13" s="25" t="s">
        <v>507</v>
      </c>
      <c r="B13" s="21"/>
      <c r="C13" s="21"/>
      <c r="D13" s="21"/>
      <c r="E13" s="21"/>
      <c r="F13" s="21"/>
      <c r="G13" s="21"/>
      <c r="H13" s="21"/>
      <c r="I13" s="327">
        <v>1.4</v>
      </c>
      <c r="J13" s="327">
        <v>15.07</v>
      </c>
      <c r="K13" s="327">
        <v>17.399999999999999</v>
      </c>
      <c r="L13" s="327">
        <v>24.434806418266742</v>
      </c>
      <c r="M13" s="327">
        <v>33.39</v>
      </c>
      <c r="N13" s="327">
        <v>41.48</v>
      </c>
      <c r="O13" s="327">
        <v>44.73</v>
      </c>
    </row>
    <row r="14" spans="1:20">
      <c r="A14" s="25" t="s">
        <v>95</v>
      </c>
      <c r="B14" s="21"/>
      <c r="C14" s="21"/>
      <c r="D14" s="21"/>
      <c r="E14" s="21"/>
      <c r="F14" s="21"/>
      <c r="G14" s="21"/>
      <c r="H14" s="21"/>
      <c r="I14" s="21"/>
      <c r="J14" s="21">
        <v>8.6999999999999993</v>
      </c>
      <c r="K14" s="21">
        <v>13.6</v>
      </c>
      <c r="L14" s="21">
        <v>20.100000000000001</v>
      </c>
      <c r="M14" s="21">
        <v>23.84</v>
      </c>
      <c r="N14" s="21">
        <v>25.55</v>
      </c>
      <c r="O14" s="327">
        <v>26.4</v>
      </c>
    </row>
    <row r="15" spans="1:20">
      <c r="A15" s="1" t="s">
        <v>67</v>
      </c>
      <c r="B15" s="21">
        <v>82.91</v>
      </c>
      <c r="C15" s="21">
        <v>182.95000000000002</v>
      </c>
      <c r="D15" s="21">
        <v>290.96000000000004</v>
      </c>
      <c r="E15" s="21">
        <v>436.86999999999995</v>
      </c>
      <c r="F15" s="21">
        <v>609.26</v>
      </c>
      <c r="G15" s="21">
        <v>821.1400000000001</v>
      </c>
      <c r="H15" s="21">
        <v>976.6849010050305</v>
      </c>
      <c r="I15" s="21">
        <v>1367.7638915254599</v>
      </c>
      <c r="J15" s="21">
        <v>1950.4656765968634</v>
      </c>
      <c r="K15" s="21">
        <v>2579.9124582667914</v>
      </c>
      <c r="L15" s="21">
        <v>3053.2058856066988</v>
      </c>
      <c r="M15" s="21">
        <v>3633.4</v>
      </c>
      <c r="N15" s="21">
        <v>4091.8574704618518</v>
      </c>
      <c r="O15" s="21">
        <v>4814.7927980109298</v>
      </c>
    </row>
    <row r="17" spans="1:15">
      <c r="B17" s="2">
        <f t="shared" ref="B17:H17" si="0">(B4+B6+B10+B12+B14)/B15</f>
        <v>0</v>
      </c>
      <c r="C17" s="2">
        <f t="shared" si="0"/>
        <v>0</v>
      </c>
      <c r="D17" s="2">
        <f t="shared" si="0"/>
        <v>0</v>
      </c>
      <c r="E17" s="2">
        <f t="shared" si="0"/>
        <v>2.7925927621489231E-2</v>
      </c>
      <c r="F17" s="2">
        <f t="shared" si="0"/>
        <v>0.17660768801496898</v>
      </c>
      <c r="G17" s="2">
        <f t="shared" si="0"/>
        <v>0.24965292154809166</v>
      </c>
      <c r="H17" s="2">
        <f t="shared" si="0"/>
        <v>0.29549960248490981</v>
      </c>
      <c r="I17" s="2">
        <f t="shared" ref="I17:N17" si="1">(I4+I6+I10+I12+I14)/I15</f>
        <v>0.31067496563758368</v>
      </c>
      <c r="J17" s="2">
        <f t="shared" si="1"/>
        <v>0.33278719425225689</v>
      </c>
      <c r="K17" s="2">
        <f t="shared" si="1"/>
        <v>0.30513050839285261</v>
      </c>
      <c r="L17" s="2">
        <f t="shared" si="1"/>
        <v>0.29464111943477461</v>
      </c>
      <c r="M17" s="2">
        <f t="shared" si="1"/>
        <v>0.31260252105465947</v>
      </c>
      <c r="N17" s="2">
        <f t="shared" si="1"/>
        <v>0.30219693841399359</v>
      </c>
      <c r="O17" s="2">
        <f>(O4+O6+O10+O12+O14)/O15</f>
        <v>0.28417006866115491</v>
      </c>
    </row>
    <row r="18" spans="1:15">
      <c r="A18" s="8"/>
      <c r="B18" s="8"/>
      <c r="C18" s="8"/>
      <c r="D18" s="327"/>
      <c r="E18" s="51"/>
      <c r="F18" s="10"/>
      <c r="G18" s="8"/>
    </row>
    <row r="19" spans="1:15">
      <c r="A19" s="8"/>
      <c r="B19" s="8"/>
      <c r="C19" s="8"/>
      <c r="D19" s="327"/>
      <c r="E19" s="51"/>
      <c r="F19" s="8"/>
      <c r="G19" s="8"/>
      <c r="H19" s="327"/>
      <c r="I19" s="327"/>
      <c r="J19" s="327"/>
      <c r="K19" s="327"/>
    </row>
    <row r="20" spans="1:15">
      <c r="A20" s="8"/>
      <c r="B20" s="8"/>
      <c r="C20" s="8"/>
      <c r="E20" s="51"/>
      <c r="F20" s="8"/>
      <c r="G20" s="8"/>
    </row>
    <row r="21" spans="1:15">
      <c r="A21" s="8"/>
      <c r="B21" s="8"/>
      <c r="C21" s="8"/>
      <c r="E21" s="51"/>
      <c r="F21" s="10"/>
      <c r="G21" s="8"/>
    </row>
    <row r="22" spans="1:15">
      <c r="A22" s="8"/>
      <c r="B22" s="8"/>
      <c r="C22" s="8"/>
      <c r="D22" s="327"/>
      <c r="E22" s="51"/>
      <c r="F22" s="8"/>
      <c r="G22" s="8"/>
    </row>
    <row r="23" spans="1:15">
      <c r="A23" s="8"/>
      <c r="B23" s="8"/>
      <c r="C23" s="8"/>
      <c r="D23" s="327"/>
      <c r="E23" s="51"/>
      <c r="F23" s="8"/>
      <c r="G23" s="8"/>
    </row>
    <row r="24" spans="1:15">
      <c r="A24" s="8"/>
      <c r="B24" s="8"/>
      <c r="C24" s="8"/>
      <c r="E24" s="51"/>
      <c r="F24" s="8"/>
      <c r="G24" s="8"/>
    </row>
    <row r="25" spans="1:15">
      <c r="A25" s="8"/>
      <c r="B25" s="8"/>
      <c r="C25" s="8"/>
      <c r="E25" s="51"/>
      <c r="F25" s="8"/>
      <c r="G25" s="8"/>
    </row>
    <row r="26" spans="1:15">
      <c r="A26" s="8"/>
      <c r="B26" s="8"/>
      <c r="C26" s="8"/>
      <c r="D26" s="327"/>
      <c r="E26" s="51"/>
      <c r="F26" s="10"/>
      <c r="G26" s="8"/>
    </row>
    <row r="27" spans="1:15">
      <c r="A27" s="8"/>
      <c r="B27" s="8"/>
      <c r="C27" s="8"/>
      <c r="D27" s="327"/>
      <c r="E27" s="51"/>
      <c r="F27" s="8"/>
      <c r="G27" s="8"/>
    </row>
    <row r="28" spans="1:15">
      <c r="A28" s="8"/>
      <c r="B28" s="8"/>
      <c r="C28" s="8"/>
      <c r="D28" s="327"/>
      <c r="E28" s="51"/>
      <c r="F28" s="8"/>
      <c r="G28" s="8"/>
    </row>
    <row r="29" spans="1:15">
      <c r="A29" s="8"/>
      <c r="B29" s="8"/>
      <c r="C29" s="8"/>
      <c r="D29" s="327"/>
      <c r="E29" s="51"/>
      <c r="F29" s="8"/>
      <c r="G29" s="8"/>
    </row>
    <row r="30" spans="1:15">
      <c r="C30" s="11"/>
      <c r="D30" s="37"/>
    </row>
    <row r="31" spans="1:15">
      <c r="C31" s="11"/>
      <c r="D31" s="37"/>
    </row>
  </sheetData>
  <mergeCells count="1">
    <mergeCell ref="A1:D1"/>
  </mergeCells>
  <pageMargins left="0.7" right="0.7" top="0.75" bottom="0.75" header="0.3" footer="0.3"/>
  <pageSetup orientation="portrait" horizontalDpi="0" verticalDpi="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D45FD2-43F7-8D4E-9735-284A05040FFB}">
  <sheetPr>
    <tabColor rgb="FFFFC000"/>
  </sheetPr>
  <dimension ref="A1:AB46"/>
  <sheetViews>
    <sheetView zoomScale="120" zoomScaleNormal="120" workbookViewId="0">
      <pane xSplit="1" ySplit="2" topLeftCell="B3" activePane="bottomRight" state="frozen"/>
      <selection pane="topRight" activeCell="B1" sqref="B1"/>
      <selection pane="bottomLeft" activeCell="A3" sqref="A3"/>
      <selection pane="bottomRight" activeCell="A21" sqref="A21"/>
    </sheetView>
  </sheetViews>
  <sheetFormatPr baseColWidth="10" defaultColWidth="11" defaultRowHeight="16"/>
  <cols>
    <col min="1" max="1" width="11" style="2"/>
    <col min="2" max="3" width="11.6640625" style="2" bestFit="1" customWidth="1"/>
    <col min="4" max="4" width="13.6640625" style="2" customWidth="1"/>
    <col min="5" max="16384" width="11" style="2"/>
  </cols>
  <sheetData>
    <row r="1" spans="1:28" ht="42" customHeight="1">
      <c r="A1" s="646" t="s">
        <v>1103</v>
      </c>
      <c r="B1" s="646"/>
      <c r="C1" s="643"/>
      <c r="D1" s="643"/>
    </row>
    <row r="2" spans="1:28">
      <c r="A2" s="31"/>
      <c r="B2" s="31">
        <v>2015</v>
      </c>
      <c r="C2" s="31">
        <v>2020</v>
      </c>
      <c r="D2" s="31">
        <v>2024</v>
      </c>
    </row>
    <row r="3" spans="1:28">
      <c r="A3" s="2" t="s">
        <v>97</v>
      </c>
      <c r="B3" s="2">
        <v>65.099999999999994</v>
      </c>
      <c r="C3" s="21">
        <v>43.644183599797209</v>
      </c>
      <c r="D3" s="21">
        <v>36.482716363737744</v>
      </c>
    </row>
    <row r="4" spans="1:28">
      <c r="A4" s="2" t="s">
        <v>88</v>
      </c>
      <c r="B4" s="2">
        <v>7.9</v>
      </c>
      <c r="C4" s="21">
        <v>18.837848487560667</v>
      </c>
      <c r="D4" s="21">
        <v>14.794821498741948</v>
      </c>
    </row>
    <row r="5" spans="1:28">
      <c r="A5" s="2" t="s">
        <v>105</v>
      </c>
      <c r="C5" s="21">
        <v>9.4824922921745713</v>
      </c>
      <c r="D5" s="21">
        <v>14.233842010462446</v>
      </c>
    </row>
    <row r="6" spans="1:28">
      <c r="A6" s="2" t="s">
        <v>89</v>
      </c>
      <c r="B6" s="2">
        <v>3</v>
      </c>
      <c r="C6" s="21">
        <v>8.1964021423448123</v>
      </c>
      <c r="D6" s="21">
        <v>8.7455476832555519</v>
      </c>
    </row>
    <row r="7" spans="1:28">
      <c r="A7" s="556" t="s">
        <v>1115</v>
      </c>
      <c r="B7" s="38"/>
      <c r="C7" s="546">
        <v>1.8194415802594603</v>
      </c>
      <c r="D7" s="546">
        <v>7.3290173597040207</v>
      </c>
    </row>
    <row r="8" spans="1:28">
      <c r="A8" s="2" t="s">
        <v>91</v>
      </c>
      <c r="C8" s="21">
        <v>6.2009855988476446</v>
      </c>
      <c r="D8" s="21">
        <v>6.2648594166837785</v>
      </c>
    </row>
    <row r="9" spans="1:28">
      <c r="A9" s="2" t="s">
        <v>99</v>
      </c>
      <c r="B9" s="2">
        <v>17.2</v>
      </c>
      <c r="C9" s="21">
        <v>6.7986802977739531</v>
      </c>
      <c r="D9" s="21">
        <v>4.7582525273911056</v>
      </c>
    </row>
    <row r="10" spans="1:28">
      <c r="A10" s="2" t="s">
        <v>486</v>
      </c>
      <c r="B10" s="2">
        <v>3</v>
      </c>
      <c r="C10" s="21">
        <v>0.7926625546720486</v>
      </c>
      <c r="D10" s="21">
        <v>2.8474745591677024</v>
      </c>
    </row>
    <row r="11" spans="1:28" s="38" customFormat="1">
      <c r="A11" s="38" t="s">
        <v>94</v>
      </c>
      <c r="C11" s="546">
        <v>0.86904996310820626</v>
      </c>
      <c r="D11" s="546">
        <v>1.6226783018202784</v>
      </c>
    </row>
    <row r="12" spans="1:28">
      <c r="A12" s="2" t="s">
        <v>92</v>
      </c>
      <c r="B12" s="2">
        <v>3.9</v>
      </c>
      <c r="C12" s="21">
        <v>2.158987985096974</v>
      </c>
      <c r="D12" s="21">
        <v>1.4808529253731375</v>
      </c>
    </row>
    <row r="13" spans="1:28">
      <c r="A13" s="2" t="s">
        <v>507</v>
      </c>
      <c r="C13" s="21">
        <v>0.67444148906081403</v>
      </c>
      <c r="D13" s="21">
        <v>0.92901194041992208</v>
      </c>
    </row>
    <row r="14" spans="1:28">
      <c r="A14" s="2" t="s">
        <v>95</v>
      </c>
      <c r="C14" s="21">
        <v>0.52714966961075116</v>
      </c>
      <c r="D14" s="21">
        <v>0.51092541324234486</v>
      </c>
    </row>
    <row r="15" spans="1:28" s="38" customFormat="1">
      <c r="A15" s="308" t="s">
        <v>508</v>
      </c>
      <c r="B15" s="105">
        <v>65.090437580015106</v>
      </c>
      <c r="C15" s="105">
        <v>43.644183599797209</v>
      </c>
      <c r="D15" s="105">
        <v>36.482716363737744</v>
      </c>
      <c r="E15" s="2"/>
      <c r="F15" s="2"/>
      <c r="G15" s="2"/>
      <c r="H15" s="2"/>
      <c r="I15" s="2"/>
      <c r="J15" s="2"/>
      <c r="K15" s="2"/>
      <c r="L15" s="2"/>
      <c r="M15" s="2"/>
      <c r="N15" s="2"/>
      <c r="O15" s="2"/>
      <c r="P15" s="2"/>
      <c r="Q15" s="2"/>
      <c r="R15" s="2"/>
      <c r="S15" s="2"/>
      <c r="T15" s="2"/>
      <c r="U15" s="2"/>
      <c r="V15" s="2"/>
      <c r="W15" s="2"/>
      <c r="X15" s="2"/>
      <c r="Y15" s="2"/>
      <c r="Z15" s="2"/>
      <c r="AA15" s="2"/>
      <c r="AB15" s="2"/>
    </row>
    <row r="16" spans="1:28">
      <c r="A16" s="308" t="s">
        <v>124</v>
      </c>
      <c r="B16" s="74">
        <v>94.091192594294739</v>
      </c>
      <c r="C16" s="74">
        <v>78.763204677306405</v>
      </c>
      <c r="D16" s="74">
        <v>74.256927556197695</v>
      </c>
    </row>
    <row r="17" spans="1:7">
      <c r="A17" s="308" t="s">
        <v>359</v>
      </c>
      <c r="B17" s="74">
        <v>4628.8166916668015</v>
      </c>
      <c r="C17" s="74">
        <v>2511.5401587158053</v>
      </c>
      <c r="D17" s="74">
        <v>1958.6243547857866</v>
      </c>
    </row>
    <row r="18" spans="1:7">
      <c r="A18" s="298" t="s">
        <v>432</v>
      </c>
      <c r="B18" s="309">
        <v>609.26</v>
      </c>
      <c r="C18" s="105">
        <v>2579.9124582667914</v>
      </c>
      <c r="D18" s="105">
        <v>4814.7927980109298</v>
      </c>
      <c r="F18" s="74"/>
      <c r="G18" s="21"/>
    </row>
    <row r="20" spans="1:7">
      <c r="B20" s="21"/>
      <c r="C20" s="21"/>
      <c r="D20" s="21"/>
    </row>
    <row r="21" spans="1:7">
      <c r="A21" s="108"/>
      <c r="B21" s="108"/>
      <c r="C21" s="108"/>
      <c r="D21" s="31"/>
    </row>
    <row r="22" spans="1:7">
      <c r="A22" s="25"/>
      <c r="B22" s="21"/>
      <c r="C22" s="21"/>
      <c r="D22" s="327"/>
    </row>
    <row r="23" spans="1:7">
      <c r="A23" s="25"/>
      <c r="B23" s="21"/>
      <c r="C23" s="21"/>
      <c r="D23" s="327"/>
    </row>
    <row r="24" spans="1:7">
      <c r="A24" s="25"/>
      <c r="B24" s="21"/>
      <c r="C24" s="21"/>
      <c r="D24" s="327"/>
    </row>
    <row r="25" spans="1:7">
      <c r="A25" s="25"/>
      <c r="B25" s="21"/>
      <c r="C25" s="21"/>
      <c r="D25" s="327"/>
    </row>
    <row r="26" spans="1:7">
      <c r="A26" s="25"/>
      <c r="B26" s="21"/>
      <c r="C26" s="21"/>
      <c r="D26" s="327"/>
    </row>
    <row r="27" spans="1:7" ht="11" customHeight="1">
      <c r="A27" s="25"/>
      <c r="B27" s="21"/>
      <c r="C27" s="328"/>
      <c r="D27" s="327"/>
    </row>
    <row r="28" spans="1:7">
      <c r="A28" s="25"/>
      <c r="B28" s="21"/>
      <c r="C28" s="21"/>
      <c r="D28" s="327"/>
    </row>
    <row r="29" spans="1:7">
      <c r="A29" s="25"/>
      <c r="B29" s="327"/>
      <c r="C29" s="327"/>
      <c r="D29" s="327"/>
    </row>
    <row r="30" spans="1:7">
      <c r="A30" s="25"/>
      <c r="B30" s="327"/>
      <c r="C30" s="327"/>
      <c r="D30" s="327"/>
    </row>
    <row r="31" spans="1:7">
      <c r="A31" s="25"/>
      <c r="B31" s="21"/>
      <c r="C31" s="327"/>
      <c r="D31" s="327"/>
    </row>
    <row r="32" spans="1:7">
      <c r="A32" s="25"/>
      <c r="B32" s="21"/>
      <c r="C32" s="327"/>
      <c r="D32" s="327"/>
    </row>
    <row r="33" spans="1:14">
      <c r="A33" s="25"/>
      <c r="B33" s="21"/>
      <c r="C33" s="21"/>
      <c r="D33" s="327"/>
    </row>
    <row r="34" spans="1:14">
      <c r="A34" s="1"/>
      <c r="B34" s="21"/>
      <c r="C34" s="21"/>
      <c r="D34" s="21"/>
    </row>
    <row r="35" spans="1:14">
      <c r="A35" s="25"/>
    </row>
    <row r="36" spans="1:14">
      <c r="A36" s="25"/>
    </row>
    <row r="37" spans="1:14">
      <c r="A37" s="25"/>
    </row>
    <row r="38" spans="1:14">
      <c r="A38" s="25"/>
      <c r="E38" s="11"/>
      <c r="F38" s="11"/>
      <c r="G38" s="11"/>
      <c r="H38" s="11"/>
      <c r="I38" s="11"/>
      <c r="J38" s="11"/>
      <c r="K38" s="11"/>
      <c r="L38" s="11"/>
      <c r="M38" s="11"/>
      <c r="N38" s="11"/>
    </row>
    <row r="39" spans="1:14">
      <c r="A39" s="25"/>
      <c r="E39" s="37"/>
      <c r="F39" s="37"/>
      <c r="G39" s="37"/>
      <c r="H39" s="37"/>
      <c r="I39" s="37"/>
      <c r="J39" s="37"/>
      <c r="K39" s="37"/>
      <c r="L39" s="37"/>
      <c r="M39" s="37"/>
      <c r="N39" s="37"/>
    </row>
    <row r="40" spans="1:14">
      <c r="A40" s="25"/>
      <c r="E40" s="307"/>
      <c r="F40" s="307"/>
      <c r="G40" s="307"/>
      <c r="H40" s="307"/>
      <c r="I40" s="307"/>
      <c r="J40" s="307"/>
      <c r="K40" s="307"/>
      <c r="L40" s="307"/>
      <c r="M40" s="307"/>
      <c r="N40" s="307"/>
    </row>
    <row r="41" spans="1:14">
      <c r="A41" s="25"/>
    </row>
    <row r="42" spans="1:14">
      <c r="A42" s="25"/>
    </row>
    <row r="43" spans="1:14">
      <c r="A43" s="25"/>
    </row>
    <row r="44" spans="1:14">
      <c r="A44" s="25"/>
    </row>
    <row r="45" spans="1:14">
      <c r="A45" s="25"/>
    </row>
    <row r="46" spans="1:14">
      <c r="A46" s="25"/>
    </row>
  </sheetData>
  <mergeCells count="1">
    <mergeCell ref="A1:D1"/>
  </mergeCells>
  <pageMargins left="0.7" right="0.7" top="0.75" bottom="0.75" header="0.3" footer="0.3"/>
  <pageSetup orientation="portrait" horizontalDpi="0" verticalDpi="0"/>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7DBD3-CBC3-E74E-97A8-190ED77869A0}">
  <sheetPr>
    <tabColor rgb="FFFFC000"/>
  </sheetPr>
  <dimension ref="A1:Q81"/>
  <sheetViews>
    <sheetView zoomScale="108" zoomScaleNormal="130" workbookViewId="0">
      <pane xSplit="1" topLeftCell="B1" activePane="topRight" state="frozen"/>
      <selection pane="topRight" activeCell="E12" sqref="E12"/>
    </sheetView>
  </sheetViews>
  <sheetFormatPr baseColWidth="10" defaultColWidth="11" defaultRowHeight="16"/>
  <cols>
    <col min="1" max="1" width="30.5" style="2" customWidth="1"/>
    <col min="2" max="2" width="25.6640625" style="2" customWidth="1"/>
    <col min="3" max="3" width="12" style="2" customWidth="1"/>
    <col min="4" max="7" width="11" style="2"/>
    <col min="8" max="8" width="11.6640625" style="2" bestFit="1" customWidth="1"/>
    <col min="9" max="16384" width="11" style="2"/>
  </cols>
  <sheetData>
    <row r="1" spans="1:8" ht="34.25" customHeight="1">
      <c r="A1" s="646" t="s">
        <v>1104</v>
      </c>
      <c r="B1" s="646"/>
      <c r="C1" s="27"/>
    </row>
    <row r="2" spans="1:8">
      <c r="B2" s="2" t="s">
        <v>484</v>
      </c>
    </row>
    <row r="3" spans="1:8" ht="17" customHeight="1">
      <c r="A3" s="25" t="s">
        <v>97</v>
      </c>
      <c r="B3" s="236">
        <v>23.779974492111393</v>
      </c>
      <c r="C3" s="236"/>
      <c r="D3" s="236"/>
      <c r="E3" s="72"/>
    </row>
    <row r="4" spans="1:8">
      <c r="A4" s="25" t="s">
        <v>94</v>
      </c>
      <c r="B4" s="236">
        <v>16.442366875743055</v>
      </c>
      <c r="C4" s="236"/>
      <c r="D4" s="236"/>
    </row>
    <row r="5" spans="1:8">
      <c r="A5" s="25" t="s">
        <v>105</v>
      </c>
      <c r="B5" s="236">
        <v>14.765200014438037</v>
      </c>
      <c r="C5" s="236"/>
      <c r="D5" s="236"/>
      <c r="E5" s="72"/>
    </row>
    <row r="6" spans="1:8">
      <c r="A6" s="618" t="s">
        <v>1115</v>
      </c>
      <c r="B6" s="236">
        <v>10.228141311130221</v>
      </c>
      <c r="C6" s="236"/>
      <c r="D6" s="549"/>
      <c r="E6" s="72"/>
    </row>
    <row r="7" spans="1:8">
      <c r="A7" s="25" t="s">
        <v>88</v>
      </c>
      <c r="B7" s="236">
        <v>9.4164284164755774</v>
      </c>
      <c r="C7" s="236"/>
      <c r="D7" s="236"/>
      <c r="E7" s="72"/>
    </row>
    <row r="8" spans="1:8">
      <c r="A8" s="25" t="s">
        <v>91</v>
      </c>
      <c r="B8" s="236">
        <v>8.2339261892196536</v>
      </c>
      <c r="C8" s="236"/>
      <c r="D8" s="236"/>
      <c r="E8" s="43"/>
    </row>
    <row r="9" spans="1:8">
      <c r="A9" s="25" t="s">
        <v>89</v>
      </c>
      <c r="B9" s="236">
        <v>5.229414918185916</v>
      </c>
      <c r="C9" s="236"/>
      <c r="D9" s="236"/>
      <c r="E9" s="43"/>
    </row>
    <row r="10" spans="1:8">
      <c r="A10" s="25" t="s">
        <v>99</v>
      </c>
      <c r="B10" s="236">
        <v>4.1074628404210971</v>
      </c>
      <c r="C10" s="236"/>
      <c r="D10" s="236"/>
      <c r="E10" s="72"/>
    </row>
    <row r="11" spans="1:8">
      <c r="A11" s="25" t="s">
        <v>95</v>
      </c>
      <c r="B11" s="236">
        <v>2.9984478735074007</v>
      </c>
      <c r="C11" s="236"/>
      <c r="D11" s="236"/>
      <c r="E11" s="72"/>
    </row>
    <row r="12" spans="1:8">
      <c r="A12" s="25" t="s">
        <v>486</v>
      </c>
      <c r="B12" s="236">
        <v>2.7479513182822917</v>
      </c>
      <c r="C12" s="236"/>
      <c r="D12" s="236"/>
      <c r="E12" s="45"/>
    </row>
    <row r="13" spans="1:8">
      <c r="A13" s="25" t="s">
        <v>92</v>
      </c>
      <c r="B13" s="236">
        <v>1.6618459349254746</v>
      </c>
      <c r="C13" s="236"/>
      <c r="D13" s="236"/>
      <c r="E13" s="45"/>
    </row>
    <row r="14" spans="1:8">
      <c r="A14" s="25" t="s">
        <v>507</v>
      </c>
      <c r="B14" s="236">
        <v>0.38883981555986386</v>
      </c>
      <c r="C14" s="236"/>
      <c r="D14" s="236"/>
      <c r="E14" s="45"/>
    </row>
    <row r="15" spans="1:8">
      <c r="A15" s="2" t="s">
        <v>509</v>
      </c>
      <c r="B15" s="236">
        <v>35788.51610132389</v>
      </c>
      <c r="C15" s="236"/>
      <c r="D15" s="236"/>
      <c r="E15" s="64"/>
    </row>
    <row r="16" spans="1:8">
      <c r="A16" s="2" t="s">
        <v>124</v>
      </c>
      <c r="B16" s="236">
        <v>65.215682693422707</v>
      </c>
      <c r="C16" s="236"/>
      <c r="D16" s="236"/>
      <c r="H16" s="619"/>
    </row>
    <row r="17" spans="1:17">
      <c r="A17" s="2" t="s">
        <v>359</v>
      </c>
      <c r="B17" s="236">
        <v>1378.6041718643057</v>
      </c>
      <c r="C17" s="236"/>
      <c r="D17" s="236"/>
      <c r="E17" s="64"/>
    </row>
    <row r="18" spans="1:17">
      <c r="B18" s="64">
        <v>22.054088461376658</v>
      </c>
    </row>
    <row r="19" spans="1:17">
      <c r="B19" s="300"/>
    </row>
    <row r="20" spans="1:17">
      <c r="A20" s="108"/>
      <c r="B20" s="108"/>
      <c r="C20" s="108"/>
      <c r="D20" s="108"/>
      <c r="E20" s="108"/>
      <c r="F20" s="108"/>
      <c r="G20" s="108"/>
      <c r="H20" s="108"/>
      <c r="I20" s="108"/>
      <c r="J20" s="108"/>
      <c r="K20" s="108"/>
      <c r="L20" s="108"/>
      <c r="M20" s="108"/>
      <c r="N20" s="108"/>
      <c r="O20" s="108"/>
    </row>
    <row r="21" spans="1:17">
      <c r="A21" s="25"/>
      <c r="B21" s="549"/>
      <c r="C21" s="549"/>
      <c r="D21" s="549"/>
      <c r="E21" s="549"/>
      <c r="F21" s="549"/>
      <c r="G21" s="549"/>
      <c r="H21" s="549"/>
      <c r="I21" s="549"/>
      <c r="J21" s="549"/>
      <c r="K21" s="549"/>
      <c r="L21" s="549"/>
      <c r="M21" s="549"/>
      <c r="N21" s="549"/>
      <c r="O21" s="549"/>
      <c r="P21" s="6"/>
      <c r="Q21" s="242"/>
    </row>
    <row r="22" spans="1:17">
      <c r="A22" s="25"/>
      <c r="B22" s="549"/>
      <c r="C22" s="549"/>
      <c r="D22" s="549"/>
      <c r="E22" s="549"/>
      <c r="F22" s="549"/>
      <c r="G22" s="549"/>
      <c r="H22" s="549"/>
      <c r="I22" s="549"/>
      <c r="J22" s="549"/>
      <c r="K22" s="549"/>
      <c r="L22" s="549"/>
      <c r="M22" s="549"/>
      <c r="N22" s="549"/>
      <c r="O22" s="549"/>
      <c r="Q22" s="242"/>
    </row>
    <row r="23" spans="1:17">
      <c r="A23" s="25"/>
      <c r="B23" s="549"/>
      <c r="C23" s="549"/>
      <c r="D23" s="549"/>
      <c r="E23" s="549"/>
      <c r="F23" s="549"/>
      <c r="G23" s="549"/>
      <c r="H23" s="549"/>
      <c r="I23" s="549"/>
      <c r="J23" s="549"/>
      <c r="K23" s="549"/>
      <c r="L23" s="549"/>
      <c r="M23" s="549"/>
      <c r="N23" s="549"/>
      <c r="O23" s="549"/>
      <c r="Q23" s="242"/>
    </row>
    <row r="24" spans="1:17">
      <c r="A24" s="618"/>
      <c r="B24" s="549"/>
      <c r="C24" s="549"/>
      <c r="D24" s="549"/>
      <c r="E24" s="549"/>
      <c r="F24" s="549"/>
      <c r="G24" s="549"/>
      <c r="H24" s="549"/>
      <c r="I24" s="549"/>
      <c r="J24" s="549"/>
      <c r="K24" s="549"/>
      <c r="L24" s="549"/>
      <c r="M24" s="549"/>
      <c r="N24" s="549"/>
      <c r="O24" s="549"/>
      <c r="Q24" s="242"/>
    </row>
    <row r="25" spans="1:17" ht="17" customHeight="1">
      <c r="A25" s="25"/>
      <c r="B25" s="549"/>
      <c r="C25" s="549"/>
      <c r="D25" s="549"/>
      <c r="E25" s="549"/>
      <c r="F25" s="549"/>
      <c r="G25" s="549"/>
      <c r="H25" s="549"/>
      <c r="I25" s="549"/>
      <c r="J25" s="549"/>
      <c r="K25" s="549"/>
      <c r="L25" s="549"/>
      <c r="M25" s="549"/>
      <c r="N25" s="549"/>
      <c r="O25" s="549"/>
      <c r="Q25" s="242"/>
    </row>
    <row r="26" spans="1:17">
      <c r="A26" s="25"/>
      <c r="B26" s="549"/>
      <c r="C26" s="549"/>
      <c r="D26" s="549"/>
      <c r="E26" s="549"/>
      <c r="F26" s="549"/>
      <c r="G26" s="549"/>
      <c r="H26" s="549"/>
      <c r="I26" s="549"/>
      <c r="J26" s="549"/>
      <c r="K26" s="549"/>
      <c r="L26" s="549"/>
      <c r="M26" s="549"/>
      <c r="N26" s="549"/>
      <c r="O26" s="549"/>
      <c r="Q26" s="242"/>
    </row>
    <row r="27" spans="1:17">
      <c r="A27" s="25"/>
      <c r="B27" s="549"/>
      <c r="C27" s="549"/>
      <c r="D27" s="549"/>
      <c r="E27" s="549"/>
      <c r="F27" s="549"/>
      <c r="G27" s="549"/>
      <c r="H27" s="549"/>
      <c r="I27" s="549"/>
      <c r="J27" s="549"/>
      <c r="K27" s="549"/>
      <c r="L27" s="549"/>
      <c r="M27" s="549"/>
      <c r="N27" s="549"/>
      <c r="O27" s="549"/>
      <c r="P27" s="6"/>
      <c r="Q27" s="242"/>
    </row>
    <row r="28" spans="1:17">
      <c r="A28" s="25"/>
      <c r="B28" s="549"/>
      <c r="C28" s="549"/>
      <c r="D28" s="549"/>
      <c r="E28" s="549"/>
      <c r="F28" s="549"/>
      <c r="G28" s="549"/>
      <c r="H28" s="549"/>
      <c r="I28" s="549"/>
      <c r="J28" s="549"/>
      <c r="K28" s="549"/>
      <c r="L28" s="549"/>
      <c r="M28" s="549"/>
      <c r="N28" s="549"/>
      <c r="O28" s="549"/>
      <c r="Q28" s="242"/>
    </row>
    <row r="29" spans="1:17">
      <c r="A29" s="25"/>
      <c r="B29" s="549"/>
      <c r="C29" s="549"/>
      <c r="D29" s="549"/>
      <c r="E29" s="549"/>
      <c r="F29" s="549"/>
      <c r="G29" s="549"/>
      <c r="H29" s="549"/>
      <c r="I29" s="549"/>
      <c r="J29" s="549"/>
      <c r="K29" s="549"/>
      <c r="L29" s="549"/>
      <c r="M29" s="549"/>
      <c r="N29" s="549"/>
      <c r="O29" s="549"/>
      <c r="Q29" s="242"/>
    </row>
    <row r="30" spans="1:17">
      <c r="A30" s="25"/>
      <c r="B30" s="549"/>
      <c r="C30" s="549"/>
      <c r="D30" s="549"/>
      <c r="E30" s="549"/>
      <c r="F30" s="549"/>
      <c r="G30" s="549"/>
      <c r="H30" s="549"/>
      <c r="I30" s="549"/>
      <c r="J30" s="549"/>
      <c r="K30" s="549"/>
      <c r="L30" s="549"/>
      <c r="M30" s="549"/>
      <c r="N30" s="549"/>
      <c r="O30" s="549"/>
      <c r="Q30" s="242"/>
    </row>
    <row r="31" spans="1:17">
      <c r="A31" s="25"/>
      <c r="B31" s="549"/>
      <c r="C31" s="549"/>
      <c r="D31" s="549"/>
      <c r="E31" s="549"/>
      <c r="F31" s="549"/>
      <c r="G31" s="549"/>
      <c r="H31" s="549"/>
      <c r="I31" s="549"/>
      <c r="J31" s="549"/>
      <c r="K31" s="549"/>
      <c r="L31" s="549"/>
      <c r="M31" s="549"/>
      <c r="N31" s="549"/>
      <c r="O31" s="549"/>
      <c r="Q31" s="242"/>
    </row>
    <row r="32" spans="1:17">
      <c r="A32" s="25"/>
      <c r="B32" s="549"/>
      <c r="C32" s="549"/>
      <c r="D32" s="549"/>
      <c r="E32" s="549"/>
      <c r="F32" s="549"/>
      <c r="G32" s="549"/>
      <c r="H32" s="549"/>
      <c r="I32" s="549"/>
      <c r="J32" s="549"/>
      <c r="K32" s="549"/>
      <c r="L32" s="549"/>
      <c r="M32" s="549"/>
      <c r="N32" s="549"/>
      <c r="O32" s="549"/>
      <c r="Q32" s="242"/>
    </row>
    <row r="33" spans="1:17">
      <c r="A33" s="31"/>
      <c r="B33" s="549"/>
      <c r="C33" s="549"/>
      <c r="D33" s="549"/>
      <c r="E33" s="549"/>
      <c r="F33" s="549"/>
      <c r="G33" s="549"/>
      <c r="H33" s="549"/>
      <c r="I33" s="549"/>
      <c r="J33" s="549"/>
      <c r="K33" s="549"/>
      <c r="L33" s="549"/>
      <c r="M33" s="549"/>
      <c r="N33" s="549"/>
      <c r="O33" s="549"/>
      <c r="Q33" s="242"/>
    </row>
    <row r="34" spans="1:17">
      <c r="A34" s="31"/>
      <c r="B34" s="549"/>
      <c r="C34" s="549"/>
      <c r="D34" s="549"/>
      <c r="E34" s="549"/>
      <c r="F34" s="549"/>
      <c r="G34" s="549"/>
      <c r="H34" s="549"/>
      <c r="I34" s="549"/>
      <c r="J34" s="549"/>
      <c r="K34" s="549"/>
      <c r="L34" s="549"/>
      <c r="M34" s="549"/>
      <c r="N34" s="549"/>
      <c r="O34" s="549"/>
    </row>
    <row r="35" spans="1:17">
      <c r="A35" s="31"/>
      <c r="B35" s="549"/>
      <c r="C35" s="549"/>
      <c r="D35" s="549"/>
      <c r="E35" s="549"/>
      <c r="F35" s="549"/>
      <c r="G35" s="549"/>
      <c r="H35" s="549"/>
      <c r="I35" s="549"/>
      <c r="J35" s="549"/>
      <c r="K35" s="549"/>
      <c r="L35" s="549"/>
      <c r="M35" s="549"/>
      <c r="N35" s="549"/>
      <c r="O35" s="549"/>
    </row>
    <row r="36" spans="1:17">
      <c r="A36" s="25"/>
      <c r="B36" s="549"/>
      <c r="C36" s="515"/>
      <c r="D36" s="515"/>
      <c r="E36" s="515"/>
      <c r="F36" s="515"/>
      <c r="G36" s="515"/>
      <c r="H36" s="515"/>
      <c r="I36" s="515"/>
      <c r="J36" s="515"/>
      <c r="K36" s="515"/>
      <c r="L36" s="515"/>
      <c r="M36" s="515"/>
      <c r="N36" s="515"/>
      <c r="O36" s="515"/>
    </row>
    <row r="37" spans="1:17">
      <c r="A37" s="25"/>
      <c r="B37" s="549"/>
      <c r="C37" s="515"/>
      <c r="D37" s="515"/>
      <c r="E37" s="515"/>
      <c r="F37" s="515"/>
      <c r="G37" s="515"/>
      <c r="H37" s="515"/>
      <c r="I37" s="515"/>
      <c r="J37" s="515"/>
      <c r="K37" s="515"/>
      <c r="L37" s="515"/>
      <c r="M37" s="515"/>
      <c r="N37" s="515"/>
      <c r="O37" s="515"/>
    </row>
    <row r="38" spans="1:17">
      <c r="A38" s="25"/>
      <c r="B38" s="549"/>
      <c r="C38" s="515"/>
      <c r="D38" s="515"/>
      <c r="E38" s="515"/>
      <c r="F38" s="515"/>
      <c r="G38" s="515"/>
      <c r="H38" s="515"/>
      <c r="I38" s="515"/>
      <c r="J38" s="515"/>
      <c r="K38" s="515"/>
      <c r="L38" s="515"/>
      <c r="M38" s="515"/>
      <c r="N38" s="515"/>
      <c r="O38" s="515"/>
    </row>
    <row r="39" spans="1:17">
      <c r="A39" s="618"/>
      <c r="B39" s="549"/>
      <c r="C39" s="515"/>
      <c r="D39" s="515"/>
      <c r="E39" s="515"/>
      <c r="F39" s="515"/>
      <c r="G39" s="515"/>
      <c r="H39" s="515"/>
      <c r="I39" s="515"/>
      <c r="J39" s="515"/>
      <c r="K39" s="515"/>
      <c r="L39" s="515"/>
      <c r="M39" s="515"/>
      <c r="N39" s="515"/>
      <c r="O39" s="515"/>
    </row>
    <row r="40" spans="1:17">
      <c r="A40" s="25"/>
      <c r="B40" s="549"/>
      <c r="C40" s="515"/>
      <c r="D40" s="515"/>
      <c r="E40" s="515"/>
      <c r="F40" s="515"/>
      <c r="G40" s="515"/>
      <c r="H40" s="515"/>
      <c r="I40" s="515"/>
      <c r="J40" s="515"/>
      <c r="K40" s="515"/>
      <c r="L40" s="515"/>
      <c r="M40" s="515"/>
      <c r="N40" s="515"/>
      <c r="O40" s="515"/>
    </row>
    <row r="41" spans="1:17">
      <c r="A41" s="25"/>
      <c r="B41" s="549"/>
      <c r="C41" s="515"/>
      <c r="D41" s="515"/>
      <c r="E41" s="515"/>
      <c r="F41" s="515"/>
      <c r="G41" s="515"/>
      <c r="H41" s="515"/>
      <c r="I41" s="515"/>
      <c r="J41" s="515"/>
      <c r="K41" s="515"/>
      <c r="L41" s="515"/>
      <c r="M41" s="515"/>
      <c r="N41" s="515"/>
      <c r="O41" s="515"/>
    </row>
    <row r="42" spans="1:17">
      <c r="A42" s="25"/>
      <c r="B42" s="549"/>
      <c r="C42" s="515"/>
      <c r="D42" s="515"/>
      <c r="E42" s="515"/>
      <c r="F42" s="515"/>
      <c r="G42" s="515"/>
      <c r="H42" s="515"/>
      <c r="I42" s="515"/>
      <c r="J42" s="515"/>
      <c r="K42" s="515"/>
      <c r="L42" s="515"/>
      <c r="M42" s="515"/>
      <c r="N42" s="515"/>
      <c r="O42" s="515"/>
    </row>
    <row r="43" spans="1:17" ht="18" customHeight="1">
      <c r="A43" s="25"/>
      <c r="B43" s="549"/>
      <c r="C43" s="515"/>
      <c r="D43" s="515"/>
      <c r="E43" s="515"/>
      <c r="F43" s="515"/>
      <c r="G43" s="515"/>
      <c r="H43" s="515"/>
      <c r="I43" s="515"/>
      <c r="J43" s="515"/>
      <c r="K43" s="515"/>
      <c r="L43" s="515"/>
      <c r="M43" s="515"/>
      <c r="N43" s="515"/>
      <c r="O43" s="515"/>
    </row>
    <row r="44" spans="1:17">
      <c r="A44" s="25"/>
      <c r="B44" s="549"/>
      <c r="C44" s="515"/>
      <c r="D44" s="515"/>
      <c r="E44" s="515"/>
      <c r="F44" s="515"/>
      <c r="G44" s="515"/>
      <c r="H44" s="515"/>
      <c r="I44" s="515"/>
      <c r="J44" s="515"/>
      <c r="K44" s="515"/>
      <c r="L44" s="515"/>
      <c r="M44" s="515"/>
      <c r="N44" s="515"/>
      <c r="O44" s="515"/>
    </row>
    <row r="45" spans="1:17">
      <c r="A45" s="25"/>
      <c r="B45" s="549"/>
      <c r="C45" s="515"/>
      <c r="D45" s="515"/>
      <c r="E45" s="515"/>
      <c r="F45" s="515"/>
      <c r="G45" s="515"/>
      <c r="H45" s="515"/>
      <c r="I45" s="515"/>
      <c r="J45" s="515"/>
      <c r="K45" s="515"/>
      <c r="L45" s="515"/>
      <c r="M45" s="515"/>
      <c r="N45" s="515"/>
      <c r="O45" s="515"/>
    </row>
    <row r="46" spans="1:17">
      <c r="A46" s="25"/>
      <c r="B46" s="549"/>
      <c r="C46" s="515"/>
      <c r="D46" s="515"/>
      <c r="E46" s="515"/>
      <c r="F46" s="515"/>
      <c r="G46" s="515"/>
      <c r="H46" s="515"/>
      <c r="I46" s="515"/>
      <c r="J46" s="515"/>
      <c r="K46" s="515"/>
      <c r="L46" s="515"/>
      <c r="M46" s="515"/>
      <c r="N46" s="515"/>
      <c r="O46" s="515"/>
    </row>
    <row r="47" spans="1:17">
      <c r="A47" s="25"/>
      <c r="B47" s="549"/>
      <c r="C47" s="515"/>
      <c r="D47" s="515"/>
      <c r="E47" s="515"/>
      <c r="F47" s="515"/>
      <c r="G47" s="515"/>
      <c r="H47" s="515"/>
      <c r="I47" s="515"/>
      <c r="J47" s="515"/>
      <c r="K47" s="515"/>
      <c r="L47" s="515"/>
      <c r="M47" s="515"/>
      <c r="N47" s="515"/>
      <c r="O47" s="515"/>
    </row>
    <row r="48" spans="1:17">
      <c r="A48" s="25"/>
      <c r="B48" s="549"/>
      <c r="C48" s="515"/>
      <c r="D48" s="515"/>
      <c r="E48" s="515"/>
      <c r="F48" s="515"/>
      <c r="G48" s="515"/>
      <c r="H48" s="515"/>
      <c r="I48" s="515"/>
      <c r="J48" s="515"/>
      <c r="K48" s="515"/>
      <c r="L48" s="515"/>
      <c r="M48" s="515"/>
      <c r="N48" s="515"/>
      <c r="O48" s="515"/>
    </row>
    <row r="49" spans="1:16">
      <c r="B49" s="549"/>
      <c r="C49" s="515"/>
      <c r="D49" s="515"/>
      <c r="E49" s="515"/>
      <c r="F49" s="515"/>
      <c r="G49" s="515"/>
      <c r="H49" s="515"/>
      <c r="I49" s="515"/>
      <c r="J49" s="515"/>
      <c r="K49" s="515"/>
      <c r="L49" s="515"/>
      <c r="M49" s="515"/>
      <c r="N49" s="515"/>
      <c r="O49" s="515"/>
      <c r="P49" s="97"/>
    </row>
    <row r="50" spans="1:16">
      <c r="B50" s="549"/>
      <c r="C50" s="549"/>
      <c r="D50" s="549"/>
      <c r="E50" s="549"/>
      <c r="F50" s="549"/>
      <c r="G50" s="549"/>
      <c r="H50" s="549"/>
      <c r="I50" s="549"/>
      <c r="J50" s="549"/>
      <c r="K50" s="549"/>
      <c r="L50" s="549"/>
      <c r="M50" s="549"/>
      <c r="N50" s="549"/>
      <c r="O50" s="549"/>
    </row>
    <row r="51" spans="1:16">
      <c r="B51" s="549"/>
      <c r="C51" s="515"/>
      <c r="D51" s="515"/>
      <c r="E51" s="515"/>
      <c r="F51" s="515"/>
      <c r="G51" s="515"/>
      <c r="H51" s="515"/>
      <c r="I51" s="515"/>
      <c r="J51" s="515"/>
      <c r="K51" s="515"/>
      <c r="L51" s="515"/>
      <c r="M51" s="515"/>
      <c r="N51" s="515"/>
      <c r="O51" s="515"/>
    </row>
    <row r="52" spans="1:16" ht="17" customHeight="1">
      <c r="A52" s="8"/>
      <c r="B52" s="8"/>
      <c r="C52" s="8"/>
      <c r="D52" s="327"/>
      <c r="E52" s="8"/>
    </row>
    <row r="53" spans="1:16">
      <c r="A53" s="8"/>
      <c r="B53" s="8"/>
      <c r="C53" s="8"/>
      <c r="D53" s="8"/>
      <c r="E53" s="8"/>
      <c r="F53" s="8"/>
      <c r="G53" s="8"/>
      <c r="H53" s="8"/>
      <c r="I53" s="8"/>
      <c r="J53" s="8"/>
      <c r="K53" s="8"/>
      <c r="L53" s="8"/>
      <c r="M53" s="8"/>
      <c r="N53" s="8"/>
      <c r="O53" s="8"/>
    </row>
    <row r="54" spans="1:16">
      <c r="A54" s="8"/>
      <c r="B54" s="51"/>
      <c r="C54" s="51"/>
      <c r="D54" s="51"/>
      <c r="E54" s="51"/>
      <c r="F54" s="51"/>
      <c r="G54" s="51"/>
      <c r="H54" s="51"/>
      <c r="I54" s="51"/>
      <c r="J54" s="51"/>
      <c r="K54" s="51"/>
      <c r="L54" s="51"/>
      <c r="M54" s="51"/>
      <c r="N54" s="51"/>
      <c r="O54" s="30"/>
    </row>
    <row r="55" spans="1:16">
      <c r="A55" s="8"/>
      <c r="B55" s="51"/>
      <c r="C55" s="51"/>
      <c r="D55" s="51"/>
      <c r="E55" s="51"/>
      <c r="F55" s="51"/>
      <c r="G55" s="51"/>
      <c r="H55" s="51"/>
      <c r="I55" s="51"/>
      <c r="J55" s="51"/>
      <c r="K55" s="51"/>
      <c r="L55" s="51"/>
      <c r="M55" s="51"/>
      <c r="N55" s="51"/>
      <c r="O55" s="51"/>
    </row>
    <row r="56" spans="1:16">
      <c r="A56" s="8"/>
      <c r="B56" s="51"/>
      <c r="C56" s="51"/>
      <c r="D56" s="51"/>
      <c r="E56" s="51"/>
      <c r="F56" s="51"/>
      <c r="G56" s="51"/>
      <c r="H56" s="51"/>
      <c r="I56" s="51"/>
      <c r="J56" s="51"/>
      <c r="K56" s="51"/>
      <c r="L56" s="51"/>
      <c r="M56" s="51"/>
      <c r="N56" s="51"/>
      <c r="O56" s="51"/>
    </row>
    <row r="57" spans="1:16">
      <c r="A57" s="8"/>
      <c r="B57" s="51"/>
      <c r="C57" s="51"/>
      <c r="D57" s="51"/>
      <c r="E57" s="51"/>
      <c r="F57" s="51"/>
      <c r="G57" s="51"/>
      <c r="H57" s="51"/>
      <c r="I57" s="51"/>
      <c r="J57" s="51"/>
      <c r="K57" s="51"/>
      <c r="L57" s="51"/>
      <c r="M57" s="51"/>
      <c r="N57" s="51"/>
      <c r="O57" s="30"/>
    </row>
    <row r="58" spans="1:16">
      <c r="M58" s="620"/>
      <c r="N58" s="28"/>
      <c r="O58" s="621"/>
    </row>
    <row r="59" spans="1:16">
      <c r="O59" s="621"/>
    </row>
    <row r="63" spans="1:16">
      <c r="A63" s="8"/>
    </row>
    <row r="64" spans="1:16">
      <c r="A64" s="8"/>
    </row>
    <row r="66" spans="1:15">
      <c r="B66" s="6"/>
      <c r="C66" s="6"/>
      <c r="D66" s="6"/>
      <c r="E66" s="6"/>
      <c r="F66" s="6"/>
      <c r="G66" s="6"/>
      <c r="H66" s="6"/>
      <c r="I66" s="6"/>
      <c r="J66" s="6"/>
      <c r="K66" s="6"/>
      <c r="L66" s="6"/>
      <c r="M66" s="6"/>
      <c r="N66" s="6"/>
      <c r="O66" s="6"/>
    </row>
    <row r="67" spans="1:15">
      <c r="C67" s="6"/>
      <c r="D67" s="6"/>
      <c r="E67" s="6"/>
      <c r="F67" s="6"/>
      <c r="G67" s="6"/>
      <c r="H67" s="6"/>
      <c r="I67" s="6"/>
      <c r="J67" s="6"/>
      <c r="K67" s="6"/>
      <c r="L67" s="6"/>
      <c r="M67" s="6"/>
      <c r="N67" s="6"/>
      <c r="O67" s="6"/>
    </row>
    <row r="70" spans="1:15">
      <c r="A70" s="80"/>
      <c r="B70" s="123"/>
      <c r="C70" s="123"/>
      <c r="D70" s="123"/>
      <c r="E70" s="123"/>
      <c r="F70" s="123"/>
      <c r="G70" s="123"/>
      <c r="H70" s="123"/>
      <c r="I70" s="123"/>
      <c r="J70" s="123"/>
      <c r="K70" s="123"/>
      <c r="L70" s="123"/>
      <c r="M70" s="622"/>
      <c r="N70" s="80"/>
      <c r="O70" s="80"/>
    </row>
    <row r="71" spans="1:15">
      <c r="A71" s="623"/>
      <c r="B71" s="376"/>
      <c r="C71" s="376"/>
      <c r="D71" s="376"/>
      <c r="E71" s="376"/>
      <c r="F71" s="376"/>
      <c r="G71" s="376"/>
      <c r="H71" s="376"/>
      <c r="I71" s="376"/>
      <c r="J71" s="376"/>
      <c r="K71" s="376"/>
      <c r="L71" s="376"/>
      <c r="M71" s="376"/>
      <c r="N71" s="376"/>
      <c r="O71" s="376"/>
    </row>
    <row r="72" spans="1:15">
      <c r="A72" s="623"/>
      <c r="B72" s="376"/>
      <c r="C72" s="376"/>
      <c r="D72" s="376"/>
      <c r="E72" s="376"/>
      <c r="F72" s="376"/>
      <c r="G72" s="376"/>
      <c r="H72" s="376"/>
      <c r="I72" s="376"/>
      <c r="J72" s="376"/>
      <c r="K72" s="376"/>
      <c r="L72" s="376"/>
      <c r="M72" s="376"/>
      <c r="N72" s="376"/>
      <c r="O72" s="376"/>
    </row>
    <row r="73" spans="1:15">
      <c r="B73" s="6"/>
      <c r="C73" s="6"/>
      <c r="D73" s="6"/>
      <c r="E73" s="6"/>
      <c r="F73" s="6"/>
      <c r="G73" s="6"/>
      <c r="H73" s="6"/>
      <c r="I73" s="6"/>
      <c r="J73" s="6"/>
      <c r="K73" s="6"/>
      <c r="L73" s="6"/>
      <c r="M73" s="6"/>
      <c r="N73" s="6"/>
      <c r="O73" s="6"/>
    </row>
    <row r="75" spans="1:15">
      <c r="A75" s="623"/>
      <c r="B75" s="6"/>
      <c r="C75" s="6"/>
      <c r="D75" s="6"/>
      <c r="E75" s="6"/>
      <c r="F75" s="6"/>
      <c r="G75" s="6"/>
      <c r="H75" s="6"/>
      <c r="I75" s="6"/>
      <c r="J75" s="6"/>
      <c r="K75" s="6"/>
      <c r="L75" s="6"/>
      <c r="M75" s="6"/>
      <c r="N75" s="6"/>
      <c r="O75" s="6"/>
    </row>
    <row r="76" spans="1:15">
      <c r="A76" s="623"/>
      <c r="B76" s="6"/>
      <c r="C76" s="6"/>
      <c r="D76" s="6"/>
      <c r="E76" s="6"/>
      <c r="F76" s="6"/>
      <c r="G76" s="6"/>
      <c r="H76" s="6"/>
      <c r="I76" s="6"/>
      <c r="J76" s="6"/>
      <c r="K76" s="6"/>
      <c r="L76" s="6"/>
      <c r="M76" s="6"/>
      <c r="N76" s="6"/>
      <c r="O76" s="6"/>
    </row>
    <row r="77" spans="1:15">
      <c r="B77" s="6"/>
      <c r="C77" s="6"/>
      <c r="D77" s="6"/>
      <c r="E77" s="6"/>
      <c r="F77" s="6"/>
      <c r="G77" s="6"/>
      <c r="H77" s="6"/>
      <c r="I77" s="6"/>
      <c r="J77" s="6"/>
      <c r="K77" s="6"/>
      <c r="L77" s="6"/>
      <c r="M77" s="6"/>
      <c r="N77" s="6"/>
      <c r="O77" s="6"/>
    </row>
    <row r="79" spans="1:15">
      <c r="A79" s="623"/>
      <c r="B79" s="6"/>
      <c r="C79" s="6"/>
      <c r="D79" s="6"/>
      <c r="E79" s="6"/>
      <c r="F79" s="6"/>
      <c r="G79" s="6"/>
      <c r="H79" s="6"/>
      <c r="I79" s="6"/>
      <c r="J79" s="6"/>
      <c r="K79" s="6"/>
      <c r="L79" s="6"/>
      <c r="M79" s="6"/>
      <c r="N79" s="6"/>
      <c r="O79" s="6"/>
    </row>
    <row r="80" spans="1:15">
      <c r="A80" s="623"/>
      <c r="B80" s="6"/>
      <c r="C80" s="6"/>
      <c r="D80" s="6"/>
      <c r="E80" s="6"/>
      <c r="F80" s="6"/>
      <c r="G80" s="6"/>
      <c r="H80" s="6"/>
      <c r="I80" s="6"/>
      <c r="J80" s="6"/>
      <c r="K80" s="6"/>
      <c r="L80" s="6"/>
      <c r="M80" s="6"/>
      <c r="N80" s="6"/>
      <c r="O80" s="6"/>
    </row>
    <row r="81" spans="2:15">
      <c r="B81" s="6"/>
      <c r="C81" s="6"/>
      <c r="D81" s="6"/>
      <c r="E81" s="6"/>
      <c r="F81" s="6"/>
      <c r="G81" s="6"/>
      <c r="H81" s="6"/>
      <c r="I81" s="6"/>
      <c r="J81" s="6"/>
      <c r="K81" s="6"/>
      <c r="L81" s="6"/>
      <c r="M81" s="6"/>
      <c r="N81" s="6"/>
      <c r="O81" s="6"/>
    </row>
  </sheetData>
  <mergeCells count="1">
    <mergeCell ref="A1:B1"/>
  </mergeCells>
  <pageMargins left="0.7" right="0.7" top="0.75" bottom="0.75" header="0.3" footer="0.3"/>
  <pageSetup orientation="portrait" horizontalDpi="0" verticalDpi="0"/>
  <legacy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75643-AEB7-8D44-9A19-676B4473D982}">
  <sheetPr>
    <tabColor rgb="FFFFC000"/>
  </sheetPr>
  <dimension ref="A1:AE59"/>
  <sheetViews>
    <sheetView zoomScale="82" zoomScaleNormal="145" workbookViewId="0">
      <pane xSplit="1" ySplit="2" topLeftCell="B19" activePane="bottomRight" state="frozen"/>
      <selection pane="topRight" activeCell="B1" sqref="B1"/>
      <selection pane="bottomLeft" activeCell="A3" sqref="A3"/>
      <selection pane="bottomRight" activeCell="A20" sqref="A20:S56"/>
    </sheetView>
  </sheetViews>
  <sheetFormatPr baseColWidth="10" defaultColWidth="11" defaultRowHeight="16"/>
  <cols>
    <col min="1" max="1" width="15.33203125" style="2" customWidth="1"/>
    <col min="2" max="4" width="11" style="2" customWidth="1"/>
    <col min="5" max="5" width="11.5" style="2" customWidth="1"/>
    <col min="6" max="8" width="11.6640625" style="2" customWidth="1"/>
    <col min="9" max="9" width="11" style="2" customWidth="1"/>
    <col min="10" max="10" width="11.6640625" style="2" customWidth="1"/>
    <col min="11" max="12" width="11" style="2" customWidth="1"/>
    <col min="13" max="13" width="11.83203125" style="2" bestFit="1" customWidth="1"/>
    <col min="14" max="15" width="11.6640625" style="2" bestFit="1" customWidth="1"/>
    <col min="16" max="21" width="11" style="2"/>
    <col min="22" max="23" width="11.6640625" style="2" bestFit="1" customWidth="1"/>
    <col min="24" max="16384" width="11" style="2"/>
  </cols>
  <sheetData>
    <row r="1" spans="1:28" ht="20" customHeight="1">
      <c r="A1" s="646" t="s">
        <v>1139</v>
      </c>
      <c r="B1" s="646"/>
      <c r="C1" s="646"/>
      <c r="D1" s="646"/>
      <c r="E1" s="646"/>
      <c r="F1" s="646"/>
      <c r="G1" s="646"/>
      <c r="H1" s="646"/>
      <c r="I1" s="646"/>
      <c r="J1" s="643"/>
      <c r="K1" s="643"/>
      <c r="L1" s="643"/>
      <c r="M1" s="643"/>
      <c r="AA1" s="72"/>
      <c r="AB1" s="72"/>
    </row>
    <row r="2" spans="1:28">
      <c r="A2" s="35"/>
      <c r="B2" s="35">
        <v>2015</v>
      </c>
      <c r="C2" s="35">
        <v>2020</v>
      </c>
      <c r="D2" s="35">
        <v>2024</v>
      </c>
      <c r="P2" s="37"/>
      <c r="Q2" s="72"/>
      <c r="R2" s="72"/>
    </row>
    <row r="3" spans="1:28">
      <c r="A3" s="25" t="s">
        <v>97</v>
      </c>
      <c r="B3" s="97">
        <v>0.5173776908023483</v>
      </c>
      <c r="C3" s="97">
        <v>0.34809463937923146</v>
      </c>
      <c r="D3" s="97">
        <v>0.29038714963400558</v>
      </c>
      <c r="P3" s="11"/>
      <c r="Q3" s="72"/>
      <c r="R3" s="72"/>
    </row>
    <row r="4" spans="1:28">
      <c r="A4" s="25" t="s">
        <v>91</v>
      </c>
      <c r="B4" s="97">
        <v>0.20511415525114154</v>
      </c>
      <c r="C4" s="97">
        <v>0.25371750085015615</v>
      </c>
      <c r="D4" s="97">
        <v>0.25390752094361613</v>
      </c>
      <c r="P4" s="37"/>
      <c r="Q4" s="43"/>
      <c r="R4" s="43"/>
    </row>
    <row r="5" spans="1:28">
      <c r="A5" s="25" t="s">
        <v>88</v>
      </c>
      <c r="B5" s="97">
        <v>6.262230919765166E-2</v>
      </c>
      <c r="C5" s="97">
        <v>0.1502457724054781</v>
      </c>
      <c r="D5" s="97">
        <v>0.11776058562990789</v>
      </c>
      <c r="E5" s="78"/>
      <c r="F5" s="78"/>
      <c r="G5" s="78"/>
      <c r="H5" s="78"/>
      <c r="I5" s="78"/>
      <c r="J5" s="78"/>
      <c r="K5" s="78"/>
      <c r="L5" s="78"/>
      <c r="M5" s="78"/>
      <c r="P5" s="64"/>
      <c r="Q5" s="64"/>
      <c r="R5" s="64"/>
    </row>
    <row r="6" spans="1:28">
      <c r="A6" s="25" t="s">
        <v>105</v>
      </c>
      <c r="B6" s="97">
        <v>0</v>
      </c>
      <c r="C6" s="97">
        <v>7.562988839768757E-2</v>
      </c>
      <c r="D6" s="97">
        <v>0.11329542374392113</v>
      </c>
      <c r="Q6" s="119"/>
      <c r="R6" s="45"/>
    </row>
    <row r="7" spans="1:28">
      <c r="A7" s="25" t="s">
        <v>89</v>
      </c>
      <c r="B7" s="97">
        <v>2.3483365949119372E-2</v>
      </c>
      <c r="C7" s="97">
        <v>6.5372368380375315E-2</v>
      </c>
      <c r="D7" s="97">
        <v>6.9610898443217578E-2</v>
      </c>
      <c r="E7" s="78"/>
      <c r="F7" s="78"/>
      <c r="G7" s="78"/>
      <c r="H7" s="78"/>
      <c r="I7" s="78"/>
      <c r="J7" s="78"/>
      <c r="K7" s="78"/>
      <c r="L7" s="78"/>
      <c r="M7" s="78"/>
    </row>
    <row r="8" spans="1:28" ht="15" customHeight="1">
      <c r="A8" s="25" t="s">
        <v>486</v>
      </c>
      <c r="B8" s="97">
        <v>0</v>
      </c>
      <c r="C8" s="97">
        <v>1.451139209200235E-2</v>
      </c>
      <c r="D8" s="97">
        <v>5.8335910064470628E-2</v>
      </c>
      <c r="H8" s="2" t="s">
        <v>511</v>
      </c>
      <c r="P8" s="11"/>
      <c r="Q8" s="94"/>
      <c r="R8" s="43"/>
    </row>
    <row r="9" spans="1:28">
      <c r="A9" s="556" t="s">
        <v>1115</v>
      </c>
      <c r="B9" s="97">
        <v>0.13710371819960862</v>
      </c>
      <c r="C9" s="97">
        <v>5.4224503045104649E-2</v>
      </c>
      <c r="D9" s="97">
        <v>3.787369818880295E-2</v>
      </c>
      <c r="E9" s="78"/>
      <c r="F9" s="78"/>
      <c r="G9" s="78"/>
      <c r="H9" s="78"/>
      <c r="I9" s="78"/>
      <c r="J9" s="78"/>
      <c r="K9" s="78"/>
      <c r="L9" s="78"/>
      <c r="M9" s="78"/>
    </row>
    <row r="10" spans="1:28">
      <c r="A10" s="25" t="s">
        <v>92</v>
      </c>
      <c r="B10" s="97">
        <v>2.3483365949119372E-2</v>
      </c>
      <c r="C10" s="97">
        <v>6.3220700528642537E-3</v>
      </c>
      <c r="D10" s="97">
        <v>2.2664705463487058E-2</v>
      </c>
      <c r="Q10" s="45"/>
      <c r="R10" s="45"/>
    </row>
    <row r="11" spans="1:28" s="31" customFormat="1">
      <c r="A11" s="25" t="s">
        <v>94</v>
      </c>
      <c r="B11" s="97">
        <v>0</v>
      </c>
      <c r="C11" s="97">
        <v>6.9313161241511016E-3</v>
      </c>
      <c r="D11" s="97">
        <v>1.2915839986818984E-2</v>
      </c>
      <c r="E11" s="2"/>
      <c r="F11" s="2"/>
      <c r="G11" s="2"/>
      <c r="H11" s="2"/>
      <c r="I11" s="2"/>
      <c r="J11" s="2"/>
      <c r="K11" s="2"/>
      <c r="L11" s="2"/>
      <c r="M11" s="2"/>
      <c r="N11" s="2"/>
      <c r="O11" s="2"/>
      <c r="P11" s="2"/>
      <c r="Q11" s="2"/>
      <c r="R11" s="2"/>
      <c r="S11" s="2"/>
    </row>
    <row r="12" spans="1:28">
      <c r="A12" s="25" t="s">
        <v>99</v>
      </c>
      <c r="B12" s="97">
        <v>3.0789302022178736E-2</v>
      </c>
      <c r="C12" s="97">
        <v>1.7219525767459117E-2</v>
      </c>
      <c r="D12" s="97">
        <v>1.1786969362119818E-2</v>
      </c>
      <c r="Q12" s="45"/>
      <c r="R12" s="45"/>
    </row>
    <row r="13" spans="1:28">
      <c r="A13" s="25" t="s">
        <v>507</v>
      </c>
      <c r="B13" s="97">
        <v>0</v>
      </c>
      <c r="C13" s="97">
        <v>5.3791696293319317E-3</v>
      </c>
      <c r="D13" s="97">
        <v>7.3945461369932606E-3</v>
      </c>
      <c r="E13" s="78"/>
      <c r="F13" s="78"/>
      <c r="G13" s="78"/>
      <c r="H13" s="78"/>
      <c r="I13" s="78"/>
      <c r="J13" s="78"/>
      <c r="K13" s="78"/>
      <c r="L13" s="78"/>
      <c r="M13" s="78"/>
    </row>
    <row r="14" spans="1:28" s="31" customFormat="1">
      <c r="A14" s="25" t="s">
        <v>95</v>
      </c>
      <c r="B14" s="97">
        <v>0</v>
      </c>
      <c r="C14" s="97">
        <v>4.2044084459146132E-3</v>
      </c>
      <c r="D14" s="97">
        <v>4.0667524026388163E-3</v>
      </c>
      <c r="E14" s="2"/>
      <c r="F14" s="2"/>
      <c r="G14" s="2"/>
      <c r="H14" s="2"/>
      <c r="I14" s="2"/>
      <c r="J14" s="2"/>
      <c r="K14" s="2"/>
      <c r="L14" s="2"/>
      <c r="M14" s="2"/>
      <c r="N14" s="2"/>
      <c r="O14" s="2"/>
      <c r="P14" s="2"/>
      <c r="Q14" s="2"/>
      <c r="R14" s="2"/>
      <c r="S14" s="2"/>
    </row>
    <row r="15" spans="1:28">
      <c r="A15" s="121" t="s">
        <v>124</v>
      </c>
      <c r="B15" s="105">
        <v>0.92221787345075013</v>
      </c>
      <c r="C15" s="105">
        <v>0.82768780103255335</v>
      </c>
      <c r="D15" s="105">
        <v>0.77535067995145068</v>
      </c>
      <c r="J15" s="45"/>
    </row>
    <row r="16" spans="1:28">
      <c r="A16" s="121" t="s">
        <v>359</v>
      </c>
      <c r="B16" s="105">
        <v>3345.2139284937721</v>
      </c>
      <c r="C16" s="105">
        <v>2216.9168042247111</v>
      </c>
      <c r="D16" s="105">
        <v>1860.7096526385899</v>
      </c>
      <c r="F16" s="78"/>
    </row>
    <row r="17" spans="1:31">
      <c r="A17" s="121" t="s">
        <v>432</v>
      </c>
      <c r="B17" s="74">
        <v>766.5</v>
      </c>
      <c r="C17" s="74">
        <v>3234.7</v>
      </c>
      <c r="D17" s="74">
        <v>6049.05279801093</v>
      </c>
      <c r="E17" s="11"/>
      <c r="G17" s="11"/>
      <c r="H17" s="11"/>
      <c r="I17" s="11"/>
      <c r="L17" s="11"/>
      <c r="M17" s="11"/>
    </row>
    <row r="18" spans="1:31">
      <c r="A18" s="31"/>
      <c r="B18" s="11"/>
      <c r="C18" s="11"/>
      <c r="D18" s="11"/>
      <c r="E18" s="11"/>
      <c r="G18" s="11"/>
      <c r="H18" s="11"/>
      <c r="I18" s="11"/>
      <c r="L18" s="11"/>
      <c r="M18" s="11"/>
    </row>
    <row r="19" spans="1:31">
      <c r="A19" s="120"/>
      <c r="B19" s="21"/>
    </row>
    <row r="20" spans="1:31">
      <c r="A20" s="21"/>
      <c r="B20" s="21"/>
      <c r="C20" s="21"/>
      <c r="D20" s="21"/>
    </row>
    <row r="21" spans="1:31">
      <c r="A21" s="25"/>
      <c r="B21" s="21"/>
      <c r="C21" s="21"/>
      <c r="D21" s="21"/>
    </row>
    <row r="22" spans="1:31">
      <c r="G22" s="95"/>
    </row>
    <row r="23" spans="1:31">
      <c r="A23" s="31"/>
      <c r="H23" s="11"/>
      <c r="I23" s="646"/>
      <c r="J23" s="646"/>
      <c r="K23" s="646"/>
      <c r="L23" s="646"/>
      <c r="M23" s="646"/>
      <c r="AE23" s="19"/>
    </row>
    <row r="24" spans="1:31">
      <c r="A24" s="35"/>
      <c r="B24" s="35"/>
      <c r="C24" s="35"/>
      <c r="D24" s="35"/>
      <c r="E24" s="35"/>
      <c r="F24" s="35"/>
      <c r="G24" s="35"/>
      <c r="H24" s="35"/>
      <c r="I24" s="35"/>
      <c r="J24" s="35"/>
      <c r="K24" s="35"/>
      <c r="L24" s="35"/>
      <c r="M24" s="35"/>
      <c r="N24" s="35"/>
      <c r="O24" s="31"/>
    </row>
    <row r="25" spans="1:31">
      <c r="A25" s="25"/>
      <c r="B25" s="97"/>
      <c r="C25" s="97"/>
      <c r="D25" s="97"/>
      <c r="E25" s="97"/>
      <c r="F25" s="97"/>
      <c r="G25" s="97"/>
      <c r="H25" s="97"/>
      <c r="I25" s="97"/>
      <c r="J25" s="97"/>
      <c r="K25" s="97"/>
      <c r="L25" s="97"/>
      <c r="M25" s="97"/>
      <c r="N25" s="97"/>
      <c r="O25" s="97"/>
    </row>
    <row r="26" spans="1:31">
      <c r="A26" s="25"/>
      <c r="B26" s="97"/>
      <c r="C26" s="97"/>
      <c r="D26" s="97"/>
      <c r="E26" s="97"/>
      <c r="F26" s="97"/>
      <c r="G26" s="97"/>
      <c r="H26" s="97"/>
      <c r="I26" s="97"/>
      <c r="J26" s="97"/>
      <c r="K26" s="97"/>
      <c r="L26" s="97"/>
      <c r="M26" s="97"/>
      <c r="N26" s="97"/>
      <c r="O26" s="97"/>
    </row>
    <row r="27" spans="1:31">
      <c r="A27" s="25"/>
      <c r="B27" s="97"/>
      <c r="C27" s="97"/>
      <c r="D27" s="97"/>
      <c r="E27" s="97"/>
      <c r="F27" s="97"/>
      <c r="G27" s="97"/>
      <c r="H27" s="97"/>
      <c r="I27" s="97"/>
      <c r="J27" s="97"/>
      <c r="K27" s="97"/>
      <c r="L27" s="97"/>
      <c r="M27" s="97"/>
      <c r="N27" s="97"/>
      <c r="O27" s="97"/>
    </row>
    <row r="28" spans="1:31">
      <c r="A28" s="25"/>
      <c r="B28" s="97"/>
      <c r="C28" s="97"/>
      <c r="D28" s="97"/>
      <c r="E28" s="97"/>
      <c r="F28" s="97"/>
      <c r="G28" s="97"/>
      <c r="H28" s="97"/>
      <c r="I28" s="97"/>
      <c r="J28" s="97"/>
      <c r="K28" s="97"/>
      <c r="L28" s="97"/>
      <c r="M28" s="97"/>
      <c r="N28" s="97"/>
      <c r="O28" s="97"/>
    </row>
    <row r="29" spans="1:31">
      <c r="A29" s="25"/>
      <c r="B29" s="97"/>
      <c r="C29" s="97"/>
      <c r="D29" s="97"/>
      <c r="E29" s="97"/>
      <c r="F29" s="97"/>
      <c r="G29" s="97"/>
      <c r="H29" s="97"/>
      <c r="I29" s="97"/>
      <c r="J29" s="97"/>
      <c r="K29" s="97"/>
      <c r="L29" s="97"/>
      <c r="M29" s="97"/>
      <c r="N29" s="97"/>
      <c r="O29" s="97"/>
    </row>
    <row r="30" spans="1:31" s="38" customFormat="1">
      <c r="A30" s="556"/>
      <c r="B30" s="558"/>
      <c r="C30" s="558"/>
      <c r="D30" s="558"/>
      <c r="E30" s="558"/>
      <c r="F30" s="558"/>
      <c r="G30" s="558"/>
      <c r="H30" s="558"/>
      <c r="I30" s="558"/>
      <c r="J30" s="558"/>
      <c r="K30" s="558"/>
      <c r="L30" s="558"/>
      <c r="M30" s="558"/>
      <c r="N30" s="558"/>
      <c r="O30" s="558"/>
    </row>
    <row r="31" spans="1:31">
      <c r="A31" s="25"/>
      <c r="B31" s="97"/>
      <c r="C31" s="97"/>
      <c r="D31" s="97"/>
      <c r="E31" s="97"/>
      <c r="F31" s="97"/>
      <c r="G31" s="97"/>
      <c r="H31" s="97"/>
      <c r="I31" s="97"/>
      <c r="J31" s="97"/>
      <c r="K31" s="97"/>
      <c r="L31" s="97"/>
      <c r="M31" s="97"/>
      <c r="N31" s="97"/>
      <c r="O31" s="97"/>
    </row>
    <row r="32" spans="1:31">
      <c r="A32" s="25"/>
      <c r="B32" s="97"/>
      <c r="C32" s="97"/>
      <c r="D32" s="97"/>
      <c r="E32" s="97"/>
      <c r="F32" s="97"/>
      <c r="G32" s="97"/>
      <c r="H32" s="97"/>
      <c r="I32" s="97"/>
      <c r="J32" s="97"/>
      <c r="K32" s="97"/>
      <c r="L32" s="97"/>
      <c r="M32" s="97"/>
      <c r="N32" s="97"/>
      <c r="O32" s="97"/>
    </row>
    <row r="33" spans="1:16">
      <c r="A33" s="25"/>
      <c r="B33" s="97"/>
      <c r="C33" s="97"/>
      <c r="D33" s="97"/>
      <c r="E33" s="97"/>
      <c r="F33" s="97"/>
      <c r="G33" s="97"/>
      <c r="H33" s="97"/>
      <c r="I33" s="97"/>
      <c r="J33" s="97"/>
      <c r="K33" s="97"/>
      <c r="L33" s="97"/>
      <c r="M33" s="97"/>
      <c r="N33" s="97"/>
      <c r="O33" s="97"/>
    </row>
    <row r="34" spans="1:16">
      <c r="A34" s="25"/>
      <c r="B34" s="97"/>
      <c r="C34" s="97"/>
      <c r="D34" s="97"/>
      <c r="E34" s="97"/>
      <c r="F34" s="97"/>
      <c r="G34" s="97"/>
      <c r="H34" s="97"/>
      <c r="I34" s="97"/>
      <c r="J34" s="97"/>
      <c r="K34" s="97"/>
      <c r="L34" s="97"/>
      <c r="M34" s="97"/>
      <c r="N34" s="97"/>
      <c r="O34" s="97"/>
    </row>
    <row r="35" spans="1:16">
      <c r="A35" s="25"/>
      <c r="B35" s="97"/>
      <c r="C35" s="97"/>
      <c r="D35" s="97"/>
      <c r="E35" s="97"/>
      <c r="F35" s="97"/>
      <c r="G35" s="97"/>
      <c r="H35" s="97"/>
      <c r="I35" s="97"/>
      <c r="J35" s="97"/>
      <c r="K35" s="97"/>
      <c r="L35" s="97"/>
      <c r="M35" s="97"/>
      <c r="N35" s="97"/>
      <c r="O35" s="97"/>
    </row>
    <row r="36" spans="1:16">
      <c r="A36" s="25"/>
      <c r="B36" s="97"/>
      <c r="C36" s="97"/>
      <c r="D36" s="97"/>
      <c r="E36" s="97"/>
      <c r="F36" s="97"/>
      <c r="G36" s="97"/>
      <c r="H36" s="97"/>
      <c r="I36" s="97"/>
      <c r="J36" s="97"/>
      <c r="K36" s="97"/>
      <c r="L36" s="97"/>
      <c r="M36" s="97"/>
      <c r="N36" s="97"/>
      <c r="O36" s="97"/>
    </row>
    <row r="37" spans="1:16">
      <c r="A37" s="171"/>
      <c r="B37" s="172"/>
      <c r="C37" s="172"/>
      <c r="D37" s="172"/>
      <c r="E37" s="172"/>
      <c r="F37" s="172"/>
      <c r="G37" s="172"/>
      <c r="H37" s="172"/>
      <c r="I37" s="172"/>
      <c r="J37" s="172"/>
      <c r="K37" s="172"/>
      <c r="L37" s="172"/>
      <c r="M37" s="172"/>
      <c r="N37" s="172"/>
      <c r="O37" s="172"/>
    </row>
    <row r="38" spans="1:16">
      <c r="A38" s="121"/>
      <c r="B38" s="170"/>
      <c r="C38" s="170"/>
      <c r="D38" s="170"/>
      <c r="E38" s="170"/>
      <c r="F38" s="170"/>
      <c r="G38" s="170"/>
      <c r="H38" s="170"/>
      <c r="I38" s="170"/>
      <c r="J38" s="170"/>
      <c r="K38" s="170"/>
      <c r="L38" s="170"/>
      <c r="M38" s="170"/>
      <c r="N38" s="170"/>
      <c r="O38" s="170"/>
    </row>
    <row r="39" spans="1:16">
      <c r="A39" s="31"/>
      <c r="B39" s="31"/>
      <c r="C39" s="31"/>
      <c r="D39" s="31"/>
      <c r="E39" s="31"/>
      <c r="F39" s="31"/>
      <c r="G39" s="31"/>
      <c r="H39" s="31"/>
      <c r="I39" s="31"/>
      <c r="J39" s="31"/>
      <c r="K39" s="31"/>
      <c r="L39" s="118"/>
    </row>
    <row r="40" spans="1:16">
      <c r="A40" s="31"/>
      <c r="B40" s="21"/>
      <c r="C40" s="21"/>
      <c r="D40" s="21"/>
      <c r="E40" s="11"/>
      <c r="F40" s="11"/>
      <c r="G40" s="11"/>
    </row>
    <row r="41" spans="1:16">
      <c r="A41" s="35"/>
      <c r="B41" s="35"/>
      <c r="C41" s="35"/>
      <c r="D41" s="35"/>
      <c r="E41" s="35"/>
      <c r="F41" s="35"/>
      <c r="G41" s="35"/>
      <c r="H41" s="35"/>
      <c r="I41" s="35"/>
      <c r="J41" s="35"/>
      <c r="K41" s="35"/>
      <c r="L41" s="35"/>
      <c r="M41" s="35"/>
      <c r="N41" s="35"/>
      <c r="O41" s="31"/>
    </row>
    <row r="42" spans="1:16">
      <c r="A42" s="25"/>
      <c r="B42" s="21"/>
      <c r="C42" s="21"/>
      <c r="D42" s="21"/>
      <c r="E42" s="21"/>
      <c r="F42" s="21"/>
      <c r="G42" s="21"/>
      <c r="H42" s="21"/>
      <c r="I42" s="21"/>
      <c r="J42" s="21"/>
      <c r="K42" s="21"/>
      <c r="L42" s="21"/>
      <c r="M42" s="21"/>
      <c r="N42" s="21"/>
      <c r="O42" s="167"/>
    </row>
    <row r="43" spans="1:16">
      <c r="A43" s="25"/>
      <c r="B43" s="21"/>
      <c r="C43" s="21"/>
      <c r="D43" s="21"/>
      <c r="E43" s="21"/>
      <c r="F43" s="21"/>
      <c r="G43" s="21"/>
      <c r="H43" s="21"/>
      <c r="I43" s="21"/>
      <c r="J43" s="21"/>
      <c r="K43" s="21"/>
      <c r="L43" s="21"/>
      <c r="M43" s="21"/>
      <c r="N43" s="21"/>
      <c r="O43" s="21"/>
      <c r="P43" s="21"/>
    </row>
    <row r="44" spans="1:16">
      <c r="A44" s="25"/>
      <c r="B44" s="21"/>
      <c r="C44" s="21"/>
      <c r="D44" s="21"/>
      <c r="E44" s="21"/>
      <c r="F44" s="21"/>
      <c r="G44" s="21"/>
      <c r="H44" s="21"/>
      <c r="I44" s="21"/>
      <c r="J44" s="21"/>
      <c r="K44" s="21"/>
      <c r="L44" s="21"/>
      <c r="M44" s="21"/>
      <c r="N44" s="21"/>
      <c r="O44" s="167"/>
    </row>
    <row r="45" spans="1:16">
      <c r="A45" s="25"/>
      <c r="B45" s="21"/>
      <c r="C45" s="21"/>
      <c r="D45" s="21"/>
      <c r="E45" s="21"/>
      <c r="F45" s="21"/>
      <c r="G45" s="21"/>
      <c r="H45" s="21"/>
      <c r="I45" s="21"/>
      <c r="J45" s="21"/>
      <c r="K45" s="21"/>
      <c r="L45" s="21"/>
      <c r="M45" s="21"/>
      <c r="N45" s="21"/>
      <c r="O45" s="167"/>
    </row>
    <row r="46" spans="1:16">
      <c r="A46" s="25"/>
      <c r="B46" s="21"/>
      <c r="C46" s="21"/>
      <c r="D46" s="21"/>
      <c r="E46" s="21"/>
      <c r="F46" s="21"/>
      <c r="G46" s="21"/>
      <c r="H46" s="21"/>
      <c r="I46" s="21"/>
      <c r="J46" s="21"/>
      <c r="K46" s="21"/>
      <c r="L46" s="21"/>
      <c r="M46" s="21"/>
      <c r="N46" s="21"/>
      <c r="O46" s="167"/>
    </row>
    <row r="47" spans="1:16">
      <c r="A47" s="25"/>
      <c r="B47" s="21"/>
      <c r="C47" s="21"/>
      <c r="D47" s="21"/>
      <c r="E47" s="21"/>
      <c r="F47" s="21"/>
      <c r="G47" s="21"/>
      <c r="H47" s="21"/>
      <c r="I47" s="21"/>
      <c r="J47" s="21"/>
      <c r="K47" s="21"/>
      <c r="L47" s="21"/>
      <c r="M47" s="21"/>
      <c r="N47" s="167"/>
      <c r="O47" s="167"/>
    </row>
    <row r="48" spans="1:16">
      <c r="A48" s="556"/>
      <c r="B48" s="21"/>
      <c r="C48" s="21"/>
      <c r="D48" s="21"/>
      <c r="E48" s="21"/>
      <c r="F48" s="21"/>
      <c r="G48" s="21"/>
      <c r="H48" s="21"/>
      <c r="I48" s="21"/>
      <c r="J48" s="21"/>
      <c r="K48" s="21"/>
      <c r="L48" s="21"/>
      <c r="M48" s="21"/>
      <c r="N48" s="21"/>
      <c r="O48" s="167"/>
    </row>
    <row r="49" spans="1:15">
      <c r="A49" s="25"/>
      <c r="B49" s="21"/>
      <c r="C49" s="21"/>
      <c r="D49" s="21"/>
      <c r="E49" s="21"/>
      <c r="F49" s="21"/>
      <c r="G49" s="21"/>
      <c r="H49" s="21"/>
      <c r="I49" s="21"/>
      <c r="J49" s="21"/>
      <c r="K49" s="21"/>
      <c r="L49" s="21"/>
      <c r="M49" s="21"/>
      <c r="N49" s="21"/>
      <c r="O49" s="167"/>
    </row>
    <row r="50" spans="1:15">
      <c r="A50" s="25"/>
      <c r="B50" s="21"/>
      <c r="C50" s="21"/>
      <c r="D50" s="21"/>
      <c r="E50" s="21"/>
      <c r="F50" s="21"/>
      <c r="G50" s="21"/>
      <c r="H50" s="21"/>
      <c r="I50" s="21"/>
      <c r="J50" s="21"/>
      <c r="K50" s="21"/>
      <c r="L50" s="21"/>
      <c r="M50" s="21"/>
      <c r="N50" s="21"/>
      <c r="O50" s="167"/>
    </row>
    <row r="51" spans="1:15">
      <c r="A51" s="25"/>
      <c r="B51" s="21"/>
      <c r="C51" s="21"/>
      <c r="D51" s="21"/>
      <c r="E51" s="21"/>
      <c r="F51" s="21"/>
      <c r="G51" s="21"/>
      <c r="H51" s="21"/>
      <c r="I51" s="21"/>
      <c r="J51" s="21"/>
      <c r="K51" s="21"/>
      <c r="L51" s="21"/>
      <c r="M51" s="21"/>
      <c r="N51" s="167"/>
      <c r="O51" s="167"/>
    </row>
    <row r="52" spans="1:15">
      <c r="A52" s="25"/>
      <c r="B52" s="21"/>
      <c r="C52" s="21"/>
      <c r="D52" s="21"/>
      <c r="E52" s="21"/>
      <c r="F52" s="21"/>
      <c r="G52" s="21"/>
      <c r="H52" s="21"/>
      <c r="I52" s="21"/>
      <c r="J52" s="21"/>
      <c r="K52" s="21"/>
      <c r="L52" s="21"/>
      <c r="M52" s="21"/>
      <c r="N52" s="21"/>
      <c r="O52" s="21"/>
    </row>
    <row r="53" spans="1:15">
      <c r="A53" s="25"/>
      <c r="B53" s="21"/>
      <c r="C53" s="21"/>
      <c r="D53" s="21"/>
      <c r="E53" s="21"/>
      <c r="F53" s="21"/>
      <c r="G53" s="21"/>
      <c r="H53" s="21"/>
      <c r="I53" s="21"/>
      <c r="J53" s="21"/>
      <c r="K53" s="21"/>
      <c r="L53" s="21"/>
      <c r="M53" s="21"/>
      <c r="N53" s="21"/>
      <c r="O53" s="167"/>
    </row>
    <row r="54" spans="1:15">
      <c r="A54" s="31"/>
      <c r="B54" s="14"/>
      <c r="C54" s="14"/>
      <c r="D54" s="12"/>
      <c r="E54" s="12"/>
      <c r="F54" s="12"/>
      <c r="G54" s="12"/>
      <c r="H54" s="12"/>
      <c r="I54" s="12"/>
      <c r="J54" s="12"/>
      <c r="K54" s="12"/>
      <c r="L54" s="12"/>
      <c r="M54" s="12"/>
      <c r="N54" s="12"/>
      <c r="O54" s="21"/>
    </row>
    <row r="55" spans="1:15">
      <c r="B55" s="21"/>
      <c r="C55" s="21"/>
      <c r="D55" s="21"/>
      <c r="E55" s="21"/>
      <c r="F55" s="21"/>
      <c r="G55" s="21"/>
      <c r="H55" s="21"/>
      <c r="I55" s="21"/>
      <c r="J55" s="168"/>
      <c r="K55" s="168"/>
      <c r="L55" s="168"/>
      <c r="M55" s="168"/>
      <c r="N55" s="168"/>
      <c r="O55" s="168"/>
    </row>
    <row r="56" spans="1:15">
      <c r="B56" s="15"/>
      <c r="C56" s="15"/>
      <c r="D56" s="15"/>
      <c r="E56" s="15"/>
      <c r="F56" s="15"/>
      <c r="G56" s="15"/>
      <c r="H56" s="15"/>
      <c r="I56" s="15"/>
      <c r="J56" s="15"/>
      <c r="K56" s="15"/>
      <c r="L56" s="15"/>
      <c r="M56" s="15"/>
      <c r="N56" s="15"/>
      <c r="O56" s="15"/>
    </row>
    <row r="59" spans="1:15">
      <c r="G59" s="168"/>
      <c r="H59" s="168"/>
      <c r="I59" s="168"/>
      <c r="J59" s="168"/>
      <c r="K59" s="168"/>
      <c r="L59" s="168"/>
      <c r="M59" s="168"/>
      <c r="N59" s="168"/>
      <c r="O59" s="168"/>
    </row>
  </sheetData>
  <mergeCells count="2">
    <mergeCell ref="A1:M1"/>
    <mergeCell ref="I23:M23"/>
  </mergeCells>
  <pageMargins left="0.7" right="0.7" top="0.75" bottom="0.75" header="0.3" footer="0.3"/>
  <pageSetup orientation="portrait" horizontalDpi="300" verticalDpi="0"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E70F9-31DA-F941-9CC7-C1BDAE1DB6A3}">
  <sheetPr>
    <tabColor rgb="FFFFC000"/>
  </sheetPr>
  <dimension ref="A1:X44"/>
  <sheetViews>
    <sheetView zoomScale="115" zoomScaleNormal="115" workbookViewId="0">
      <pane xSplit="1" ySplit="3" topLeftCell="O5" activePane="bottomRight" state="frozen"/>
      <selection pane="topRight" activeCell="B1" sqref="B1"/>
      <selection pane="bottomLeft" activeCell="A4" sqref="A4"/>
      <selection pane="bottomRight" activeCell="Y16" sqref="Y16"/>
    </sheetView>
  </sheetViews>
  <sheetFormatPr baseColWidth="10" defaultColWidth="11" defaultRowHeight="16"/>
  <cols>
    <col min="1" max="1" width="52.1640625" style="28" customWidth="1"/>
    <col min="2" max="9" width="11" style="28"/>
    <col min="10" max="10" width="12.5" style="28" customWidth="1"/>
    <col min="11" max="11" width="11" style="28" bestFit="1" customWidth="1"/>
    <col min="12" max="15" width="11" style="28" customWidth="1"/>
    <col min="16" max="16" width="11.1640625" style="28" bestFit="1" customWidth="1"/>
    <col min="17" max="20" width="11.1640625" style="28" customWidth="1"/>
    <col min="21" max="22" width="11" style="28"/>
    <col min="23" max="23" width="8.5" style="28" bestFit="1" customWidth="1"/>
    <col min="24" max="16384" width="11" style="28"/>
  </cols>
  <sheetData>
    <row r="1" spans="1:24" ht="20">
      <c r="A1" s="647" t="s">
        <v>1105</v>
      </c>
      <c r="B1" s="648"/>
      <c r="C1" s="648"/>
      <c r="D1" s="648"/>
      <c r="E1" s="648"/>
      <c r="F1" s="648"/>
      <c r="G1" s="648"/>
      <c r="H1" s="648"/>
      <c r="I1" s="648"/>
      <c r="J1" s="648"/>
      <c r="K1" s="648"/>
      <c r="L1" s="648"/>
      <c r="M1" s="648"/>
      <c r="N1" s="648"/>
    </row>
    <row r="3" spans="1:24" s="2" customFormat="1">
      <c r="A3" s="28"/>
      <c r="B3" s="123">
        <v>1984</v>
      </c>
      <c r="C3" s="123">
        <v>1988</v>
      </c>
      <c r="D3" s="123">
        <v>1992</v>
      </c>
      <c r="E3" s="123">
        <v>1996</v>
      </c>
      <c r="F3" s="123">
        <v>2000</v>
      </c>
      <c r="G3" s="123">
        <v>2004</v>
      </c>
      <c r="H3" s="123">
        <v>2008</v>
      </c>
      <c r="I3" s="123">
        <v>2010</v>
      </c>
      <c r="J3" s="123">
        <v>2011</v>
      </c>
      <c r="K3" s="123">
        <v>2012</v>
      </c>
      <c r="L3" s="123">
        <v>2013</v>
      </c>
      <c r="M3" s="123">
        <v>2014</v>
      </c>
      <c r="N3" s="123">
        <v>2015</v>
      </c>
      <c r="O3" s="123">
        <v>2016</v>
      </c>
      <c r="P3" s="123">
        <v>2017</v>
      </c>
      <c r="Q3" s="123">
        <v>2018</v>
      </c>
      <c r="R3" s="123">
        <v>2019</v>
      </c>
      <c r="S3" s="123">
        <v>2020</v>
      </c>
      <c r="T3" s="123">
        <v>2021</v>
      </c>
      <c r="U3" s="80">
        <v>2022</v>
      </c>
      <c r="V3" s="80">
        <v>2023</v>
      </c>
      <c r="W3" s="31">
        <v>2024</v>
      </c>
      <c r="X3" s="22"/>
    </row>
    <row r="4" spans="1:24">
      <c r="A4" s="28" t="s">
        <v>80</v>
      </c>
      <c r="B4" s="29">
        <v>1459.3229999999999</v>
      </c>
      <c r="C4" s="29">
        <v>1956.7870000000003</v>
      </c>
      <c r="D4" s="29">
        <v>2346.9160000000002</v>
      </c>
      <c r="E4" s="29">
        <v>2471.192</v>
      </c>
      <c r="F4" s="28">
        <v>2989.9110000000001</v>
      </c>
      <c r="G4" s="28">
        <v>2927.9520000000002</v>
      </c>
      <c r="H4" s="28">
        <v>3187.317</v>
      </c>
      <c r="I4" s="28">
        <v>3354.5639999999999</v>
      </c>
      <c r="J4" s="28">
        <v>3359.634</v>
      </c>
      <c r="K4" s="28">
        <v>3272.2000000000003</v>
      </c>
      <c r="L4" s="28">
        <v>3113.12</v>
      </c>
      <c r="M4" s="28">
        <v>3067.53</v>
      </c>
      <c r="N4" s="28">
        <v>2742.82</v>
      </c>
      <c r="O4" s="28">
        <v>2756.17</v>
      </c>
      <c r="P4" s="28">
        <v>2559.31</v>
      </c>
      <c r="Q4" s="28">
        <v>2623.1</v>
      </c>
      <c r="R4" s="28">
        <v>2564.12</v>
      </c>
      <c r="S4" s="28">
        <v>2315.7900000000004</v>
      </c>
      <c r="T4" s="28">
        <v>2526.6999999999998</v>
      </c>
      <c r="U4" s="28">
        <v>2571.4299999999998</v>
      </c>
      <c r="V4" s="28">
        <v>2404.3799999999997</v>
      </c>
      <c r="W4" s="28">
        <v>2510.9</v>
      </c>
    </row>
    <row r="5" spans="1:24">
      <c r="A5" s="28" t="s">
        <v>513</v>
      </c>
      <c r="B5" s="29">
        <v>93.8</v>
      </c>
      <c r="C5" s="29">
        <v>142.4</v>
      </c>
      <c r="D5" s="29">
        <v>395.18400000000003</v>
      </c>
      <c r="E5" s="29">
        <v>664.48</v>
      </c>
      <c r="F5" s="550">
        <v>1270.431</v>
      </c>
      <c r="G5" s="550">
        <v>2065.201</v>
      </c>
      <c r="H5" s="550">
        <v>2931.1410000000001</v>
      </c>
      <c r="I5" s="550">
        <v>3474.62</v>
      </c>
      <c r="J5" s="550">
        <v>3748.0920000000001</v>
      </c>
      <c r="K5" s="550">
        <v>3967.587</v>
      </c>
      <c r="L5" s="550">
        <v>4090.9940000000001</v>
      </c>
      <c r="M5" s="550">
        <v>4235.6000000000004</v>
      </c>
      <c r="N5" s="550">
        <v>4254.6000000000004</v>
      </c>
      <c r="O5" s="550">
        <v>4415.6000000000004</v>
      </c>
      <c r="P5" s="550">
        <v>4365</v>
      </c>
      <c r="Q5" s="550">
        <v>4247.16</v>
      </c>
      <c r="R5" s="550">
        <v>4233.1289999999999</v>
      </c>
      <c r="S5" s="550">
        <v>3929.1</v>
      </c>
      <c r="T5" s="550">
        <v>3960</v>
      </c>
      <c r="U5" s="550">
        <v>4091.87</v>
      </c>
      <c r="V5" s="550">
        <v>3833.65</v>
      </c>
      <c r="W5" s="550">
        <v>3764.067</v>
      </c>
    </row>
    <row r="6" spans="1:24">
      <c r="A6" s="28" t="s">
        <v>514</v>
      </c>
      <c r="B6" s="29"/>
      <c r="C6" s="29"/>
      <c r="D6" s="29"/>
      <c r="E6" s="29"/>
      <c r="F6" s="29"/>
      <c r="G6" s="29"/>
      <c r="H6" s="29"/>
      <c r="I6" s="29"/>
      <c r="J6" s="21">
        <v>82.91</v>
      </c>
      <c r="K6" s="21">
        <v>182.95000000000002</v>
      </c>
      <c r="L6" s="21">
        <v>290.96000000000004</v>
      </c>
      <c r="M6" s="21">
        <v>436.86999999999995</v>
      </c>
      <c r="N6" s="21">
        <v>609.26</v>
      </c>
      <c r="O6" s="21">
        <v>821.1400000000001</v>
      </c>
      <c r="P6" s="21">
        <v>976.6849010050305</v>
      </c>
      <c r="Q6" s="21">
        <v>1367.7638915254599</v>
      </c>
      <c r="R6" s="21">
        <v>1950.4656765968634</v>
      </c>
      <c r="S6" s="21">
        <v>2579.9124582667914</v>
      </c>
      <c r="T6" s="21">
        <v>3053.2058856066988</v>
      </c>
      <c r="U6" s="21">
        <v>3633.4</v>
      </c>
      <c r="V6" s="21">
        <v>4091.8574704618518</v>
      </c>
      <c r="W6" s="21">
        <v>4814.7927980109298</v>
      </c>
    </row>
    <row r="7" spans="1:24">
      <c r="A7" s="28" t="s">
        <v>20</v>
      </c>
      <c r="B7" s="122">
        <f t="shared" ref="B7:U7" si="0">SUM(B4:B6)</f>
        <v>1553.1229999999998</v>
      </c>
      <c r="C7" s="122">
        <f t="shared" si="0"/>
        <v>2099.1870000000004</v>
      </c>
      <c r="D7" s="122">
        <f t="shared" si="0"/>
        <v>2742.1000000000004</v>
      </c>
      <c r="E7" s="122">
        <f t="shared" si="0"/>
        <v>3135.672</v>
      </c>
      <c r="F7" s="122">
        <f t="shared" si="0"/>
        <v>4260.3420000000006</v>
      </c>
      <c r="G7" s="122">
        <f t="shared" si="0"/>
        <v>4993.1530000000002</v>
      </c>
      <c r="H7" s="122">
        <f t="shared" si="0"/>
        <v>6118.4580000000005</v>
      </c>
      <c r="I7" s="122">
        <f t="shared" si="0"/>
        <v>6829.1839999999993</v>
      </c>
      <c r="J7" s="122">
        <f t="shared" si="0"/>
        <v>7190.6360000000004</v>
      </c>
      <c r="K7" s="122">
        <f t="shared" si="0"/>
        <v>7422.7370000000001</v>
      </c>
      <c r="L7" s="122">
        <f t="shared" si="0"/>
        <v>7495.0739999999996</v>
      </c>
      <c r="M7" s="122">
        <f t="shared" si="0"/>
        <v>7740.0000000000009</v>
      </c>
      <c r="N7" s="122">
        <f t="shared" si="0"/>
        <v>7606.68</v>
      </c>
      <c r="O7" s="122">
        <f t="shared" si="0"/>
        <v>7992.9100000000008</v>
      </c>
      <c r="P7" s="122">
        <f t="shared" si="0"/>
        <v>7900.9949010050295</v>
      </c>
      <c r="Q7" s="122">
        <f t="shared" si="0"/>
        <v>8238.0238915254595</v>
      </c>
      <c r="R7" s="122">
        <f t="shared" si="0"/>
        <v>8747.7146765968628</v>
      </c>
      <c r="S7" s="122">
        <f t="shared" si="0"/>
        <v>8824.8024582667913</v>
      </c>
      <c r="T7" s="122">
        <f t="shared" si="0"/>
        <v>9539.9058856066986</v>
      </c>
      <c r="U7" s="122">
        <f t="shared" si="0"/>
        <v>10296.699999999999</v>
      </c>
      <c r="V7" s="122">
        <f>SUM(V4:V6)</f>
        <v>10329.887470461852</v>
      </c>
      <c r="W7" s="122">
        <f>SUM(W4:W6)</f>
        <v>11089.759798010931</v>
      </c>
      <c r="X7" s="28">
        <f>W7/F7</f>
        <v>2.6030210246057548</v>
      </c>
    </row>
    <row r="8" spans="1:24">
      <c r="F8" s="28">
        <v>7158.08</v>
      </c>
      <c r="X8" s="28">
        <f>W7/F8</f>
        <v>1.5492645790506576</v>
      </c>
    </row>
    <row r="9" spans="1:24">
      <c r="G9" s="51"/>
      <c r="H9" s="51"/>
      <c r="I9" s="51"/>
      <c r="J9" s="51"/>
      <c r="K9" s="51"/>
      <c r="L9" s="51"/>
      <c r="M9" s="51"/>
      <c r="N9" s="51"/>
      <c r="O9" s="51"/>
      <c r="P9" s="51"/>
      <c r="Q9" s="51"/>
      <c r="R9" s="51"/>
      <c r="S9" s="51"/>
      <c r="T9" s="51"/>
      <c r="U9" s="51"/>
      <c r="V9" s="51"/>
    </row>
    <row r="10" spans="1:24">
      <c r="B10" s="123">
        <v>1984</v>
      </c>
      <c r="C10" s="123">
        <v>1988</v>
      </c>
      <c r="D10" s="123">
        <v>1992</v>
      </c>
      <c r="E10" s="123">
        <v>1996</v>
      </c>
      <c r="F10" s="123">
        <v>2000</v>
      </c>
      <c r="G10" s="123">
        <v>2004</v>
      </c>
      <c r="H10" s="123">
        <v>2008</v>
      </c>
      <c r="I10" s="123">
        <v>2010</v>
      </c>
      <c r="J10" s="123">
        <v>2011</v>
      </c>
      <c r="K10" s="123">
        <v>2012</v>
      </c>
      <c r="L10" s="123">
        <v>2013</v>
      </c>
      <c r="M10" s="123">
        <v>2014</v>
      </c>
      <c r="N10" s="123">
        <v>2015</v>
      </c>
      <c r="O10" s="123">
        <v>2016</v>
      </c>
      <c r="P10" s="123">
        <v>2017</v>
      </c>
      <c r="Q10" s="123">
        <v>2018</v>
      </c>
      <c r="R10" s="123">
        <v>2019</v>
      </c>
      <c r="S10" s="123">
        <v>2020</v>
      </c>
      <c r="T10" s="123">
        <v>2021</v>
      </c>
      <c r="U10" s="80">
        <v>2022</v>
      </c>
      <c r="V10" s="80">
        <v>2023</v>
      </c>
      <c r="W10" s="80">
        <v>2024</v>
      </c>
    </row>
    <row r="11" spans="1:24">
      <c r="A11" s="28" t="s">
        <v>437</v>
      </c>
      <c r="B11" s="69">
        <v>913.5569999999999</v>
      </c>
      <c r="C11" s="69">
        <v>1311.7190000000001</v>
      </c>
      <c r="D11" s="69">
        <v>1758.4451200000001</v>
      </c>
      <c r="E11" s="69">
        <v>1853.4184</v>
      </c>
      <c r="F11" s="69">
        <v>2657.6963300000002</v>
      </c>
      <c r="G11" s="69">
        <v>2845.0684860254423</v>
      </c>
      <c r="H11" s="69">
        <v>3371.4592998262888</v>
      </c>
      <c r="I11" s="69">
        <v>3604.2</v>
      </c>
      <c r="J11" s="69">
        <v>3763.26</v>
      </c>
      <c r="K11" s="69">
        <v>3659.63</v>
      </c>
      <c r="L11" s="69">
        <v>3589.18</v>
      </c>
      <c r="M11" s="69">
        <v>3518.4</v>
      </c>
      <c r="N11" s="69">
        <v>3326.8</v>
      </c>
      <c r="O11" s="69">
        <v>3279</v>
      </c>
      <c r="P11" s="69">
        <v>2981.6151909999999</v>
      </c>
      <c r="Q11" s="69">
        <v>2903.9550319999998</v>
      </c>
      <c r="R11" s="69">
        <v>2904.399883</v>
      </c>
      <c r="S11" s="69">
        <v>2461.4515080000001</v>
      </c>
      <c r="T11" s="69">
        <v>2766.6085460000004</v>
      </c>
      <c r="U11" s="69">
        <v>2973.8500000000004</v>
      </c>
      <c r="V11" s="69">
        <v>2660.902</v>
      </c>
      <c r="W11" s="69">
        <v>2769.27</v>
      </c>
    </row>
    <row r="12" spans="1:24">
      <c r="A12" s="28" t="s">
        <v>515</v>
      </c>
      <c r="B12" s="69">
        <v>53.466000000000001</v>
      </c>
      <c r="C12" s="69">
        <v>81.168000000000006</v>
      </c>
      <c r="D12" s="69">
        <v>225.25488000000004</v>
      </c>
      <c r="E12" s="69">
        <v>378.75360000000001</v>
      </c>
      <c r="F12" s="69">
        <v>724.14567</v>
      </c>
      <c r="G12" s="69">
        <v>1356.7845139745577</v>
      </c>
      <c r="H12" s="69">
        <v>1904.1817001737113</v>
      </c>
      <c r="I12" s="69">
        <v>2361.8199999999997</v>
      </c>
      <c r="J12" s="69">
        <v>2598.3419999999996</v>
      </c>
      <c r="K12" s="69">
        <v>2917.3069999999998</v>
      </c>
      <c r="L12" s="69">
        <v>3115.3740000000003</v>
      </c>
      <c r="M12" s="69">
        <v>3448.9700000000003</v>
      </c>
      <c r="N12" s="69">
        <v>3628.5600000000004</v>
      </c>
      <c r="O12" s="69">
        <v>3888.7400000000007</v>
      </c>
      <c r="P12" s="69">
        <v>4011.8790000000004</v>
      </c>
      <c r="Q12" s="69">
        <v>4346.7388236999996</v>
      </c>
      <c r="R12" s="69">
        <v>4963.3427554</v>
      </c>
      <c r="S12" s="69">
        <v>5340.5661852667909</v>
      </c>
      <c r="T12" s="69">
        <v>5683.3085706066986</v>
      </c>
      <c r="U12" s="69">
        <v>6311.1984849999999</v>
      </c>
      <c r="V12" s="69">
        <v>6657.6239434618519</v>
      </c>
      <c r="W12" s="69">
        <v>7284.5125960109299</v>
      </c>
    </row>
    <row r="13" spans="1:24">
      <c r="A13" s="28" t="s">
        <v>516</v>
      </c>
      <c r="B13" s="21">
        <v>586.1</v>
      </c>
      <c r="C13" s="21">
        <v>643.9</v>
      </c>
      <c r="D13" s="21">
        <v>630.4</v>
      </c>
      <c r="E13" s="21">
        <v>674.3</v>
      </c>
      <c r="F13" s="93">
        <v>654.29999999999995</v>
      </c>
      <c r="G13" s="93">
        <v>737.5</v>
      </c>
      <c r="H13" s="93">
        <v>745.3</v>
      </c>
      <c r="I13" s="2">
        <v>860.6</v>
      </c>
      <c r="J13" s="93">
        <v>839.1</v>
      </c>
      <c r="K13" s="21">
        <v>861.38</v>
      </c>
      <c r="L13" s="2">
        <v>837.7</v>
      </c>
      <c r="M13" s="2">
        <v>789.2</v>
      </c>
      <c r="N13" s="2">
        <v>765.7</v>
      </c>
      <c r="O13" s="21">
        <v>812.26</v>
      </c>
      <c r="P13" s="2">
        <v>767.1</v>
      </c>
      <c r="Q13" s="2">
        <v>841.5</v>
      </c>
      <c r="R13" s="2">
        <v>822</v>
      </c>
      <c r="S13" s="2">
        <v>808.8</v>
      </c>
      <c r="T13" s="2">
        <v>870.4</v>
      </c>
      <c r="U13" s="2">
        <v>837.7</v>
      </c>
      <c r="V13" s="145">
        <v>847.1</v>
      </c>
      <c r="W13" s="93">
        <v>970.9</v>
      </c>
    </row>
    <row r="14" spans="1:24">
      <c r="B14" s="51"/>
      <c r="C14" s="51"/>
      <c r="D14" s="51"/>
      <c r="E14" s="51"/>
      <c r="F14" s="51"/>
      <c r="G14" s="51"/>
      <c r="H14" s="51"/>
      <c r="I14" s="51"/>
      <c r="J14" s="51"/>
      <c r="K14" s="51"/>
      <c r="L14" s="51"/>
      <c r="M14" s="51"/>
      <c r="N14" s="51"/>
      <c r="O14" s="51"/>
      <c r="P14" s="51"/>
      <c r="Q14" s="51"/>
      <c r="R14" s="51"/>
      <c r="S14" s="51"/>
      <c r="T14" s="51"/>
      <c r="U14" s="51"/>
      <c r="V14" s="51"/>
    </row>
    <row r="15" spans="1:24">
      <c r="B15" s="551"/>
      <c r="C15" s="551"/>
      <c r="D15" s="551"/>
      <c r="E15" s="550"/>
      <c r="F15" s="550"/>
      <c r="G15" s="550"/>
      <c r="H15" s="550"/>
      <c r="I15" s="550"/>
      <c r="J15" s="550"/>
      <c r="K15" s="550"/>
      <c r="L15" s="550"/>
      <c r="M15" s="550"/>
      <c r="N15" s="550"/>
      <c r="O15" s="550"/>
      <c r="P15" s="550"/>
      <c r="Q15" s="550"/>
      <c r="R15" s="550"/>
      <c r="S15" s="550"/>
      <c r="T15" s="550"/>
      <c r="U15" s="550"/>
      <c r="V15" s="550"/>
      <c r="W15" s="550"/>
    </row>
    <row r="16" spans="1:24">
      <c r="B16" s="51"/>
      <c r="C16" s="51"/>
      <c r="D16" s="51"/>
      <c r="E16" s="51"/>
      <c r="F16" s="51"/>
      <c r="G16" s="51"/>
      <c r="H16" s="51"/>
      <c r="I16" s="51"/>
      <c r="J16" s="21"/>
      <c r="K16" s="21"/>
      <c r="L16" s="21"/>
      <c r="M16" s="21"/>
      <c r="N16" s="21"/>
      <c r="O16" s="21"/>
      <c r="P16" s="21"/>
      <c r="Q16" s="21"/>
      <c r="R16" s="21"/>
      <c r="S16" s="21"/>
      <c r="T16" s="21"/>
      <c r="U16" s="21"/>
      <c r="V16" s="21"/>
      <c r="W16" s="21"/>
    </row>
    <row r="17" spans="2:24">
      <c r="V17" s="21"/>
      <c r="W17" s="21"/>
    </row>
    <row r="18" spans="2:24">
      <c r="G18" s="64"/>
      <c r="H18" s="64"/>
      <c r="I18" s="64"/>
      <c r="J18" s="64"/>
      <c r="K18" s="64"/>
      <c r="L18" s="64"/>
      <c r="M18" s="64"/>
      <c r="N18" s="64"/>
      <c r="O18" s="64"/>
      <c r="P18" s="64"/>
      <c r="Q18" s="64"/>
      <c r="R18" s="64"/>
      <c r="S18" s="64"/>
      <c r="T18" s="64"/>
      <c r="U18" s="64"/>
      <c r="V18" s="64"/>
      <c r="W18" s="64"/>
      <c r="X18" s="64"/>
    </row>
    <row r="21" spans="2:24">
      <c r="B21" s="11"/>
      <c r="S21" s="69"/>
      <c r="T21" s="69"/>
      <c r="U21" s="69"/>
      <c r="V21" s="69"/>
      <c r="W21" s="69"/>
    </row>
    <row r="22" spans="2:24">
      <c r="B22" s="127"/>
    </row>
    <row r="23" spans="2:24">
      <c r="B23" s="106"/>
    </row>
    <row r="24" spans="2:24">
      <c r="B24" s="11"/>
    </row>
    <row r="25" spans="2:24">
      <c r="B25" s="11"/>
    </row>
    <row r="26" spans="2:24">
      <c r="B26" s="11"/>
    </row>
    <row r="27" spans="2:24">
      <c r="B27" s="11"/>
    </row>
    <row r="28" spans="2:24">
      <c r="B28" s="106"/>
    </row>
    <row r="29" spans="2:24">
      <c r="B29" s="106"/>
    </row>
    <row r="30" spans="2:24">
      <c r="B30" s="106"/>
    </row>
    <row r="31" spans="2:24">
      <c r="B31" s="11"/>
    </row>
    <row r="32" spans="2:24">
      <c r="B32" s="106"/>
    </row>
    <row r="33" spans="2:2">
      <c r="B33" s="11"/>
    </row>
    <row r="34" spans="2:2">
      <c r="B34" s="11"/>
    </row>
    <row r="35" spans="2:2">
      <c r="B35" s="11"/>
    </row>
    <row r="36" spans="2:2">
      <c r="B36" s="11"/>
    </row>
    <row r="37" spans="2:2">
      <c r="B37" s="11"/>
    </row>
    <row r="38" spans="2:2">
      <c r="B38" s="11"/>
    </row>
    <row r="39" spans="2:2">
      <c r="B39" s="11"/>
    </row>
    <row r="40" spans="2:2">
      <c r="B40" s="11"/>
    </row>
    <row r="41" spans="2:2">
      <c r="B41" s="11"/>
    </row>
    <row r="42" spans="2:2">
      <c r="B42" s="11"/>
    </row>
    <row r="43" spans="2:2">
      <c r="B43" s="11"/>
    </row>
    <row r="44" spans="2:2">
      <c r="B44" s="106"/>
    </row>
  </sheetData>
  <mergeCells count="1">
    <mergeCell ref="A1:N1"/>
  </mergeCells>
  <pageMargins left="0.7" right="0.7" top="0.75" bottom="0.75" header="0.3" footer="0.3"/>
  <pageSetup orientation="portrait" r:id="rId1"/>
  <ignoredErrors>
    <ignoredError sqref="B7:W7" formulaRange="1"/>
  </ignoredError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2D596-17F5-DE41-AE7D-F83A116D1CF6}">
  <sheetPr>
    <tabColor rgb="FFFFFF00"/>
  </sheetPr>
  <dimension ref="A1:Y35"/>
  <sheetViews>
    <sheetView zoomScale="91" zoomScaleNormal="130" workbookViewId="0">
      <pane xSplit="1" ySplit="2" topLeftCell="H20" activePane="bottomRight" state="frozen"/>
      <selection pane="topRight" activeCell="B1" sqref="B1"/>
      <selection pane="bottomLeft" activeCell="A3" sqref="A3"/>
      <selection pane="bottomRight" activeCell="W41" sqref="W34:W41"/>
    </sheetView>
  </sheetViews>
  <sheetFormatPr baseColWidth="10" defaultColWidth="11" defaultRowHeight="16"/>
  <cols>
    <col min="1" max="1" width="11" style="2"/>
    <col min="2" max="5" width="11.1640625" style="2" bestFit="1" customWidth="1"/>
    <col min="6" max="16" width="11" style="2" customWidth="1"/>
    <col min="17" max="20" width="11.1640625" style="2" bestFit="1" customWidth="1"/>
    <col min="21" max="22" width="12.5" style="2" bestFit="1" customWidth="1"/>
    <col min="23" max="23" width="11" style="2" bestFit="1" customWidth="1"/>
    <col min="24" max="16384" width="11" style="2"/>
  </cols>
  <sheetData>
    <row r="1" spans="1:25" ht="18" customHeight="1">
      <c r="A1" s="649" t="s">
        <v>1106</v>
      </c>
      <c r="B1" s="649"/>
      <c r="C1" s="649"/>
      <c r="D1" s="649"/>
      <c r="E1" s="649"/>
      <c r="F1" s="649"/>
      <c r="G1" s="649"/>
      <c r="H1" s="649"/>
      <c r="I1" s="649"/>
      <c r="J1" s="649"/>
      <c r="K1" s="649"/>
      <c r="L1" s="649"/>
      <c r="M1" s="649"/>
      <c r="N1" s="649"/>
      <c r="O1" s="649"/>
      <c r="P1" s="649"/>
      <c r="Q1" s="649"/>
      <c r="R1" s="649"/>
      <c r="S1" s="649"/>
      <c r="T1" s="649"/>
      <c r="U1" s="649"/>
      <c r="V1" s="649"/>
    </row>
    <row r="2" spans="1:25" ht="18">
      <c r="A2" s="324"/>
      <c r="B2" s="324">
        <v>1984</v>
      </c>
      <c r="C2" s="324">
        <v>1988</v>
      </c>
      <c r="D2" s="324">
        <v>1992</v>
      </c>
      <c r="E2" s="324">
        <v>1996</v>
      </c>
      <c r="F2" s="324">
        <v>2000</v>
      </c>
      <c r="G2" s="324">
        <v>2004</v>
      </c>
      <c r="H2" s="324">
        <v>2008</v>
      </c>
      <c r="I2" s="324">
        <v>2010</v>
      </c>
      <c r="J2" s="324">
        <v>2011</v>
      </c>
      <c r="K2" s="324">
        <v>2012</v>
      </c>
      <c r="L2" s="324">
        <v>2013</v>
      </c>
      <c r="M2" s="324">
        <v>2014</v>
      </c>
      <c r="N2" s="324">
        <v>2015</v>
      </c>
      <c r="O2" s="324">
        <v>2016</v>
      </c>
      <c r="P2" s="324">
        <v>2017</v>
      </c>
      <c r="Q2" s="324">
        <v>2018</v>
      </c>
      <c r="R2" s="324">
        <v>2019</v>
      </c>
      <c r="S2" s="324">
        <v>2020</v>
      </c>
      <c r="T2" s="324">
        <v>2021</v>
      </c>
      <c r="U2" s="324">
        <v>2022</v>
      </c>
      <c r="V2" s="324">
        <v>2023</v>
      </c>
      <c r="W2" s="322">
        <v>2024</v>
      </c>
    </row>
    <row r="3" spans="1:25">
      <c r="A3" s="25" t="s">
        <v>88</v>
      </c>
      <c r="B3" s="236"/>
      <c r="C3" s="236"/>
      <c r="D3" s="236"/>
      <c r="E3" s="236"/>
      <c r="F3" s="236">
        <v>627.29999999999995</v>
      </c>
      <c r="G3" s="236">
        <v>981.9</v>
      </c>
      <c r="H3" s="236">
        <v>51.7</v>
      </c>
      <c r="I3" s="236">
        <v>59.2</v>
      </c>
      <c r="J3" s="236">
        <v>1726.96</v>
      </c>
      <c r="K3" s="236">
        <v>1869.625</v>
      </c>
      <c r="L3" s="236">
        <v>2256.2000000000003</v>
      </c>
      <c r="M3" s="236">
        <v>2268.2570000000001</v>
      </c>
      <c r="N3" s="236">
        <v>2244.241</v>
      </c>
      <c r="O3" s="236">
        <v>2364.915</v>
      </c>
      <c r="P3" s="236">
        <v>2398.8089999999997</v>
      </c>
      <c r="Q3" s="236">
        <v>2403.69</v>
      </c>
      <c r="R3" s="236">
        <v>2608.3040000000001</v>
      </c>
      <c r="S3" s="236">
        <v>2489.0659999999998</v>
      </c>
      <c r="T3" s="236">
        <v>2562.154</v>
      </c>
      <c r="U3" s="236">
        <v>2757.6139999999996</v>
      </c>
      <c r="V3" s="236">
        <v>2706.2647999999999</v>
      </c>
      <c r="W3" s="236">
        <v>2627.1507600000004</v>
      </c>
    </row>
    <row r="4" spans="1:25">
      <c r="A4" s="25" t="s">
        <v>95</v>
      </c>
      <c r="B4" s="236">
        <v>810.91</v>
      </c>
      <c r="C4" s="236">
        <v>982.30399999999997</v>
      </c>
      <c r="D4" s="236">
        <v>1058.2199999999998</v>
      </c>
      <c r="E4" s="236">
        <v>1116.4099999999999</v>
      </c>
      <c r="F4" s="236">
        <v>1255.8899999999999</v>
      </c>
      <c r="G4" s="236">
        <v>1230.25</v>
      </c>
      <c r="H4" s="236">
        <v>1305.3</v>
      </c>
      <c r="I4" s="236">
        <v>1385.3</v>
      </c>
      <c r="J4" s="236">
        <v>1410.1</v>
      </c>
      <c r="K4" s="236">
        <v>1449.2</v>
      </c>
      <c r="L4" s="236">
        <v>1382</v>
      </c>
      <c r="M4" s="236">
        <v>1459.54</v>
      </c>
      <c r="N4" s="236">
        <v>1149.97</v>
      </c>
      <c r="O4" s="236">
        <v>1241.81</v>
      </c>
      <c r="P4" s="236">
        <v>1172.8</v>
      </c>
      <c r="Q4" s="236">
        <v>1251.46</v>
      </c>
      <c r="R4" s="236">
        <v>1184.8699999999999</v>
      </c>
      <c r="S4" s="236">
        <v>1156</v>
      </c>
      <c r="T4" s="236">
        <v>1281.3</v>
      </c>
      <c r="U4" s="236">
        <v>1266.04</v>
      </c>
      <c r="V4" s="236">
        <v>1201.04</v>
      </c>
      <c r="W4" s="236">
        <v>1346.6699999999998</v>
      </c>
    </row>
    <row r="5" spans="1:25">
      <c r="A5" s="25" t="s">
        <v>168</v>
      </c>
      <c r="B5" s="236"/>
      <c r="C5" s="236"/>
      <c r="D5" s="236"/>
      <c r="E5" s="236">
        <v>24.6</v>
      </c>
      <c r="F5" s="236">
        <v>151.30000000000001</v>
      </c>
      <c r="G5" s="236">
        <v>169.5</v>
      </c>
      <c r="H5" s="236">
        <v>475.4</v>
      </c>
      <c r="I5" s="236">
        <v>1474.9272000000001</v>
      </c>
      <c r="J5" s="236">
        <v>1589.2950700000001</v>
      </c>
      <c r="K5" s="236">
        <v>1511.6729499999999</v>
      </c>
      <c r="L5" s="236">
        <v>1551.3725480000003</v>
      </c>
      <c r="M5" s="236">
        <v>1544.9</v>
      </c>
      <c r="N5" s="236">
        <v>1509.1999999999998</v>
      </c>
      <c r="O5" s="236">
        <v>1367.4</v>
      </c>
      <c r="P5" s="236">
        <v>1203.8899999999999</v>
      </c>
      <c r="Q5" s="236">
        <v>1198.28</v>
      </c>
      <c r="R5" s="236">
        <v>1206.69</v>
      </c>
      <c r="S5" s="236">
        <v>1093.21</v>
      </c>
      <c r="T5" s="236">
        <v>1107.2399999999998</v>
      </c>
      <c r="U5" s="236">
        <v>1171.8139999999999</v>
      </c>
      <c r="V5" s="236">
        <v>1058.8309999999999</v>
      </c>
      <c r="W5" s="236">
        <v>960.4380000000001</v>
      </c>
      <c r="X5" s="327">
        <v>137.1</v>
      </c>
      <c r="Y5" s="518">
        <f>X5/W5</f>
        <v>0.14274737151174774</v>
      </c>
    </row>
    <row r="6" spans="1:25">
      <c r="A6" s="25" t="s">
        <v>89</v>
      </c>
      <c r="B6" s="236">
        <v>108.8</v>
      </c>
      <c r="C6" s="236">
        <v>61.8</v>
      </c>
      <c r="D6" s="236">
        <v>88.699999999999989</v>
      </c>
      <c r="E6" s="236">
        <v>211</v>
      </c>
      <c r="F6" s="236">
        <v>151.30000000000001</v>
      </c>
      <c r="G6" s="236">
        <v>185.60000000000002</v>
      </c>
      <c r="H6" s="236">
        <v>483</v>
      </c>
      <c r="I6" s="236">
        <v>606.20000000000005</v>
      </c>
      <c r="J6" s="236">
        <v>719.3</v>
      </c>
      <c r="K6" s="236">
        <v>743.4</v>
      </c>
      <c r="L6" s="236">
        <v>786</v>
      </c>
      <c r="M6" s="236">
        <v>776.8</v>
      </c>
      <c r="N6" s="236">
        <v>850.4</v>
      </c>
      <c r="O6" s="236">
        <v>970.50399999999991</v>
      </c>
      <c r="P6" s="236">
        <v>1058.6219999999998</v>
      </c>
      <c r="Q6" s="236">
        <v>1104.4489999999998</v>
      </c>
      <c r="R6" s="236">
        <v>1122.5459999999998</v>
      </c>
      <c r="S6" s="236">
        <v>1071.134</v>
      </c>
      <c r="T6" s="236">
        <v>1184.8710000000001</v>
      </c>
      <c r="U6" s="236">
        <v>1397.8708836805999</v>
      </c>
      <c r="V6" s="236">
        <v>1466.9017523885998</v>
      </c>
      <c r="W6" s="236">
        <v>1547.2891427124</v>
      </c>
    </row>
    <row r="7" spans="1:25">
      <c r="A7" s="25" t="s">
        <v>97</v>
      </c>
      <c r="B7" s="236"/>
      <c r="C7" s="236"/>
      <c r="D7" s="236"/>
      <c r="E7" s="236"/>
      <c r="F7" s="236"/>
      <c r="G7" s="236"/>
      <c r="H7" s="236"/>
      <c r="I7" s="236"/>
      <c r="J7" s="236">
        <v>48.5</v>
      </c>
      <c r="K7" s="236">
        <v>134.05000000000001</v>
      </c>
      <c r="L7" s="236">
        <v>229.02</v>
      </c>
      <c r="M7" s="236">
        <v>338.9</v>
      </c>
      <c r="N7" s="236">
        <v>396.57</v>
      </c>
      <c r="O7" s="236">
        <v>520.44000000000005</v>
      </c>
      <c r="P7" s="236">
        <v>602.58900000000006</v>
      </c>
      <c r="Q7" s="236">
        <v>746.29882369999996</v>
      </c>
      <c r="R7" s="236">
        <v>968.22375539999996</v>
      </c>
      <c r="S7" s="236">
        <v>1125.98173</v>
      </c>
      <c r="T7" s="236">
        <v>1312.637802</v>
      </c>
      <c r="U7" s="236">
        <v>1456.893082</v>
      </c>
      <c r="V7" s="236">
        <v>1522.098761</v>
      </c>
      <c r="W7" s="236">
        <v>1756.5672</v>
      </c>
    </row>
    <row r="8" spans="1:25">
      <c r="A8" s="25" t="s">
        <v>92</v>
      </c>
      <c r="B8" s="236"/>
      <c r="C8" s="236"/>
      <c r="D8" s="236"/>
      <c r="E8" s="236"/>
      <c r="F8" s="236">
        <v>233.20000000000002</v>
      </c>
      <c r="G8" s="236">
        <v>271.2</v>
      </c>
      <c r="H8" s="236">
        <v>342.90000000000003</v>
      </c>
      <c r="I8" s="236">
        <v>377.3</v>
      </c>
      <c r="J8" s="236">
        <v>379.59999999999997</v>
      </c>
      <c r="K8" s="236">
        <v>406</v>
      </c>
      <c r="L8" s="236">
        <v>395.20000000000005</v>
      </c>
      <c r="M8" s="236">
        <v>405.6</v>
      </c>
      <c r="N8" s="236">
        <v>456</v>
      </c>
      <c r="O8" s="236">
        <v>451.5</v>
      </c>
      <c r="P8" s="236">
        <v>493.32</v>
      </c>
      <c r="Q8" s="236">
        <v>470.1</v>
      </c>
      <c r="R8" s="236">
        <v>479.3</v>
      </c>
      <c r="S8" s="236">
        <v>451.26</v>
      </c>
      <c r="T8" s="236">
        <v>479.18299999999999</v>
      </c>
      <c r="U8" s="236">
        <v>474.22</v>
      </c>
      <c r="V8" s="236">
        <v>454.64</v>
      </c>
      <c r="W8" s="236">
        <v>430.75700000000001</v>
      </c>
    </row>
    <row r="9" spans="1:25">
      <c r="A9" s="25" t="s">
        <v>517</v>
      </c>
      <c r="B9" s="236"/>
      <c r="C9" s="236"/>
      <c r="D9" s="236"/>
      <c r="E9" s="236"/>
      <c r="F9" s="236"/>
      <c r="G9" s="236"/>
      <c r="H9" s="236">
        <v>1515.8000000000002</v>
      </c>
      <c r="I9" s="236">
        <v>1691.8000000000002</v>
      </c>
      <c r="J9" s="236"/>
      <c r="K9" s="236"/>
      <c r="L9" s="236"/>
      <c r="M9" s="236"/>
      <c r="N9" s="236"/>
      <c r="O9" s="236"/>
      <c r="P9" s="236"/>
      <c r="Q9" s="236"/>
      <c r="R9" s="236"/>
      <c r="S9" s="236"/>
      <c r="T9" s="236"/>
      <c r="U9" s="236"/>
      <c r="V9" s="236"/>
      <c r="W9" s="236"/>
    </row>
    <row r="10" spans="1:25">
      <c r="A10" s="25" t="s">
        <v>159</v>
      </c>
      <c r="B10" s="236">
        <v>84.8</v>
      </c>
      <c r="C10" s="236">
        <v>141.6</v>
      </c>
      <c r="D10" s="236">
        <v>243.9</v>
      </c>
      <c r="E10" s="236">
        <v>325.2</v>
      </c>
      <c r="F10" s="236">
        <v>619.29999999999995</v>
      </c>
      <c r="G10" s="236">
        <v>690.30000000000007</v>
      </c>
      <c r="H10" s="236">
        <v>1030.7</v>
      </c>
      <c r="I10" s="236"/>
      <c r="J10" s="236"/>
      <c r="K10" s="236"/>
      <c r="L10" s="236"/>
      <c r="M10" s="236"/>
      <c r="N10" s="236"/>
      <c r="O10" s="236"/>
      <c r="P10" s="236"/>
      <c r="Q10" s="236"/>
      <c r="R10" s="236"/>
      <c r="S10" s="236"/>
      <c r="T10" s="236"/>
      <c r="U10" s="236"/>
      <c r="V10" s="236"/>
      <c r="W10" s="236"/>
    </row>
    <row r="11" spans="1:25">
      <c r="A11" s="25" t="s">
        <v>247</v>
      </c>
      <c r="B11" s="236"/>
      <c r="C11" s="236">
        <v>20.100000000000001</v>
      </c>
      <c r="D11" s="236">
        <v>88.9</v>
      </c>
      <c r="E11" s="236">
        <v>110.1</v>
      </c>
      <c r="F11" s="236">
        <v>207.7</v>
      </c>
      <c r="G11" s="236">
        <v>370.8</v>
      </c>
      <c r="H11" s="236">
        <v>490.9</v>
      </c>
      <c r="I11" s="236">
        <v>523.69999999999993</v>
      </c>
      <c r="J11" s="236">
        <v>553.9</v>
      </c>
      <c r="K11" s="236">
        <v>561.6</v>
      </c>
      <c r="L11" s="236"/>
      <c r="M11" s="236"/>
      <c r="N11" s="236"/>
      <c r="O11" s="236"/>
      <c r="P11" s="236"/>
      <c r="Q11" s="236"/>
      <c r="R11" s="236"/>
      <c r="S11" s="236"/>
      <c r="T11" s="236"/>
      <c r="U11" s="236"/>
      <c r="V11" s="236"/>
      <c r="W11" s="236"/>
    </row>
    <row r="12" spans="1:25">
      <c r="A12" s="25" t="s">
        <v>105</v>
      </c>
      <c r="B12" s="236"/>
      <c r="C12" s="236"/>
      <c r="D12" s="236"/>
      <c r="E12" s="236"/>
      <c r="F12" s="236"/>
      <c r="G12" s="236"/>
      <c r="H12" s="236"/>
      <c r="I12" s="236"/>
      <c r="J12" s="236"/>
      <c r="K12" s="236"/>
      <c r="L12" s="236"/>
      <c r="M12" s="236"/>
      <c r="N12" s="236"/>
      <c r="O12" s="236"/>
      <c r="P12" s="236"/>
      <c r="Q12" s="236"/>
      <c r="R12" s="236"/>
      <c r="S12" s="236">
        <v>244.64</v>
      </c>
      <c r="T12" s="236">
        <v>377.05399999999997</v>
      </c>
      <c r="U12" s="236">
        <v>447.988</v>
      </c>
      <c r="V12" s="236">
        <v>541.77800000000002</v>
      </c>
      <c r="W12" s="236">
        <v>685.33</v>
      </c>
    </row>
    <row r="13" spans="1:25">
      <c r="A13" s="25" t="s">
        <v>99</v>
      </c>
      <c r="B13" s="236"/>
      <c r="C13" s="236"/>
      <c r="D13" s="236"/>
      <c r="E13" s="236"/>
      <c r="F13" s="236"/>
      <c r="G13" s="236"/>
      <c r="H13" s="236"/>
      <c r="I13" s="236"/>
      <c r="J13" s="236">
        <v>34.409999999999997</v>
      </c>
      <c r="K13" s="236">
        <v>48.9</v>
      </c>
      <c r="L13" s="236">
        <v>61.94</v>
      </c>
      <c r="M13" s="236">
        <v>85.77</v>
      </c>
      <c r="N13" s="236">
        <v>105.09</v>
      </c>
      <c r="O13" s="236">
        <v>95.7</v>
      </c>
      <c r="P13" s="236">
        <v>82.91</v>
      </c>
      <c r="Q13" s="236">
        <v>147.30000000000001</v>
      </c>
      <c r="R13" s="236">
        <v>147.80000000000001</v>
      </c>
      <c r="S13" s="236">
        <v>175.4</v>
      </c>
      <c r="T13" s="236">
        <v>167</v>
      </c>
      <c r="U13" s="236">
        <v>130</v>
      </c>
      <c r="V13" s="236">
        <v>146.19999999999999</v>
      </c>
      <c r="W13" s="236">
        <v>229.1</v>
      </c>
    </row>
    <row r="14" spans="1:25">
      <c r="A14" s="25" t="s">
        <v>91</v>
      </c>
      <c r="B14" s="236"/>
      <c r="C14" s="236"/>
      <c r="D14" s="236"/>
      <c r="E14" s="236"/>
      <c r="F14" s="236"/>
      <c r="G14" s="236"/>
      <c r="H14" s="236"/>
      <c r="I14" s="236"/>
      <c r="J14" s="236"/>
      <c r="K14" s="236"/>
      <c r="L14" s="236"/>
      <c r="M14" s="236"/>
      <c r="N14" s="236"/>
      <c r="O14" s="236"/>
      <c r="P14" s="236"/>
      <c r="Q14" s="236">
        <v>44.550000000000011</v>
      </c>
      <c r="R14" s="236">
        <v>124.63000000000005</v>
      </c>
      <c r="S14" s="236">
        <v>159.98000000000002</v>
      </c>
      <c r="T14" s="236">
        <v>167.53000000000009</v>
      </c>
      <c r="U14" s="236">
        <v>211.14999999999986</v>
      </c>
      <c r="V14" s="236">
        <v>288.58000000000015</v>
      </c>
      <c r="W14" s="236">
        <v>301.6400000000001</v>
      </c>
    </row>
    <row r="15" spans="1:25">
      <c r="A15" s="25" t="s">
        <v>153</v>
      </c>
      <c r="B15" s="236">
        <v>147.744</v>
      </c>
      <c r="C15" s="236">
        <v>228.768</v>
      </c>
      <c r="D15" s="236">
        <v>192.38399999999999</v>
      </c>
      <c r="E15" s="236">
        <v>216.19199999999998</v>
      </c>
      <c r="F15" s="236">
        <v>497</v>
      </c>
      <c r="G15" s="236"/>
      <c r="H15" s="236"/>
      <c r="I15" s="236"/>
      <c r="J15" s="236"/>
      <c r="K15" s="236"/>
      <c r="L15" s="236"/>
      <c r="M15" s="236"/>
      <c r="N15" s="236"/>
      <c r="O15" s="236"/>
      <c r="P15" s="236"/>
      <c r="Q15" s="236"/>
      <c r="R15" s="236"/>
      <c r="S15" s="236"/>
      <c r="T15" s="236"/>
      <c r="U15" s="236"/>
      <c r="V15" s="236"/>
      <c r="W15" s="236"/>
    </row>
    <row r="16" spans="1:25">
      <c r="A16" s="25" t="s">
        <v>157</v>
      </c>
      <c r="B16" s="236">
        <v>73.900000000000006</v>
      </c>
      <c r="C16" s="236">
        <v>113</v>
      </c>
      <c r="D16" s="236">
        <v>142.4</v>
      </c>
      <c r="E16" s="236">
        <v>169.5</v>
      </c>
      <c r="F16" s="236">
        <v>266.35232469999994</v>
      </c>
      <c r="G16" s="236">
        <v>449.79999999999995</v>
      </c>
      <c r="H16" s="236"/>
      <c r="I16" s="236"/>
      <c r="J16" s="236"/>
      <c r="K16" s="236"/>
      <c r="L16" s="236"/>
      <c r="M16" s="236"/>
      <c r="N16" s="236"/>
      <c r="O16" s="236"/>
      <c r="P16" s="236"/>
      <c r="Q16" s="236"/>
      <c r="R16" s="236"/>
      <c r="S16" s="236"/>
      <c r="T16" s="236"/>
      <c r="U16" s="236"/>
      <c r="V16" s="236"/>
      <c r="W16" s="236"/>
    </row>
    <row r="17" spans="1:23">
      <c r="A17" s="25" t="s">
        <v>512</v>
      </c>
      <c r="B17" s="236"/>
      <c r="C17" s="236"/>
      <c r="D17" s="236"/>
      <c r="E17" s="236"/>
      <c r="F17" s="236"/>
      <c r="G17" s="236"/>
      <c r="H17" s="236"/>
      <c r="I17" s="236"/>
      <c r="J17" s="236"/>
      <c r="K17" s="236"/>
      <c r="L17" s="236"/>
      <c r="M17" s="236"/>
      <c r="N17" s="236"/>
      <c r="O17" s="236"/>
      <c r="P17" s="236"/>
      <c r="Q17" s="236"/>
      <c r="R17" s="236">
        <v>36.909999999999997</v>
      </c>
      <c r="S17" s="236">
        <v>46.94</v>
      </c>
      <c r="T17" s="236">
        <v>83.724000000000004</v>
      </c>
      <c r="U17" s="236">
        <v>162.19</v>
      </c>
      <c r="V17" s="236">
        <v>245.857</v>
      </c>
      <c r="W17" s="236">
        <v>352.87700000000001</v>
      </c>
    </row>
    <row r="18" spans="1:23">
      <c r="A18" s="25" t="s">
        <v>518</v>
      </c>
      <c r="B18" s="236"/>
      <c r="C18" s="236"/>
      <c r="D18" s="236"/>
      <c r="E18" s="236"/>
      <c r="F18" s="236"/>
      <c r="G18" s="236"/>
      <c r="H18" s="236">
        <v>97.7</v>
      </c>
      <c r="I18" s="236">
        <v>61.9</v>
      </c>
      <c r="J18" s="236">
        <v>66.5</v>
      </c>
      <c r="K18" s="236">
        <v>73.2</v>
      </c>
      <c r="L18" s="236">
        <v>76.900000000000006</v>
      </c>
      <c r="M18" s="236">
        <v>65.034689</v>
      </c>
      <c r="N18" s="236">
        <v>91.322626000000014</v>
      </c>
      <c r="O18" s="236">
        <v>90.805691999999993</v>
      </c>
      <c r="P18" s="236">
        <v>71.728610000000003</v>
      </c>
      <c r="Q18" s="236">
        <v>65.923870999999991</v>
      </c>
      <c r="R18" s="236">
        <v>64.41</v>
      </c>
      <c r="S18" s="236"/>
      <c r="T18" s="236"/>
      <c r="U18" s="236"/>
      <c r="V18" s="236"/>
      <c r="W18" s="236"/>
    </row>
    <row r="19" spans="1:23">
      <c r="A19" s="25" t="s">
        <v>447</v>
      </c>
      <c r="B19" s="236"/>
      <c r="C19" s="236"/>
      <c r="D19" s="236">
        <v>17.8</v>
      </c>
      <c r="E19" s="236">
        <v>24.7</v>
      </c>
      <c r="F19" s="236">
        <v>32.200000000000003</v>
      </c>
      <c r="G19" s="236">
        <v>39.299999999999997</v>
      </c>
      <c r="H19" s="236">
        <v>49.3</v>
      </c>
      <c r="I19" s="236">
        <v>47</v>
      </c>
      <c r="J19" s="236">
        <v>49.1</v>
      </c>
      <c r="K19" s="236">
        <v>50.4</v>
      </c>
      <c r="L19" s="236">
        <v>50.8</v>
      </c>
      <c r="M19" s="236">
        <v>47.5</v>
      </c>
      <c r="N19" s="236">
        <v>42.7</v>
      </c>
      <c r="O19" s="236">
        <v>41</v>
      </c>
      <c r="P19" s="236">
        <v>40.4</v>
      </c>
      <c r="Q19" s="236">
        <v>38.64</v>
      </c>
      <c r="R19" s="236">
        <v>36.299999999999997</v>
      </c>
      <c r="S19" s="236">
        <v>34.28</v>
      </c>
      <c r="T19" s="236">
        <v>32.22</v>
      </c>
      <c r="U19" s="236">
        <v>30.38</v>
      </c>
      <c r="V19" s="236">
        <v>28.91</v>
      </c>
      <c r="W19" s="236">
        <v>27.56</v>
      </c>
    </row>
    <row r="20" spans="1:23">
      <c r="A20" s="25" t="s">
        <v>519</v>
      </c>
      <c r="B20" s="236">
        <v>58.4</v>
      </c>
      <c r="C20" s="236">
        <v>72.5</v>
      </c>
      <c r="D20" s="236">
        <v>227.5</v>
      </c>
      <c r="E20" s="236">
        <v>307.7</v>
      </c>
      <c r="F20" s="236"/>
      <c r="G20" s="236"/>
      <c r="H20" s="236"/>
      <c r="I20" s="236"/>
      <c r="J20" s="236"/>
      <c r="K20" s="236"/>
      <c r="L20" s="236"/>
      <c r="M20" s="236"/>
      <c r="N20" s="236"/>
      <c r="O20" s="236"/>
      <c r="P20" s="236"/>
      <c r="Q20" s="236"/>
      <c r="R20" s="236"/>
      <c r="S20" s="236"/>
      <c r="T20" s="236"/>
      <c r="U20" s="236"/>
      <c r="V20" s="236"/>
      <c r="W20" s="236"/>
    </row>
    <row r="21" spans="1:23">
      <c r="A21" s="25" t="s">
        <v>520</v>
      </c>
      <c r="B21" s="236"/>
      <c r="C21" s="236"/>
      <c r="D21" s="236"/>
      <c r="E21" s="236"/>
      <c r="F21" s="236"/>
      <c r="G21" s="236"/>
      <c r="H21" s="236"/>
      <c r="I21" s="236"/>
      <c r="J21" s="236"/>
      <c r="K21" s="236">
        <v>41.6</v>
      </c>
      <c r="L21" s="236">
        <v>42.4</v>
      </c>
      <c r="M21" s="236">
        <v>43.2</v>
      </c>
      <c r="N21" s="236">
        <v>45.4</v>
      </c>
      <c r="O21" s="236">
        <v>44.4</v>
      </c>
      <c r="P21" s="236">
        <v>45.6</v>
      </c>
      <c r="Q21" s="236">
        <v>44.4</v>
      </c>
      <c r="R21" s="236">
        <v>49.3</v>
      </c>
      <c r="S21" s="236">
        <v>48.183</v>
      </c>
      <c r="T21" s="236">
        <v>46.9</v>
      </c>
      <c r="U21" s="236">
        <v>46.64</v>
      </c>
      <c r="V21" s="236">
        <v>45.7</v>
      </c>
      <c r="W21" s="236">
        <v>42.253999999999998</v>
      </c>
    </row>
    <row r="22" spans="1:23">
      <c r="A22" s="25" t="s">
        <v>454</v>
      </c>
      <c r="B22" s="236"/>
      <c r="C22" s="236"/>
      <c r="D22" s="236"/>
      <c r="E22" s="236"/>
      <c r="F22" s="236"/>
      <c r="G22" s="236"/>
      <c r="H22" s="236"/>
      <c r="I22" s="236">
        <v>30.08</v>
      </c>
      <c r="J22" s="236">
        <v>30.2</v>
      </c>
      <c r="K22" s="236">
        <v>30.81</v>
      </c>
      <c r="L22" s="236">
        <v>31.11</v>
      </c>
      <c r="M22" s="236">
        <v>31.94</v>
      </c>
      <c r="N22" s="236">
        <v>38.839999999999996</v>
      </c>
      <c r="O22" s="236">
        <v>37.230571735999995</v>
      </c>
      <c r="P22" s="236">
        <v>34.92809138935484</v>
      </c>
      <c r="Q22" s="236">
        <v>35.731133333333332</v>
      </c>
      <c r="R22" s="236">
        <v>36.191726666666668</v>
      </c>
      <c r="S22" s="236">
        <v>37.591919999999988</v>
      </c>
      <c r="T22" s="236">
        <v>38.957215999999988</v>
      </c>
      <c r="U22" s="236">
        <v>41.749781818181816</v>
      </c>
      <c r="V22" s="236">
        <v>36.713654545454553</v>
      </c>
      <c r="W22" s="236">
        <v>33.391280000000009</v>
      </c>
    </row>
    <row r="23" spans="1:23">
      <c r="A23" s="25" t="s">
        <v>801</v>
      </c>
      <c r="B23" s="236"/>
      <c r="C23" s="236">
        <v>2.2000000000000002</v>
      </c>
      <c r="D23" s="236">
        <v>3.7</v>
      </c>
      <c r="E23" s="236">
        <v>15.1</v>
      </c>
      <c r="F23" s="236">
        <v>22.1</v>
      </c>
      <c r="G23" s="236">
        <v>24.6</v>
      </c>
      <c r="H23" s="236">
        <v>28.8</v>
      </c>
      <c r="I23" s="236">
        <v>35.200000000000003</v>
      </c>
      <c r="J23" s="236">
        <v>35.700000000000003</v>
      </c>
      <c r="K23" s="236">
        <v>36</v>
      </c>
      <c r="L23" s="236">
        <v>32.9</v>
      </c>
      <c r="M23" s="236">
        <v>31.1</v>
      </c>
      <c r="N23" s="236">
        <v>30.4</v>
      </c>
      <c r="O23" s="236">
        <v>27.5</v>
      </c>
      <c r="P23" s="236">
        <v>25.2</v>
      </c>
      <c r="Q23" s="236">
        <v>23.93</v>
      </c>
      <c r="R23" s="236">
        <v>21.79</v>
      </c>
      <c r="S23" s="236">
        <v>20.218940999999997</v>
      </c>
      <c r="T23" s="236">
        <v>20.3746268457</v>
      </c>
      <c r="U23" s="236">
        <v>21.057176845030952</v>
      </c>
      <c r="V23" s="236">
        <v>21.89946391883219</v>
      </c>
      <c r="W23" s="236">
        <v>18.3</v>
      </c>
    </row>
    <row r="24" spans="1:23">
      <c r="A24" s="25" t="s">
        <v>802</v>
      </c>
      <c r="B24" s="236"/>
      <c r="C24" s="236"/>
      <c r="D24" s="236"/>
      <c r="E24" s="236"/>
      <c r="F24" s="236"/>
      <c r="G24" s="236"/>
      <c r="H24" s="236"/>
      <c r="I24" s="236">
        <v>19.989999999999998</v>
      </c>
      <c r="J24" s="236">
        <v>22.67</v>
      </c>
      <c r="K24" s="236">
        <v>25.25</v>
      </c>
      <c r="L24" s="236">
        <v>33.54</v>
      </c>
      <c r="M24" s="236">
        <v>33.78</v>
      </c>
      <c r="N24" s="236">
        <v>33.200000000000003</v>
      </c>
      <c r="O24" s="236">
        <v>37.1</v>
      </c>
      <c r="P24" s="236">
        <v>35.19</v>
      </c>
      <c r="Q24" s="236">
        <v>37.229999999999997</v>
      </c>
      <c r="R24" s="236">
        <v>37.67</v>
      </c>
      <c r="S24" s="236">
        <v>34.6</v>
      </c>
      <c r="T24" s="236">
        <v>38</v>
      </c>
      <c r="U24" s="236">
        <v>37.090000000000003</v>
      </c>
      <c r="V24" s="236">
        <v>38.53</v>
      </c>
      <c r="W24" s="236">
        <v>33.67</v>
      </c>
    </row>
    <row r="25" spans="1:23">
      <c r="A25" s="25" t="s">
        <v>265</v>
      </c>
      <c r="B25" s="236"/>
      <c r="C25" s="236">
        <v>100.9</v>
      </c>
      <c r="D25" s="236">
        <v>167</v>
      </c>
      <c r="E25" s="236">
        <v>211.2</v>
      </c>
      <c r="F25" s="236"/>
      <c r="G25" s="236"/>
      <c r="H25" s="236"/>
      <c r="I25" s="236"/>
      <c r="J25" s="236"/>
      <c r="K25" s="236"/>
      <c r="L25" s="236"/>
      <c r="M25" s="236"/>
      <c r="N25" s="236"/>
      <c r="O25" s="236"/>
      <c r="P25" s="236"/>
      <c r="Q25" s="236"/>
      <c r="R25" s="236"/>
      <c r="S25" s="236"/>
      <c r="T25" s="236"/>
      <c r="U25" s="236"/>
      <c r="V25" s="236"/>
      <c r="W25" s="236"/>
    </row>
    <row r="26" spans="1:23">
      <c r="A26" s="25" t="s">
        <v>96</v>
      </c>
      <c r="B26" s="236">
        <v>6.6</v>
      </c>
      <c r="C26" s="236">
        <v>18.399999999999999</v>
      </c>
      <c r="D26" s="236">
        <v>66.2</v>
      </c>
      <c r="E26" s="236">
        <v>70</v>
      </c>
      <c r="F26" s="236">
        <v>37.200000000000003</v>
      </c>
      <c r="G26" s="236">
        <v>113</v>
      </c>
      <c r="H26" s="236"/>
      <c r="I26" s="236"/>
      <c r="J26" s="236">
        <v>19.3</v>
      </c>
      <c r="K26" s="236">
        <v>21.4</v>
      </c>
      <c r="L26" s="236">
        <v>19.7</v>
      </c>
      <c r="M26" s="236">
        <v>17.7</v>
      </c>
      <c r="N26" s="236">
        <v>15.1</v>
      </c>
      <c r="O26" s="236">
        <v>12.9</v>
      </c>
      <c r="P26" s="236">
        <v>11</v>
      </c>
      <c r="Q26" s="236">
        <v>10.76</v>
      </c>
      <c r="R26" s="236">
        <v>9.1199999999999992</v>
      </c>
      <c r="S26" s="236">
        <v>8.2799999999999994</v>
      </c>
      <c r="T26" s="236">
        <v>5.91</v>
      </c>
      <c r="U26" s="236">
        <v>5.0599999999999996</v>
      </c>
      <c r="V26" s="236">
        <v>4.4800000000000004</v>
      </c>
      <c r="W26" s="236"/>
    </row>
    <row r="27" spans="1:23">
      <c r="A27" s="25" t="s">
        <v>695</v>
      </c>
      <c r="B27" s="236"/>
      <c r="C27" s="236"/>
      <c r="D27" s="236"/>
      <c r="E27" s="236"/>
      <c r="F27" s="236"/>
      <c r="G27" s="236"/>
      <c r="H27" s="236"/>
      <c r="I27" s="236"/>
      <c r="J27" s="236"/>
      <c r="K27" s="236"/>
      <c r="L27" s="236">
        <v>76.5</v>
      </c>
      <c r="M27" s="236">
        <v>81.2</v>
      </c>
      <c r="N27" s="236">
        <v>82.3</v>
      </c>
      <c r="O27" s="236">
        <v>66.3</v>
      </c>
      <c r="P27" s="236">
        <v>58.2</v>
      </c>
      <c r="Q27" s="236">
        <v>55.38</v>
      </c>
      <c r="R27" s="236">
        <v>51.4</v>
      </c>
      <c r="S27" s="236"/>
      <c r="T27" s="236"/>
      <c r="U27" s="236"/>
      <c r="V27" s="236"/>
      <c r="W27" s="236"/>
    </row>
    <row r="28" spans="1:23">
      <c r="A28" s="25" t="s">
        <v>803</v>
      </c>
      <c r="B28" s="236">
        <v>7</v>
      </c>
      <c r="C28" s="236">
        <v>11.5</v>
      </c>
      <c r="D28" s="236">
        <v>15.9</v>
      </c>
      <c r="E28" s="236">
        <v>17.399999999999999</v>
      </c>
      <c r="F28" s="236">
        <v>21.4</v>
      </c>
      <c r="G28" s="236">
        <v>20.5</v>
      </c>
      <c r="H28" s="236">
        <v>21.8</v>
      </c>
      <c r="I28" s="236">
        <v>24</v>
      </c>
      <c r="J28" s="236">
        <v>22.7</v>
      </c>
      <c r="K28" s="236">
        <v>23.3</v>
      </c>
      <c r="L28" s="236">
        <v>21.93</v>
      </c>
      <c r="M28" s="236">
        <v>22.1</v>
      </c>
      <c r="N28" s="236">
        <v>17.03</v>
      </c>
      <c r="O28" s="236">
        <v>17.44114347199999</v>
      </c>
      <c r="P28" s="236">
        <v>16.256182778709679</v>
      </c>
      <c r="Q28" s="236">
        <v>18.702266666666674</v>
      </c>
      <c r="R28" s="236">
        <v>19.023453333333329</v>
      </c>
      <c r="S28" s="236">
        <v>22.203839999999982</v>
      </c>
      <c r="T28" s="236">
        <v>23.994431999999978</v>
      </c>
      <c r="U28" s="236">
        <v>30.539563636363628</v>
      </c>
      <c r="V28" s="236">
        <v>23.752909090909103</v>
      </c>
      <c r="W28" s="236">
        <v>20.902560000000012</v>
      </c>
    </row>
    <row r="29" spans="1:23" ht="18">
      <c r="A29" s="322" t="s">
        <v>67</v>
      </c>
      <c r="B29" s="325">
        <v>1553.1229999999998</v>
      </c>
      <c r="C29" s="325">
        <v>2099.1870000000004</v>
      </c>
      <c r="D29" s="325">
        <v>2742.1000000000004</v>
      </c>
      <c r="E29" s="325">
        <v>3135.672</v>
      </c>
      <c r="F29" s="325">
        <v>4260.3420000000006</v>
      </c>
      <c r="G29" s="325">
        <v>4993.1530000000002</v>
      </c>
      <c r="H29" s="325">
        <v>6118.4580000000005</v>
      </c>
      <c r="I29" s="325">
        <v>6829.1839999999993</v>
      </c>
      <c r="J29" s="325">
        <v>7190.6360000000004</v>
      </c>
      <c r="K29" s="325">
        <v>7422.7370000000001</v>
      </c>
      <c r="L29" s="325">
        <v>7495.0739999999996</v>
      </c>
      <c r="M29" s="325">
        <v>7740.0000000000009</v>
      </c>
      <c r="N29" s="325">
        <v>7606.68</v>
      </c>
      <c r="O29" s="325">
        <v>7992.9100000000008</v>
      </c>
      <c r="P29" s="325">
        <v>7900.9949010050295</v>
      </c>
      <c r="Q29" s="325">
        <v>8238.0238915254595</v>
      </c>
      <c r="R29" s="325">
        <v>8747.7146765968628</v>
      </c>
      <c r="S29" s="325">
        <v>8824.8024582667913</v>
      </c>
      <c r="T29" s="325">
        <v>9539.9058856066986</v>
      </c>
      <c r="U29" s="325">
        <v>10296.699999999999</v>
      </c>
      <c r="V29" s="325">
        <v>10329.887470461852</v>
      </c>
      <c r="W29" s="313">
        <v>11089.759798010931</v>
      </c>
    </row>
    <row r="30" spans="1:23">
      <c r="B30" s="2">
        <f t="shared" ref="B30:V30" si="0">(B3+B5+B6+B8)/B29</f>
        <v>7.005240409162701E-2</v>
      </c>
      <c r="C30" s="2">
        <f t="shared" si="0"/>
        <v>2.9439968902246434E-2</v>
      </c>
      <c r="D30" s="2">
        <f t="shared" si="0"/>
        <v>3.2347470916450884E-2</v>
      </c>
      <c r="E30" s="2">
        <f t="shared" si="0"/>
        <v>7.5135409570898995E-2</v>
      </c>
      <c r="F30" s="2">
        <f t="shared" si="0"/>
        <v>0.27300625161078612</v>
      </c>
      <c r="G30" s="2">
        <f t="shared" si="0"/>
        <v>0.32208105780055207</v>
      </c>
      <c r="H30" s="2">
        <f t="shared" si="0"/>
        <v>0.22113414850604513</v>
      </c>
      <c r="I30" s="2">
        <f t="shared" si="0"/>
        <v>0.36865710456769074</v>
      </c>
      <c r="J30" s="2">
        <f t="shared" si="0"/>
        <v>0.61401454196819316</v>
      </c>
      <c r="K30" s="2">
        <f t="shared" si="0"/>
        <v>0.61038104273396721</v>
      </c>
      <c r="L30" s="2">
        <f t="shared" si="0"/>
        <v>0.66560684364157052</v>
      </c>
      <c r="M30" s="2">
        <f t="shared" si="0"/>
        <v>0.64542080103359178</v>
      </c>
      <c r="N30" s="2">
        <f t="shared" si="0"/>
        <v>0.66518389100106734</v>
      </c>
      <c r="O30" s="2">
        <f t="shared" si="0"/>
        <v>0.64486138340103905</v>
      </c>
      <c r="P30" s="2">
        <f t="shared" si="0"/>
        <v>0.65240404083089765</v>
      </c>
      <c r="Q30" s="2">
        <f t="shared" si="0"/>
        <v>0.62836902006622475</v>
      </c>
      <c r="R30" s="2">
        <f t="shared" si="0"/>
        <v>0.61922915873009721</v>
      </c>
      <c r="S30" s="2">
        <f t="shared" si="0"/>
        <v>0.57844580931305822</v>
      </c>
      <c r="T30" s="2">
        <f t="shared" si="0"/>
        <v>0.55906715055195899</v>
      </c>
      <c r="U30" s="2">
        <f t="shared" si="0"/>
        <v>0.56343477849025425</v>
      </c>
      <c r="V30" s="2">
        <f t="shared" si="0"/>
        <v>0.55050333981366684</v>
      </c>
      <c r="W30" s="2">
        <f>(W3+W5+W6+W8)/W29</f>
        <v>0.50187154673184686</v>
      </c>
    </row>
    <row r="31" spans="1:23">
      <c r="D31" s="2">
        <f t="shared" ref="D31:W31" si="1">(D3+D4+D5+D6+D8)/D29</f>
        <v>0.41826337478574804</v>
      </c>
      <c r="E31" s="2">
        <f t="shared" si="1"/>
        <v>0.43117073469418987</v>
      </c>
      <c r="F31" s="2">
        <f>(F3+F4+F5+F6+F8)/F29</f>
        <v>0.56779244483189362</v>
      </c>
      <c r="G31" s="2">
        <f t="shared" si="1"/>
        <v>0.56846846071009638</v>
      </c>
      <c r="H31" s="2">
        <f t="shared" si="1"/>
        <v>0.43447221505810779</v>
      </c>
      <c r="I31" s="2">
        <f t="shared" si="1"/>
        <v>0.57150710831630847</v>
      </c>
      <c r="J31" s="2">
        <f t="shared" si="1"/>
        <v>0.81011680607946224</v>
      </c>
      <c r="K31" s="2">
        <f t="shared" si="1"/>
        <v>0.80561899876016074</v>
      </c>
      <c r="L31" s="2">
        <f t="shared" si="1"/>
        <v>0.8499946161972517</v>
      </c>
      <c r="M31" s="2">
        <f t="shared" si="1"/>
        <v>0.83399186046511631</v>
      </c>
      <c r="N31" s="2">
        <f t="shared" si="1"/>
        <v>0.81636285475397929</v>
      </c>
      <c r="O31" s="2">
        <f t="shared" si="1"/>
        <v>0.80022532469400998</v>
      </c>
      <c r="P31" s="2">
        <f t="shared" si="1"/>
        <v>0.80084104334697526</v>
      </c>
      <c r="Q31" s="2">
        <f t="shared" si="1"/>
        <v>0.78028166519552444</v>
      </c>
      <c r="R31" s="2">
        <f t="shared" si="1"/>
        <v>0.75467824958464169</v>
      </c>
      <c r="S31" s="2">
        <f t="shared" si="1"/>
        <v>0.70944024295243069</v>
      </c>
      <c r="T31" s="2">
        <f t="shared" si="1"/>
        <v>0.69337665164810258</v>
      </c>
      <c r="U31" s="2">
        <f t="shared" si="1"/>
        <v>0.68639067698200396</v>
      </c>
      <c r="V31" s="2">
        <f t="shared" si="1"/>
        <v>0.66677178934270132</v>
      </c>
      <c r="W31" s="2">
        <f t="shared" si="1"/>
        <v>0.62330519583951649</v>
      </c>
    </row>
    <row r="33" spans="7:7">
      <c r="G33" s="6"/>
    </row>
    <row r="35" spans="7:7">
      <c r="G35" s="6"/>
    </row>
  </sheetData>
  <mergeCells count="1">
    <mergeCell ref="A1:V1"/>
  </mergeCells>
  <pageMargins left="0.7" right="0.7" top="0.75" bottom="0.75" header="0.3" footer="0.3"/>
  <pageSetup orientation="portrait" horizontalDpi="0" verticalDpi="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41ECA-EDE2-824E-84B0-ED1851D28F8F}">
  <sheetPr>
    <tabColor theme="1"/>
  </sheetPr>
  <dimension ref="A1:AF18"/>
  <sheetViews>
    <sheetView zoomScale="150" zoomScaleNormal="150" workbookViewId="0">
      <pane xSplit="1" ySplit="2" topLeftCell="B3" activePane="bottomRight" state="frozen"/>
      <selection pane="topRight" activeCell="B1" sqref="B1"/>
      <selection pane="bottomLeft" activeCell="A3" sqref="A3"/>
      <selection pane="bottomRight" activeCell="W2" sqref="W2"/>
    </sheetView>
  </sheetViews>
  <sheetFormatPr baseColWidth="10" defaultColWidth="11" defaultRowHeight="16"/>
  <cols>
    <col min="1" max="1" width="22.33203125" style="2" customWidth="1"/>
    <col min="2" max="16384" width="11" style="2"/>
  </cols>
  <sheetData>
    <row r="1" spans="1:32">
      <c r="A1" s="646" t="s">
        <v>1107</v>
      </c>
      <c r="B1" s="646"/>
      <c r="C1" s="646"/>
      <c r="D1" s="646"/>
      <c r="E1" s="646"/>
      <c r="F1" s="646"/>
      <c r="G1" s="646"/>
    </row>
    <row r="2" spans="1:32">
      <c r="A2" s="1" t="s">
        <v>522</v>
      </c>
      <c r="B2" s="1">
        <v>1984</v>
      </c>
      <c r="C2" s="1">
        <v>1988</v>
      </c>
      <c r="D2" s="1">
        <v>1992</v>
      </c>
      <c r="E2" s="1">
        <v>1996</v>
      </c>
      <c r="F2" s="1">
        <v>2000</v>
      </c>
      <c r="G2" s="1">
        <v>2004</v>
      </c>
      <c r="H2" s="1">
        <v>2008</v>
      </c>
      <c r="I2" s="1">
        <v>2010</v>
      </c>
      <c r="J2" s="1">
        <v>2011</v>
      </c>
      <c r="K2" s="1">
        <v>2012</v>
      </c>
      <c r="L2" s="1">
        <v>2013</v>
      </c>
      <c r="M2" s="1">
        <v>2014</v>
      </c>
      <c r="N2" s="1">
        <v>2015</v>
      </c>
      <c r="O2" s="1">
        <v>2016</v>
      </c>
      <c r="P2" s="1">
        <v>2017</v>
      </c>
      <c r="Q2" s="1">
        <v>2018</v>
      </c>
      <c r="R2" s="1">
        <v>2019</v>
      </c>
      <c r="S2" s="1">
        <v>2020</v>
      </c>
      <c r="T2" s="1">
        <v>2021</v>
      </c>
      <c r="U2" s="323">
        <v>2022</v>
      </c>
      <c r="V2" s="323">
        <v>2023</v>
      </c>
      <c r="W2" s="1">
        <v>2024</v>
      </c>
      <c r="X2" s="11"/>
      <c r="Y2" s="11"/>
      <c r="Z2" s="11"/>
      <c r="AA2" s="11"/>
      <c r="AB2" s="11"/>
      <c r="AC2" s="11"/>
      <c r="AD2" s="11"/>
      <c r="AE2" s="11"/>
      <c r="AF2" s="11"/>
    </row>
    <row r="3" spans="1:32">
      <c r="A3" s="11" t="s">
        <v>523</v>
      </c>
      <c r="B3" s="236">
        <v>74.479226693571604</v>
      </c>
      <c r="C3" s="236">
        <v>69.820935438338736</v>
      </c>
      <c r="D3" s="236">
        <v>62.798730899675419</v>
      </c>
      <c r="E3" s="236">
        <v>62.682002454338331</v>
      </c>
      <c r="F3" s="236">
        <v>70.404911155019931</v>
      </c>
      <c r="G3" s="236">
        <v>67.136937321968702</v>
      </c>
      <c r="H3" s="545">
        <v>70.977033755890773</v>
      </c>
      <c r="I3" s="236">
        <v>75.532116282120981</v>
      </c>
      <c r="J3" s="236">
        <v>75.732592638537128</v>
      </c>
      <c r="K3" s="236">
        <v>74.217137829347848</v>
      </c>
      <c r="L3" s="236">
        <v>78.830076234070546</v>
      </c>
      <c r="M3" s="236">
        <v>77.426873385012897</v>
      </c>
      <c r="N3" s="236">
        <v>75.133566812328098</v>
      </c>
      <c r="O3" s="236">
        <v>74.252049872516324</v>
      </c>
      <c r="P3" s="236">
        <v>73.843540471811437</v>
      </c>
      <c r="Q3" s="236">
        <v>72.007710759131029</v>
      </c>
      <c r="R3" s="236">
        <v>69.988679630573088</v>
      </c>
      <c r="S3" s="236">
        <v>66.452000004901549</v>
      </c>
      <c r="T3" s="236">
        <v>66.467771045486998</v>
      </c>
      <c r="U3" s="236">
        <v>66.802159582007832</v>
      </c>
      <c r="V3" s="236">
        <v>66.76070124779649</v>
      </c>
      <c r="W3" s="236">
        <v>65.625200502699172</v>
      </c>
      <c r="X3" s="11"/>
      <c r="Y3" s="11"/>
      <c r="Z3" s="11"/>
      <c r="AA3" s="11"/>
      <c r="AB3" s="11"/>
      <c r="AC3" s="11"/>
      <c r="AD3" s="11"/>
      <c r="AE3" s="11"/>
      <c r="AF3" s="11"/>
    </row>
    <row r="4" spans="1:32">
      <c r="A4" s="2" t="s">
        <v>278</v>
      </c>
      <c r="B4" s="236">
        <v>78.973397470773406</v>
      </c>
      <c r="C4" s="236">
        <v>74.975311870738537</v>
      </c>
      <c r="D4" s="236">
        <v>70.187228766274004</v>
      </c>
      <c r="E4" s="236">
        <v>73.630213874410344</v>
      </c>
      <c r="F4" s="236">
        <v>78.331504841630078</v>
      </c>
      <c r="G4" s="236">
        <v>76.073174605304501</v>
      </c>
      <c r="H4" s="545">
        <v>80.631427068715681</v>
      </c>
      <c r="I4" s="236">
        <v>81.310259029482879</v>
      </c>
      <c r="J4" s="236">
        <v>82.370531201968788</v>
      </c>
      <c r="K4" s="236">
        <v>81.987182760213642</v>
      </c>
      <c r="L4" s="236">
        <v>82.712092609092309</v>
      </c>
      <c r="M4" s="236">
        <v>83.082816537467693</v>
      </c>
      <c r="N4" s="236">
        <v>82.126566684000863</v>
      </c>
      <c r="O4" s="236">
        <v>81.879122400022609</v>
      </c>
      <c r="P4" s="236">
        <v>83.751126579078388</v>
      </c>
      <c r="Q4" s="236">
        <v>83.232620604693423</v>
      </c>
      <c r="R4" s="236">
        <v>83.42217396417152</v>
      </c>
      <c r="S4" s="236">
        <v>81.800604196388718</v>
      </c>
      <c r="T4" s="236">
        <v>81.95203281612666</v>
      </c>
      <c r="U4" s="236">
        <v>81.469169400687605</v>
      </c>
      <c r="V4" s="236">
        <v>81.02008213855602</v>
      </c>
      <c r="W4" s="236">
        <v>79.394912631846353</v>
      </c>
    </row>
    <row r="7" spans="1:32">
      <c r="A7" s="46"/>
      <c r="B7" s="108">
        <v>1984</v>
      </c>
      <c r="C7" s="108">
        <v>1988</v>
      </c>
      <c r="D7" s="108">
        <v>1992</v>
      </c>
      <c r="E7" s="108">
        <v>1996</v>
      </c>
      <c r="F7" s="108">
        <v>2000</v>
      </c>
      <c r="G7" s="108">
        <v>2004</v>
      </c>
      <c r="H7" s="108">
        <v>2008</v>
      </c>
      <c r="I7" s="108">
        <v>2010</v>
      </c>
      <c r="J7" s="108">
        <v>2011</v>
      </c>
      <c r="K7" s="108">
        <v>2012</v>
      </c>
      <c r="L7" s="108">
        <v>2013</v>
      </c>
      <c r="M7" s="108">
        <v>2014</v>
      </c>
      <c r="N7" s="108">
        <v>2015</v>
      </c>
      <c r="O7" s="108">
        <v>2016</v>
      </c>
      <c r="P7" s="108">
        <v>2017</v>
      </c>
      <c r="Q7" s="108">
        <v>2018</v>
      </c>
      <c r="R7" s="108">
        <v>2019</v>
      </c>
      <c r="S7" s="108">
        <v>2020</v>
      </c>
      <c r="T7" s="108">
        <v>2021</v>
      </c>
      <c r="U7" s="108">
        <v>2022</v>
      </c>
      <c r="V7" s="108">
        <v>2023</v>
      </c>
      <c r="W7" s="31">
        <v>2024</v>
      </c>
    </row>
    <row r="8" spans="1:32">
      <c r="A8" s="21" t="s">
        <v>524</v>
      </c>
      <c r="B8" s="236">
        <v>77.621883572039906</v>
      </c>
      <c r="C8" s="236">
        <v>74.646448489283713</v>
      </c>
      <c r="D8" s="236">
        <v>70.863379856799284</v>
      </c>
      <c r="E8" s="236">
        <v>75.959375070816037</v>
      </c>
      <c r="F8" s="236">
        <v>92.139531912488366</v>
      </c>
      <c r="G8" s="236">
        <v>92.411009470100595</v>
      </c>
      <c r="H8" s="236">
        <v>89.172178355651482</v>
      </c>
      <c r="I8" s="236">
        <v>88.208995267343226</v>
      </c>
      <c r="J8" s="236">
        <v>87.360706553154301</v>
      </c>
      <c r="K8" s="236">
        <v>87.265448322229688</v>
      </c>
      <c r="L8" s="236">
        <v>86.690283317058118</v>
      </c>
      <c r="M8" s="236">
        <v>87.178935495333377</v>
      </c>
      <c r="N8" s="236">
        <v>86.050852771964628</v>
      </c>
      <c r="O8" s="236">
        <v>86.194247814902553</v>
      </c>
      <c r="P8" s="236">
        <v>87.382927429658793</v>
      </c>
      <c r="Q8" s="236">
        <v>85.690976325721479</v>
      </c>
      <c r="R8" s="236">
        <v>85.809946492363849</v>
      </c>
      <c r="S8" s="236">
        <v>87.084752935283404</v>
      </c>
      <c r="T8" s="236">
        <v>87.056516404796781</v>
      </c>
      <c r="U8" s="236">
        <v>86.577118568267466</v>
      </c>
      <c r="V8" s="236">
        <v>86.379440853775193</v>
      </c>
      <c r="W8" s="236">
        <v>84.926122107610823</v>
      </c>
    </row>
    <row r="9" spans="1:32">
      <c r="A9" s="21" t="s">
        <v>525</v>
      </c>
      <c r="B9" s="236">
        <v>99.253731343283576</v>
      </c>
      <c r="C9" s="236">
        <v>79.49438202247191</v>
      </c>
      <c r="D9" s="236">
        <v>66.171707356573137</v>
      </c>
      <c r="E9" s="236">
        <v>64.968095352757047</v>
      </c>
      <c r="F9" s="236">
        <v>45.834838727959252</v>
      </c>
      <c r="G9" s="236">
        <v>52.910104149668726</v>
      </c>
      <c r="H9" s="236">
        <v>71.344230796130248</v>
      </c>
      <c r="I9" s="236">
        <v>74.649889772118968</v>
      </c>
      <c r="J9" s="236">
        <v>77.507571052151334</v>
      </c>
      <c r="K9" s="236">
        <v>78.440572317632871</v>
      </c>
      <c r="L9" s="236">
        <v>80.097893079285853</v>
      </c>
      <c r="M9" s="236">
        <v>79.709061290017928</v>
      </c>
      <c r="N9" s="236">
        <v>79.058924458233435</v>
      </c>
      <c r="O9" s="236">
        <v>78.218565993296508</v>
      </c>
      <c r="P9" s="236">
        <v>78.358556701030935</v>
      </c>
      <c r="Q9" s="236">
        <v>79.689039263884581</v>
      </c>
      <c r="R9" s="236">
        <v>80.158081645988105</v>
      </c>
      <c r="S9" s="236">
        <v>79.764322618411342</v>
      </c>
      <c r="T9" s="236">
        <v>80.099696969696978</v>
      </c>
      <c r="U9" s="236">
        <v>81.787419533870818</v>
      </c>
      <c r="V9" s="236">
        <v>84.303985820004414</v>
      </c>
      <c r="W9" s="236">
        <v>82.277438279191102</v>
      </c>
    </row>
    <row r="10" spans="1:32">
      <c r="A10" s="21" t="s">
        <v>526</v>
      </c>
      <c r="B10" s="236"/>
      <c r="C10" s="236"/>
      <c r="D10" s="236"/>
      <c r="E10" s="236"/>
      <c r="F10" s="236"/>
      <c r="G10" s="236"/>
      <c r="H10" s="236"/>
      <c r="I10" s="240"/>
      <c r="J10" s="236">
        <v>100</v>
      </c>
      <c r="K10" s="236">
        <v>100</v>
      </c>
      <c r="L10" s="236">
        <v>100</v>
      </c>
      <c r="M10" s="236">
        <v>100</v>
      </c>
      <c r="N10" s="236">
        <v>94.091192594294739</v>
      </c>
      <c r="O10" s="236">
        <v>90.574079937647653</v>
      </c>
      <c r="P10" s="236">
        <v>95.669442523222472</v>
      </c>
      <c r="Q10" s="236">
        <v>92.961718874001434</v>
      </c>
      <c r="R10" s="236">
        <v>87.367277253154626</v>
      </c>
      <c r="S10" s="236">
        <v>80.15860086157015</v>
      </c>
      <c r="T10" s="236">
        <v>80.130259591512967</v>
      </c>
      <c r="U10" s="236">
        <v>77.495763802499027</v>
      </c>
      <c r="V10" s="236">
        <v>74.794236678399287</v>
      </c>
      <c r="W10" s="236">
        <v>74.256927556197695</v>
      </c>
    </row>
    <row r="11" spans="1:32">
      <c r="A11" s="21" t="s">
        <v>523</v>
      </c>
      <c r="B11" s="236">
        <v>74.479226693571604</v>
      </c>
      <c r="C11" s="236">
        <v>69.820935438338736</v>
      </c>
      <c r="D11" s="236">
        <v>62.798730899675419</v>
      </c>
      <c r="E11" s="236">
        <v>62.682002454338331</v>
      </c>
      <c r="F11" s="236">
        <v>70.404911155019931</v>
      </c>
      <c r="G11" s="236">
        <v>67.136937321968702</v>
      </c>
      <c r="H11" s="545">
        <v>70.977033755890773</v>
      </c>
      <c r="I11" s="236">
        <v>75.532116282120981</v>
      </c>
      <c r="J11" s="236">
        <v>75.732592638537128</v>
      </c>
      <c r="K11" s="236">
        <v>74.217137829347848</v>
      </c>
      <c r="L11" s="236">
        <v>78.830076234070546</v>
      </c>
      <c r="M11" s="236">
        <v>77.426873385012897</v>
      </c>
      <c r="N11" s="236">
        <v>75.133566812328098</v>
      </c>
      <c r="O11" s="236">
        <v>74.252049872516324</v>
      </c>
      <c r="P11" s="236">
        <v>73.843540471811437</v>
      </c>
      <c r="Q11" s="236">
        <v>72.007710759131029</v>
      </c>
      <c r="R11" s="236">
        <v>69.988679630573088</v>
      </c>
      <c r="S11" s="236">
        <v>66.452000004901549</v>
      </c>
      <c r="T11" s="236">
        <v>66.467771045486998</v>
      </c>
      <c r="U11" s="236">
        <v>66.802159582007832</v>
      </c>
      <c r="V11" s="236">
        <v>66.76070124779649</v>
      </c>
      <c r="W11" s="236">
        <v>65.625200502699172</v>
      </c>
    </row>
    <row r="12" spans="1:32">
      <c r="A12" s="2" t="s">
        <v>278</v>
      </c>
      <c r="B12" s="236">
        <v>78.973397470773406</v>
      </c>
      <c r="C12" s="236">
        <v>74.975311870738537</v>
      </c>
      <c r="D12" s="236">
        <v>70.187228766274004</v>
      </c>
      <c r="E12" s="236">
        <v>73.630213874410344</v>
      </c>
      <c r="F12" s="236">
        <v>78.331504841630078</v>
      </c>
      <c r="G12" s="236">
        <v>76.073174605304501</v>
      </c>
      <c r="H12" s="545">
        <v>80.631427068715681</v>
      </c>
      <c r="I12" s="236">
        <v>81.310259029482879</v>
      </c>
      <c r="J12" s="236">
        <v>82.370531201968788</v>
      </c>
      <c r="K12" s="236">
        <v>81.987182760213642</v>
      </c>
      <c r="L12" s="236">
        <v>82.712092609092309</v>
      </c>
      <c r="M12" s="236">
        <v>83.082816537467693</v>
      </c>
      <c r="N12" s="236">
        <v>82.126566684000863</v>
      </c>
      <c r="O12" s="236">
        <v>81.879122400022609</v>
      </c>
      <c r="P12" s="236">
        <v>83.751126579078388</v>
      </c>
      <c r="Q12" s="236">
        <v>83.232620604693423</v>
      </c>
      <c r="R12" s="236">
        <v>83.42217396417152</v>
      </c>
      <c r="S12" s="236">
        <v>81.800604196388718</v>
      </c>
      <c r="T12" s="236">
        <v>81.95203281612666</v>
      </c>
      <c r="U12" s="236">
        <v>81.469169400687605</v>
      </c>
      <c r="V12" s="236">
        <v>81.02008213855602</v>
      </c>
      <c r="W12" s="236">
        <v>79.394912631846353</v>
      </c>
    </row>
    <row r="14" spans="1:32">
      <c r="A14" s="25"/>
      <c r="B14" s="236"/>
      <c r="C14" s="236"/>
      <c r="D14" s="236"/>
      <c r="G14" s="236"/>
      <c r="H14" s="236"/>
      <c r="I14" s="236"/>
      <c r="J14" s="236"/>
      <c r="K14" s="236"/>
      <c r="L14" s="236"/>
      <c r="M14" s="236"/>
      <c r="N14" s="236"/>
      <c r="O14" s="236"/>
      <c r="P14" s="236"/>
      <c r="Q14" s="236"/>
      <c r="R14" s="236"/>
      <c r="S14" s="236"/>
      <c r="T14" s="236"/>
      <c r="U14" s="236"/>
      <c r="V14" s="236"/>
      <c r="W14" s="236"/>
    </row>
    <row r="15" spans="1:32">
      <c r="A15" s="25"/>
      <c r="B15" s="236"/>
      <c r="C15" s="236"/>
      <c r="D15" s="236"/>
      <c r="G15" s="236"/>
      <c r="H15" s="236"/>
      <c r="I15" s="236"/>
      <c r="J15" s="236"/>
      <c r="K15" s="236"/>
      <c r="L15" s="236"/>
      <c r="M15" s="236"/>
      <c r="N15" s="236"/>
      <c r="O15" s="236"/>
      <c r="P15" s="236"/>
      <c r="Q15" s="236"/>
      <c r="R15" s="236"/>
      <c r="S15" s="236"/>
      <c r="T15" s="236"/>
      <c r="U15" s="236"/>
      <c r="V15" s="236"/>
      <c r="W15" s="236"/>
    </row>
    <row r="16" spans="1:32">
      <c r="A16" s="25"/>
      <c r="B16" s="236"/>
      <c r="C16" s="236"/>
      <c r="D16" s="236"/>
      <c r="G16" s="236"/>
      <c r="H16" s="236"/>
      <c r="I16" s="240"/>
      <c r="J16" s="236"/>
      <c r="K16" s="236"/>
      <c r="L16" s="236"/>
      <c r="M16" s="236"/>
      <c r="N16" s="236"/>
      <c r="O16" s="236"/>
      <c r="P16" s="236"/>
      <c r="Q16" s="236"/>
      <c r="R16" s="236"/>
      <c r="S16" s="236"/>
      <c r="T16" s="236"/>
      <c r="U16" s="236"/>
      <c r="V16" s="236"/>
      <c r="W16" s="236"/>
    </row>
    <row r="17" spans="1:1">
      <c r="A17" s="313"/>
    </row>
    <row r="18" spans="1:1">
      <c r="A18" s="321"/>
    </row>
  </sheetData>
  <mergeCells count="1">
    <mergeCell ref="A1:G1"/>
  </mergeCells>
  <pageMargins left="0.7" right="0.7" top="0.75" bottom="0.75" header="0.3" footer="0.3"/>
  <pageSetup orientation="portrait" horizontalDpi="0" verticalDpi="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5AE17-5881-8844-A2DA-85617BE79F3F}">
  <sheetPr>
    <tabColor theme="1"/>
  </sheetPr>
  <dimension ref="A1:W14"/>
  <sheetViews>
    <sheetView zoomScale="115" zoomScaleNormal="115" workbookViewId="0">
      <pane xSplit="1" ySplit="2" topLeftCell="B3" activePane="bottomRight" state="frozen"/>
      <selection pane="topRight" activeCell="B1" sqref="B1"/>
      <selection pane="bottomLeft" activeCell="A3" sqref="A3"/>
      <selection pane="bottomRight" activeCell="Q24" sqref="Q24"/>
    </sheetView>
  </sheetViews>
  <sheetFormatPr baseColWidth="10" defaultColWidth="11" defaultRowHeight="16"/>
  <cols>
    <col min="1" max="1" width="11" style="2"/>
    <col min="2" max="22" width="12.6640625" style="2" bestFit="1" customWidth="1"/>
    <col min="23" max="16384" width="11" style="2"/>
  </cols>
  <sheetData>
    <row r="1" spans="1:23">
      <c r="A1" s="646" t="s">
        <v>1108</v>
      </c>
      <c r="B1" s="646"/>
      <c r="C1" s="646"/>
      <c r="D1" s="646"/>
      <c r="E1" s="646"/>
      <c r="F1" s="646"/>
      <c r="G1" s="646"/>
    </row>
    <row r="2" spans="1:23">
      <c r="A2" s="31" t="s">
        <v>522</v>
      </c>
      <c r="B2" s="31">
        <v>1984</v>
      </c>
      <c r="C2" s="31">
        <v>1988</v>
      </c>
      <c r="D2" s="31">
        <v>1992</v>
      </c>
      <c r="E2" s="31">
        <v>1996</v>
      </c>
      <c r="F2" s="31">
        <v>2000</v>
      </c>
      <c r="G2" s="31">
        <v>2004</v>
      </c>
      <c r="H2" s="31">
        <v>2008</v>
      </c>
      <c r="I2" s="31">
        <v>2010</v>
      </c>
      <c r="J2" s="31">
        <v>2011</v>
      </c>
      <c r="K2" s="31">
        <v>2012</v>
      </c>
      <c r="L2" s="31">
        <v>2013</v>
      </c>
      <c r="M2" s="31">
        <v>2014</v>
      </c>
      <c r="N2" s="31">
        <v>2015</v>
      </c>
      <c r="O2" s="31">
        <v>2016</v>
      </c>
      <c r="P2" s="31">
        <v>2017</v>
      </c>
      <c r="Q2" s="31">
        <v>2018</v>
      </c>
      <c r="R2" s="31">
        <v>2019</v>
      </c>
      <c r="S2" s="31">
        <v>2020</v>
      </c>
      <c r="T2" s="31">
        <v>2021</v>
      </c>
      <c r="U2" s="31">
        <v>2022</v>
      </c>
      <c r="V2" s="31">
        <v>2023</v>
      </c>
      <c r="W2" s="31">
        <v>2024</v>
      </c>
    </row>
    <row r="3" spans="1:23">
      <c r="A3" s="2" t="s">
        <v>527</v>
      </c>
      <c r="B3" s="236">
        <v>3009.5698590905376</v>
      </c>
      <c r="C3" s="236">
        <v>2471.8897523574374</v>
      </c>
      <c r="D3" s="236">
        <v>1816.3467438409568</v>
      </c>
      <c r="E3" s="236">
        <v>1710.2564658737426</v>
      </c>
      <c r="F3" s="236">
        <v>1561.3903218898879</v>
      </c>
      <c r="G3" s="236">
        <v>1406.7396455437477</v>
      </c>
      <c r="H3" s="545">
        <v>1575.4865680237449</v>
      </c>
      <c r="I3" s="236">
        <v>1662.54681008026</v>
      </c>
      <c r="J3" s="236">
        <v>1641.3996561117092</v>
      </c>
      <c r="K3" s="236">
        <v>1582.6976686550106</v>
      </c>
      <c r="L3" s="236">
        <v>1774.7985762550638</v>
      </c>
      <c r="M3" s="236">
        <v>1725.6175306093587</v>
      </c>
      <c r="N3" s="236">
        <v>1661.2421619360932</v>
      </c>
      <c r="O3" s="236">
        <v>1616.1215885632221</v>
      </c>
      <c r="P3" s="236">
        <v>1648.7342125542368</v>
      </c>
      <c r="Q3" s="236">
        <v>1586.246406508157</v>
      </c>
      <c r="R3" s="236">
        <v>1586.9845810074471</v>
      </c>
      <c r="S3" s="236">
        <v>1473.4366812143192</v>
      </c>
      <c r="T3" s="236">
        <v>1428.9565402558628</v>
      </c>
      <c r="U3" s="236">
        <v>1432.1492780128815</v>
      </c>
      <c r="V3" s="236">
        <v>1409.1638857614612</v>
      </c>
      <c r="W3" s="236">
        <v>1305.6167652021311</v>
      </c>
    </row>
    <row r="4" spans="1:23">
      <c r="A4" s="2" t="s">
        <v>281</v>
      </c>
      <c r="B4" s="236">
        <v>3746.8379725719624</v>
      </c>
      <c r="C4" s="236">
        <v>2757.7085574311013</v>
      </c>
      <c r="D4" s="236">
        <v>2163.2596602879712</v>
      </c>
      <c r="E4" s="236">
        <v>2176.3870862086669</v>
      </c>
      <c r="F4" s="236">
        <v>2015.1518457304107</v>
      </c>
      <c r="G4" s="236">
        <v>1911.9312726470264</v>
      </c>
      <c r="H4" s="545">
        <v>1939.0982261722093</v>
      </c>
      <c r="I4" s="236">
        <v>2025.314211639002</v>
      </c>
      <c r="J4" s="236">
        <v>2066.0229090270077</v>
      </c>
      <c r="K4" s="236">
        <v>2094.2686836081798</v>
      </c>
      <c r="L4" s="236">
        <v>2268.881119190281</v>
      </c>
      <c r="M4" s="236">
        <v>2440.4551129110046</v>
      </c>
      <c r="N4" s="236">
        <v>2247.4272862619978</v>
      </c>
      <c r="O4" s="236">
        <v>2278.0699663248424</v>
      </c>
      <c r="P4" s="236">
        <v>2320.8873674648289</v>
      </c>
      <c r="Q4" s="236">
        <v>2334.3261886862178</v>
      </c>
      <c r="R4" s="236">
        <v>2445.6333375281997</v>
      </c>
      <c r="S4" s="236">
        <v>2370.1610789198539</v>
      </c>
      <c r="T4" s="236">
        <v>2371.4505207875782</v>
      </c>
      <c r="U4" s="236">
        <v>2317.1237393975721</v>
      </c>
      <c r="V4" s="236">
        <v>2294.9208347991134</v>
      </c>
      <c r="W4" s="236">
        <v>2251.8716834292009</v>
      </c>
    </row>
    <row r="8" spans="1:23">
      <c r="A8" s="32"/>
      <c r="B8" s="46">
        <v>1984</v>
      </c>
      <c r="C8" s="46">
        <v>1988</v>
      </c>
      <c r="D8" s="46">
        <v>1992</v>
      </c>
      <c r="E8" s="46">
        <v>1996</v>
      </c>
      <c r="F8" s="46">
        <v>2000</v>
      </c>
      <c r="G8" s="46">
        <v>2004</v>
      </c>
      <c r="H8" s="46">
        <v>2008</v>
      </c>
      <c r="I8" s="46">
        <v>2010</v>
      </c>
      <c r="J8" s="46">
        <v>2011</v>
      </c>
      <c r="K8" s="46">
        <v>2012</v>
      </c>
      <c r="L8" s="46">
        <v>2013</v>
      </c>
      <c r="M8" s="46">
        <v>2014</v>
      </c>
      <c r="N8" s="46">
        <v>2015</v>
      </c>
      <c r="O8" s="46">
        <v>2016</v>
      </c>
      <c r="P8" s="46">
        <v>2017</v>
      </c>
      <c r="Q8" s="46">
        <v>2018</v>
      </c>
      <c r="R8" s="46">
        <v>2019</v>
      </c>
      <c r="S8" s="46">
        <v>2020</v>
      </c>
      <c r="T8" s="46">
        <v>2021</v>
      </c>
      <c r="U8" s="46">
        <v>2022</v>
      </c>
      <c r="V8" s="46">
        <v>2023</v>
      </c>
      <c r="W8" s="46">
        <v>2024</v>
      </c>
    </row>
    <row r="9" spans="1:23">
      <c r="A9" s="32" t="s">
        <v>80</v>
      </c>
      <c r="B9" s="236">
        <v>3354.4650455511996</v>
      </c>
      <c r="C9" s="236">
        <v>2828.2773766313471</v>
      </c>
      <c r="D9" s="236">
        <v>2294.2069085459912</v>
      </c>
      <c r="E9" s="236">
        <v>2354.9004146360694</v>
      </c>
      <c r="F9" s="236">
        <v>2562.2426159876177</v>
      </c>
      <c r="G9" s="236">
        <v>2645.9038964681363</v>
      </c>
      <c r="H9" s="236">
        <v>2458.0699891876993</v>
      </c>
      <c r="I9" s="236">
        <v>2466.6358866993878</v>
      </c>
      <c r="J9" s="236">
        <v>2419.0121337055252</v>
      </c>
      <c r="K9" s="236">
        <v>2500.2579363468685</v>
      </c>
      <c r="L9" s="236">
        <v>2462.9997900519334</v>
      </c>
      <c r="M9" s="236">
        <v>2629.0076734247259</v>
      </c>
      <c r="N9" s="236">
        <v>2366.0808965894221</v>
      </c>
      <c r="O9" s="236">
        <v>2504.682427009755</v>
      </c>
      <c r="P9" s="236">
        <v>2535.8732148914755</v>
      </c>
      <c r="Q9" s="236">
        <v>2554.2331789987879</v>
      </c>
      <c r="R9" s="236">
        <v>2463.6396907889111</v>
      </c>
      <c r="S9" s="236">
        <v>2666.1639926516218</v>
      </c>
      <c r="T9" s="236">
        <v>2723.4171202993712</v>
      </c>
      <c r="U9" s="236">
        <v>2628.382617975733</v>
      </c>
      <c r="V9" s="236">
        <v>2621.4891629605145</v>
      </c>
      <c r="W9" s="236">
        <v>2792.7774354717535</v>
      </c>
    </row>
    <row r="10" spans="1:23">
      <c r="A10" s="32" t="s">
        <v>525</v>
      </c>
      <c r="B10" s="236">
        <v>9851.3031855647132</v>
      </c>
      <c r="C10" s="236">
        <v>1787.9884168665569</v>
      </c>
      <c r="D10" s="236">
        <v>1385.5910499881627</v>
      </c>
      <c r="E10" s="236">
        <v>1512.4984678858141</v>
      </c>
      <c r="F10" s="236">
        <v>727.59454274386917</v>
      </c>
      <c r="G10" s="236">
        <v>871.33686471178601</v>
      </c>
      <c r="H10" s="236">
        <v>1434.939364954907</v>
      </c>
      <c r="I10" s="236">
        <v>1599.2412011868464</v>
      </c>
      <c r="J10" s="236">
        <v>1710.1645774616143</v>
      </c>
      <c r="K10" s="236">
        <v>1766.2098398871212</v>
      </c>
      <c r="L10" s="236">
        <v>2238.9064660969561</v>
      </c>
      <c r="M10" s="236">
        <v>2212.8552377483488</v>
      </c>
      <c r="N10" s="236">
        <v>2075.9020724316915</v>
      </c>
      <c r="O10" s="236">
        <v>2034.3706832463049</v>
      </c>
      <c r="P10" s="236">
        <v>2020.6724656595047</v>
      </c>
      <c r="Q10" s="236">
        <v>2080.6264682271235</v>
      </c>
      <c r="R10" s="236">
        <v>2113.7466143516913</v>
      </c>
      <c r="S10" s="236">
        <v>2102.8917566773512</v>
      </c>
      <c r="T10" s="236">
        <v>2106.2717354817755</v>
      </c>
      <c r="U10" s="236">
        <v>2227.5512644824344</v>
      </c>
      <c r="V10" s="236">
        <v>2410.0077974275264</v>
      </c>
      <c r="W10" s="236">
        <v>2266.1554018605175</v>
      </c>
    </row>
    <row r="11" spans="1:23">
      <c r="A11" s="320" t="s">
        <v>528</v>
      </c>
      <c r="B11" s="236"/>
      <c r="C11" s="236"/>
      <c r="D11" s="236"/>
      <c r="E11" s="236"/>
      <c r="F11" s="236"/>
      <c r="G11" s="236"/>
      <c r="H11" s="236"/>
      <c r="I11" s="236"/>
      <c r="J11" s="236">
        <v>5144.4036465102809</v>
      </c>
      <c r="K11" s="236">
        <v>6083.1147777672122</v>
      </c>
      <c r="L11" s="236">
        <v>6648.7407097901387</v>
      </c>
      <c r="M11" s="236">
        <v>6411.0601474953619</v>
      </c>
      <c r="N11" s="236">
        <v>4628.8166916668015</v>
      </c>
      <c r="O11" s="236">
        <v>4329.0138099265532</v>
      </c>
      <c r="P11" s="236">
        <v>4258.3505587585796</v>
      </c>
      <c r="Q11" s="236">
        <v>3554.0344128616671</v>
      </c>
      <c r="R11" s="236">
        <v>3142.2612650912788</v>
      </c>
      <c r="S11" s="236">
        <v>2511.5020400302542</v>
      </c>
      <c r="T11" s="236">
        <v>2424.1145037775686</v>
      </c>
      <c r="U11" s="236">
        <v>2197.7145096922718</v>
      </c>
      <c r="V11" s="236">
        <v>1995.2042635357702</v>
      </c>
      <c r="W11" s="236">
        <v>1958.6243547857866</v>
      </c>
    </row>
    <row r="12" spans="1:23">
      <c r="A12" s="2" t="s">
        <v>245</v>
      </c>
      <c r="B12" s="236">
        <v>1172.557482775635</v>
      </c>
      <c r="C12" s="236">
        <v>1068.0311908397166</v>
      </c>
      <c r="D12" s="236">
        <v>928.09529777099215</v>
      </c>
      <c r="E12" s="236">
        <v>1025.3631459264432</v>
      </c>
      <c r="F12" s="236">
        <v>1013.8419061578752</v>
      </c>
      <c r="G12" s="236">
        <v>1089.9885688827537</v>
      </c>
      <c r="H12" s="236">
        <v>1007.4739352266604</v>
      </c>
      <c r="I12" s="236">
        <v>836.81330700054593</v>
      </c>
      <c r="J12" s="236">
        <v>789.0919166499674</v>
      </c>
      <c r="K12" s="236">
        <v>791.0758002563216</v>
      </c>
      <c r="L12" s="236">
        <v>864.35926064212958</v>
      </c>
      <c r="M12" s="236">
        <v>895.99662274166928</v>
      </c>
      <c r="N12" s="236">
        <v>920.71766743474905</v>
      </c>
      <c r="O12" s="236">
        <v>930.38229113127363</v>
      </c>
      <c r="P12" s="236">
        <v>978.31062590537465</v>
      </c>
      <c r="Q12" s="236">
        <v>1015.6745934975845</v>
      </c>
      <c r="R12" s="236">
        <v>1065.7967132605327</v>
      </c>
      <c r="S12" s="236">
        <v>1176.5494539794529</v>
      </c>
      <c r="T12" s="236">
        <v>1201.2935005100139</v>
      </c>
      <c r="U12" s="236">
        <v>1209.4630163670708</v>
      </c>
      <c r="V12" s="236">
        <v>1202.9513390092056</v>
      </c>
      <c r="W12" s="236">
        <v>1223.12921209508</v>
      </c>
    </row>
    <row r="13" spans="1:23">
      <c r="A13" s="48" t="s">
        <v>527</v>
      </c>
      <c r="B13" s="236">
        <v>3009.5698590905376</v>
      </c>
      <c r="C13" s="236">
        <v>2471.8897523574374</v>
      </c>
      <c r="D13" s="236">
        <v>1816.3467438409568</v>
      </c>
      <c r="E13" s="236">
        <v>1710.2564658737426</v>
      </c>
      <c r="F13" s="236">
        <v>1561.3903218898879</v>
      </c>
      <c r="G13" s="236">
        <v>1406.7396455437477</v>
      </c>
      <c r="H13" s="545">
        <v>1575.4865680237449</v>
      </c>
      <c r="I13" s="236">
        <v>1662.54681008026</v>
      </c>
      <c r="J13" s="236">
        <v>1641.3996561117092</v>
      </c>
      <c r="K13" s="236">
        <v>1582.6976686550106</v>
      </c>
      <c r="L13" s="236">
        <v>1774.7985762550638</v>
      </c>
      <c r="M13" s="236">
        <v>1725.6175306093587</v>
      </c>
      <c r="N13" s="236">
        <v>1661.2421619360932</v>
      </c>
      <c r="O13" s="236">
        <v>1616.1215885632221</v>
      </c>
      <c r="P13" s="236">
        <v>1648.7342125542368</v>
      </c>
      <c r="Q13" s="236">
        <v>1586.246406508157</v>
      </c>
      <c r="R13" s="236">
        <v>1586.9845810074471</v>
      </c>
      <c r="S13" s="236">
        <v>1473.4366812143192</v>
      </c>
      <c r="T13" s="236">
        <v>1428.9565402558628</v>
      </c>
      <c r="U13" s="236">
        <v>1432.1492780128815</v>
      </c>
      <c r="V13" s="236">
        <v>1409.1638857614612</v>
      </c>
      <c r="W13" s="236">
        <v>1305.6167652021311</v>
      </c>
    </row>
    <row r="14" spans="1:23">
      <c r="A14" s="2" t="s">
        <v>281</v>
      </c>
      <c r="B14" s="236">
        <v>3746.8379725719624</v>
      </c>
      <c r="C14" s="236">
        <v>2757.7085574311013</v>
      </c>
      <c r="D14" s="236">
        <v>2163.2596602879712</v>
      </c>
      <c r="E14" s="236">
        <v>2176.3870862086669</v>
      </c>
      <c r="F14" s="236">
        <v>2015.1518457304107</v>
      </c>
      <c r="G14" s="236">
        <v>1911.9312726470264</v>
      </c>
      <c r="H14" s="545">
        <v>1939.0982261722093</v>
      </c>
      <c r="I14" s="236">
        <v>2025.314211639002</v>
      </c>
      <c r="J14" s="236">
        <v>2066.0229090270077</v>
      </c>
      <c r="K14" s="236">
        <v>2094.2686836081798</v>
      </c>
      <c r="L14" s="236">
        <v>2268.881119190281</v>
      </c>
      <c r="M14" s="236">
        <v>2440.4551129110046</v>
      </c>
      <c r="N14" s="236">
        <v>2247.4272862619978</v>
      </c>
      <c r="O14" s="236">
        <v>2278.0699663248424</v>
      </c>
      <c r="P14" s="236">
        <v>2320.8873674648289</v>
      </c>
      <c r="Q14" s="236">
        <v>2334.3261886862178</v>
      </c>
      <c r="R14" s="236">
        <v>2445.6333375281997</v>
      </c>
      <c r="S14" s="236">
        <v>2370.1610789198539</v>
      </c>
      <c r="T14" s="236">
        <v>2371.4505207875782</v>
      </c>
      <c r="U14" s="236">
        <v>2317.1237393975721</v>
      </c>
      <c r="V14" s="236">
        <v>2294.9208347991134</v>
      </c>
      <c r="W14" s="236">
        <v>2251.8716834292009</v>
      </c>
    </row>
  </sheetData>
  <mergeCells count="1">
    <mergeCell ref="A1:G1"/>
  </mergeCells>
  <pageMargins left="0.7" right="0.7" top="0.75" bottom="0.75" header="0.3" footer="0.3"/>
  <pageSetup orientation="portrait" horizontalDpi="0" verticalDpi="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509C9-438A-144A-BEF7-9905C77A5908}">
  <sheetPr>
    <tabColor rgb="FFFFC000"/>
  </sheetPr>
  <dimension ref="A1:U13"/>
  <sheetViews>
    <sheetView zoomScale="130" zoomScaleNormal="130" workbookViewId="0">
      <pane xSplit="1" ySplit="2" topLeftCell="D3" activePane="bottomRight" state="frozen"/>
      <selection pane="topRight" activeCell="B1" sqref="B1"/>
      <selection pane="bottomLeft" activeCell="A3" sqref="A3"/>
      <selection pane="bottomRight" activeCell="D9" sqref="D9:O9"/>
    </sheetView>
  </sheetViews>
  <sheetFormatPr baseColWidth="10" defaultColWidth="10.83203125" defaultRowHeight="16"/>
  <cols>
    <col min="1" max="1" width="34.6640625" style="8" customWidth="1"/>
    <col min="2" max="16384" width="10.83203125" style="8"/>
  </cols>
  <sheetData>
    <row r="1" spans="1:21">
      <c r="A1" s="650" t="s">
        <v>1109</v>
      </c>
      <c r="B1" s="651"/>
      <c r="C1" s="651"/>
      <c r="D1" s="651"/>
      <c r="E1" s="651"/>
    </row>
    <row r="2" spans="1:21">
      <c r="A2" s="2"/>
      <c r="B2" s="31">
        <v>2001</v>
      </c>
      <c r="C2" s="31">
        <v>2004</v>
      </c>
      <c r="D2" s="126">
        <v>2008</v>
      </c>
      <c r="E2" s="126">
        <v>2010</v>
      </c>
      <c r="F2" s="126">
        <v>2012</v>
      </c>
      <c r="G2" s="126">
        <v>2014</v>
      </c>
      <c r="H2" s="31">
        <v>2016</v>
      </c>
      <c r="I2" s="126">
        <v>2018</v>
      </c>
      <c r="J2" s="126">
        <v>2019</v>
      </c>
      <c r="K2" s="17">
        <v>2020</v>
      </c>
      <c r="L2" s="17">
        <v>2021</v>
      </c>
      <c r="M2" s="17">
        <v>2022</v>
      </c>
      <c r="N2" s="17">
        <v>2023</v>
      </c>
      <c r="O2" s="17">
        <v>2024</v>
      </c>
    </row>
    <row r="3" spans="1:21">
      <c r="A3" s="70" t="s">
        <v>529</v>
      </c>
      <c r="B3" s="70">
        <v>226</v>
      </c>
      <c r="C3" s="70">
        <v>327</v>
      </c>
      <c r="D3" s="70">
        <v>323</v>
      </c>
      <c r="E3" s="70">
        <v>363</v>
      </c>
      <c r="F3" s="11">
        <v>340</v>
      </c>
      <c r="G3" s="11">
        <v>352</v>
      </c>
      <c r="H3" s="11">
        <v>267</v>
      </c>
      <c r="I3" s="11">
        <v>273</v>
      </c>
      <c r="J3" s="11">
        <v>321</v>
      </c>
      <c r="K3" s="2">
        <v>290</v>
      </c>
      <c r="L3" s="8">
        <v>268</v>
      </c>
      <c r="M3" s="8">
        <v>345</v>
      </c>
      <c r="N3" s="8">
        <v>440</v>
      </c>
      <c r="O3" s="8">
        <v>440</v>
      </c>
    </row>
    <row r="4" spans="1:21">
      <c r="A4" s="70" t="s">
        <v>530</v>
      </c>
      <c r="B4" s="70">
        <v>886</v>
      </c>
      <c r="C4" s="70">
        <v>1043</v>
      </c>
      <c r="D4" s="70">
        <v>1147</v>
      </c>
      <c r="E4" s="70">
        <v>1103</v>
      </c>
      <c r="F4" s="11">
        <v>1265</v>
      </c>
      <c r="G4" s="11">
        <v>1365</v>
      </c>
      <c r="H4" s="11">
        <v>1252</v>
      </c>
      <c r="I4" s="8">
        <v>1115</v>
      </c>
      <c r="J4" s="11">
        <v>1234</v>
      </c>
      <c r="K4" s="2">
        <v>1154</v>
      </c>
      <c r="L4" s="8">
        <v>1066</v>
      </c>
      <c r="M4" s="8">
        <v>1086</v>
      </c>
      <c r="N4" s="8">
        <v>1198</v>
      </c>
      <c r="O4" s="8">
        <v>1159</v>
      </c>
    </row>
    <row r="5" spans="1:21">
      <c r="A5" s="70" t="s">
        <v>531</v>
      </c>
      <c r="B5" s="70">
        <v>1758</v>
      </c>
      <c r="C5" s="125">
        <v>1696.3440562820811</v>
      </c>
      <c r="D5" s="125">
        <v>2128</v>
      </c>
      <c r="E5" s="125">
        <v>2040.9592003350008</v>
      </c>
      <c r="F5" s="67">
        <v>2671</v>
      </c>
      <c r="G5" s="67">
        <v>2418</v>
      </c>
      <c r="H5" s="67">
        <v>2669</v>
      </c>
      <c r="I5" s="67">
        <v>2691</v>
      </c>
      <c r="J5" s="11">
        <v>2959</v>
      </c>
      <c r="K5" s="2">
        <v>2832</v>
      </c>
      <c r="L5" s="8">
        <v>2484</v>
      </c>
      <c r="M5" s="8">
        <v>3515</v>
      </c>
      <c r="N5" s="8">
        <v>3721</v>
      </c>
      <c r="O5" s="8">
        <v>3247</v>
      </c>
    </row>
    <row r="6" spans="1:21">
      <c r="A6" s="70" t="s">
        <v>532</v>
      </c>
      <c r="B6" s="70">
        <v>1762</v>
      </c>
      <c r="C6" s="125">
        <v>1903.4999999999995</v>
      </c>
      <c r="D6" s="125">
        <v>1769.8999999999999</v>
      </c>
      <c r="E6" s="125">
        <v>1507.6000000000001</v>
      </c>
      <c r="F6" s="67">
        <v>1687</v>
      </c>
      <c r="G6" s="67">
        <v>1826</v>
      </c>
      <c r="H6" s="67">
        <v>2644</v>
      </c>
      <c r="I6" s="67">
        <v>4707</v>
      </c>
      <c r="J6" s="67">
        <v>4858</v>
      </c>
      <c r="K6" s="2">
        <v>5248</v>
      </c>
      <c r="L6" s="8">
        <v>5269</v>
      </c>
      <c r="M6" s="8">
        <v>6590</v>
      </c>
      <c r="N6" s="8">
        <v>6395</v>
      </c>
      <c r="O6" s="8">
        <v>4729</v>
      </c>
    </row>
    <row r="7" spans="1:21">
      <c r="A7" s="49" t="s">
        <v>42</v>
      </c>
      <c r="B7" s="124">
        <f t="shared" ref="B7:O7" si="0">SUM(B3:B6)</f>
        <v>4632</v>
      </c>
      <c r="C7" s="124">
        <f t="shared" si="0"/>
        <v>4969.8440562820806</v>
      </c>
      <c r="D7" s="124">
        <f t="shared" si="0"/>
        <v>5367.9</v>
      </c>
      <c r="E7" s="124">
        <f t="shared" si="0"/>
        <v>5014.5592003350012</v>
      </c>
      <c r="F7" s="124">
        <f t="shared" si="0"/>
        <v>5963</v>
      </c>
      <c r="G7" s="124">
        <f t="shared" si="0"/>
        <v>5961</v>
      </c>
      <c r="H7" s="124">
        <f t="shared" si="0"/>
        <v>6832</v>
      </c>
      <c r="I7" s="124">
        <f t="shared" si="0"/>
        <v>8786</v>
      </c>
      <c r="J7" s="124">
        <f t="shared" si="0"/>
        <v>9372</v>
      </c>
      <c r="K7" s="124">
        <f t="shared" si="0"/>
        <v>9524</v>
      </c>
      <c r="L7" s="124">
        <f t="shared" si="0"/>
        <v>9087</v>
      </c>
      <c r="M7" s="124">
        <f t="shared" si="0"/>
        <v>11536</v>
      </c>
      <c r="N7" s="124">
        <f t="shared" si="0"/>
        <v>11754</v>
      </c>
      <c r="O7" s="124">
        <f t="shared" si="0"/>
        <v>9575</v>
      </c>
    </row>
    <row r="8" spans="1:21" ht="51" customHeight="1">
      <c r="A8" s="643" t="s">
        <v>533</v>
      </c>
      <c r="B8" s="643"/>
      <c r="C8" s="643"/>
      <c r="D8" s="643"/>
      <c r="E8" s="643"/>
      <c r="F8" s="643"/>
      <c r="G8" s="643"/>
      <c r="H8" s="643"/>
      <c r="I8" s="643"/>
      <c r="J8" s="643"/>
      <c r="K8" s="643"/>
      <c r="L8" s="643"/>
      <c r="M8" s="643"/>
    </row>
    <row r="9" spans="1:21">
      <c r="B9" s="8">
        <f t="shared" ref="B9:C9" si="1">B3+B4+B5</f>
        <v>2870</v>
      </c>
      <c r="C9" s="8">
        <f t="shared" si="1"/>
        <v>3066.3440562820811</v>
      </c>
    </row>
    <row r="13" spans="1:21">
      <c r="U13" s="8">
        <f>20.4/1.5</f>
        <v>13.6</v>
      </c>
    </row>
  </sheetData>
  <mergeCells count="2">
    <mergeCell ref="A1:E1"/>
    <mergeCell ref="A8:M8"/>
  </mergeCells>
  <pageMargins left="0.7" right="0.7" top="0.75" bottom="0.75" header="0.3" footer="0.3"/>
  <pageSetup orientation="portrait" horizontalDpi="0" verticalDpi="0"/>
  <ignoredErrors>
    <ignoredError sqref="B7:N7" formulaRange="1"/>
  </ignoredError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8C789-1C2F-4149-B9B2-F7E4B8BFE002}">
  <sheetPr>
    <tabColor rgb="FFFFFF00"/>
  </sheetPr>
  <dimension ref="A1:X5"/>
  <sheetViews>
    <sheetView zoomScale="145" zoomScaleNormal="145" workbookViewId="0">
      <pane xSplit="1" ySplit="2" topLeftCell="B3" activePane="bottomRight" state="frozen"/>
      <selection pane="topRight" activeCell="B1" sqref="B1"/>
      <selection pane="bottomLeft" activeCell="A3" sqref="A3"/>
      <selection pane="bottomRight" activeCell="X5" sqref="X5"/>
    </sheetView>
  </sheetViews>
  <sheetFormatPr baseColWidth="10" defaultColWidth="11" defaultRowHeight="16"/>
  <cols>
    <col min="1" max="2" width="20" customWidth="1"/>
  </cols>
  <sheetData>
    <row r="1" spans="1:24">
      <c r="A1" s="652" t="s">
        <v>1110</v>
      </c>
      <c r="B1" s="652"/>
      <c r="C1" s="652"/>
      <c r="D1" s="652"/>
      <c r="E1" s="652"/>
      <c r="F1" s="652"/>
      <c r="G1" s="652"/>
      <c r="H1" s="652"/>
      <c r="I1" s="652"/>
      <c r="J1" s="652"/>
      <c r="K1" s="652"/>
      <c r="L1" s="652"/>
    </row>
    <row r="2" spans="1:24">
      <c r="A2" s="28"/>
      <c r="B2" s="123">
        <v>1984</v>
      </c>
      <c r="C2" s="123">
        <v>1988</v>
      </c>
      <c r="D2" s="123">
        <v>1992</v>
      </c>
      <c r="E2" s="123">
        <v>1996</v>
      </c>
      <c r="F2" s="123">
        <v>2000</v>
      </c>
      <c r="G2" s="123">
        <v>2004</v>
      </c>
      <c r="H2" s="123">
        <v>2008</v>
      </c>
      <c r="I2" s="123">
        <v>2010</v>
      </c>
      <c r="J2" s="123">
        <v>2011</v>
      </c>
      <c r="K2" s="123">
        <v>2012</v>
      </c>
      <c r="L2" s="123">
        <v>2013</v>
      </c>
      <c r="M2" s="123">
        <v>2014</v>
      </c>
      <c r="N2" s="123">
        <v>2015</v>
      </c>
      <c r="O2" s="123">
        <v>2016</v>
      </c>
      <c r="P2" s="123">
        <v>2017</v>
      </c>
      <c r="Q2" s="123">
        <v>2018</v>
      </c>
      <c r="R2" s="123">
        <v>2019</v>
      </c>
      <c r="S2" s="123">
        <v>2020</v>
      </c>
      <c r="T2" s="123">
        <v>2021</v>
      </c>
      <c r="U2" s="80">
        <v>2022</v>
      </c>
      <c r="V2" s="80">
        <v>2023</v>
      </c>
      <c r="W2" s="123">
        <v>2024</v>
      </c>
    </row>
    <row r="3" spans="1:24">
      <c r="A3" s="28" t="s">
        <v>534</v>
      </c>
      <c r="B3" s="128">
        <v>0.58820647173469187</v>
      </c>
      <c r="C3" s="128">
        <v>0.64401383158867365</v>
      </c>
      <c r="D3" s="128">
        <v>0.67267706667686777</v>
      </c>
      <c r="E3" s="128">
        <v>0.63768665240883116</v>
      </c>
      <c r="F3" s="128">
        <v>0.65847443672695372</v>
      </c>
      <c r="G3" s="128">
        <v>0.57600023444881188</v>
      </c>
      <c r="H3" s="128">
        <v>0.55995554512596768</v>
      </c>
      <c r="I3" s="128">
        <v>0.52796259349429142</v>
      </c>
      <c r="J3" s="128">
        <v>0.52262404415569486</v>
      </c>
      <c r="K3" s="128">
        <v>0.49199704718150628</v>
      </c>
      <c r="L3" s="128">
        <v>0.47587630965491218</v>
      </c>
      <c r="M3" s="128">
        <v>0.45360255886300255</v>
      </c>
      <c r="N3" s="128">
        <v>0.4308734811023357</v>
      </c>
      <c r="O3" s="128">
        <v>0.41090225563909771</v>
      </c>
      <c r="P3" s="128">
        <v>0.38419934319691573</v>
      </c>
      <c r="Q3" s="128">
        <v>0.3588588068678687</v>
      </c>
      <c r="R3" s="128">
        <v>0.33423313023856982</v>
      </c>
      <c r="S3" s="128">
        <v>0.28585572191648262</v>
      </c>
      <c r="T3" s="128">
        <v>0.29683631054468407</v>
      </c>
      <c r="U3" s="128">
        <v>0.29377890840681103</v>
      </c>
      <c r="V3" s="128">
        <v>0.26175486042857909</v>
      </c>
      <c r="W3" s="561">
        <v>0.25118818395751435</v>
      </c>
    </row>
    <row r="4" spans="1:24">
      <c r="A4" s="28" t="s">
        <v>535</v>
      </c>
      <c r="B4" s="128">
        <v>3.4424833062159273E-2</v>
      </c>
      <c r="C4" s="128">
        <v>3.9851000620094293E-2</v>
      </c>
      <c r="D4" s="128">
        <v>8.6169190161049708E-2</v>
      </c>
      <c r="E4" s="128">
        <v>0.13031386505701759</v>
      </c>
      <c r="F4" s="128">
        <v>0.17941531046231773</v>
      </c>
      <c r="G4" s="128">
        <v>0.27468871205895951</v>
      </c>
      <c r="H4" s="128">
        <v>0.31625981722353885</v>
      </c>
      <c r="I4" s="128">
        <v>0.34597209160609493</v>
      </c>
      <c r="J4" s="128">
        <v>0.36084565088237225</v>
      </c>
      <c r="K4" s="128">
        <v>0.39219987532125877</v>
      </c>
      <c r="L4" s="128">
        <v>0.41305609702351581</v>
      </c>
      <c r="M4" s="128">
        <v>0.44465143742659446</v>
      </c>
      <c r="N4" s="128">
        <v>0.46995619772414671</v>
      </c>
      <c r="O4" s="128">
        <v>0.48731077694235592</v>
      </c>
      <c r="P4" s="128">
        <v>0.51695513272071314</v>
      </c>
      <c r="Q4" s="128">
        <v>0.53715208770465039</v>
      </c>
      <c r="R4" s="128">
        <v>0.57117258380783031</v>
      </c>
      <c r="S4" s="128">
        <v>0.62021591624716832</v>
      </c>
      <c r="T4" s="128">
        <v>0.6097763090571594</v>
      </c>
      <c r="U4" s="128">
        <v>0.62346688691831109</v>
      </c>
      <c r="V4" s="128">
        <v>0.65491529793537051</v>
      </c>
      <c r="W4" s="561">
        <v>0.66074578860408117</v>
      </c>
    </row>
    <row r="5" spans="1:24">
      <c r="A5" s="28" t="s">
        <v>536</v>
      </c>
      <c r="B5" s="128">
        <v>0.37736869520314875</v>
      </c>
      <c r="C5" s="128">
        <v>0.31613516779123191</v>
      </c>
      <c r="D5" s="128">
        <v>0.24115374316208255</v>
      </c>
      <c r="E5" s="128">
        <v>0.23199948253415137</v>
      </c>
      <c r="F5" s="128">
        <v>0.16211025281072866</v>
      </c>
      <c r="G5" s="128">
        <v>0.14931105349222865</v>
      </c>
      <c r="H5" s="128">
        <v>0.1237846376504935</v>
      </c>
      <c r="I5" s="128">
        <v>0.12606531489961359</v>
      </c>
      <c r="J5" s="128">
        <v>0.11653030496193288</v>
      </c>
      <c r="K5" s="128">
        <v>0.11580307749723492</v>
      </c>
      <c r="L5" s="128">
        <v>0.11106759332157205</v>
      </c>
      <c r="M5" s="128">
        <v>0.10174600371040292</v>
      </c>
      <c r="N5" s="128">
        <v>9.9170321173517623E-2</v>
      </c>
      <c r="O5" s="128">
        <v>0.10178696741854636</v>
      </c>
      <c r="P5" s="128">
        <v>9.8845524082371128E-2</v>
      </c>
      <c r="Q5" s="128">
        <v>0.10398910542748085</v>
      </c>
      <c r="R5" s="128">
        <v>9.4594285953599991E-2</v>
      </c>
      <c r="S5" s="128">
        <v>9.3928361836349103E-2</v>
      </c>
      <c r="T5" s="128">
        <v>9.3387380398156611E-2</v>
      </c>
      <c r="U5" s="128">
        <v>8.2754204674877888E-2</v>
      </c>
      <c r="V5" s="128">
        <v>8.3329841636050242E-2</v>
      </c>
      <c r="W5" s="561">
        <v>8.8066027438404582E-2</v>
      </c>
      <c r="X5" s="255">
        <f>B5/W5</f>
        <v>4.2850654921057858</v>
      </c>
    </row>
  </sheetData>
  <mergeCells count="1">
    <mergeCell ref="A1:L1"/>
  </mergeCells>
  <pageMargins left="0.7" right="0.7" top="0.75" bottom="0.75" header="0.3" footer="0.3"/>
  <pageSetup orientation="portrait"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4B6858-2E20-49D2-9EF2-821108A74E06}">
  <dimension ref="A1:Q84"/>
  <sheetViews>
    <sheetView zoomScale="60" zoomScaleNormal="115" workbookViewId="0">
      <pane xSplit="2" ySplit="2" topLeftCell="C3" activePane="bottomRight" state="frozen"/>
      <selection pane="topRight" activeCell="C1" sqref="C1"/>
      <selection pane="bottomLeft" activeCell="A3" sqref="A3"/>
      <selection pane="bottomRight" activeCell="F54" sqref="F54"/>
    </sheetView>
  </sheetViews>
  <sheetFormatPr baseColWidth="10" defaultColWidth="11" defaultRowHeight="16"/>
  <cols>
    <col min="1" max="2" width="18.83203125" customWidth="1"/>
    <col min="3" max="3" width="14.83203125" customWidth="1"/>
    <col min="4" max="5" width="17.1640625" customWidth="1"/>
    <col min="6" max="6" width="12" customWidth="1"/>
    <col min="7" max="7" width="11.33203125" customWidth="1"/>
    <col min="8" max="8" width="10" customWidth="1"/>
    <col min="9" max="9" width="15.83203125" customWidth="1"/>
    <col min="10" max="10" width="14" customWidth="1"/>
    <col min="11" max="11" width="17.33203125" customWidth="1"/>
    <col min="12" max="12" width="10.33203125" customWidth="1"/>
    <col min="13" max="13" width="19" customWidth="1"/>
    <col min="14" max="14" width="14.6640625" customWidth="1"/>
    <col min="15" max="15" width="13.5" customWidth="1"/>
    <col min="16" max="16" width="10" bestFit="1" customWidth="1"/>
    <col min="17" max="17" width="12.83203125" bestFit="1" customWidth="1"/>
    <col min="18" max="18" width="14.33203125" customWidth="1"/>
    <col min="19" max="19" width="14" bestFit="1" customWidth="1"/>
    <col min="20" max="20" width="13.1640625" customWidth="1"/>
    <col min="21" max="21" width="34.1640625" bestFit="1" customWidth="1"/>
    <col min="22" max="22" width="31" bestFit="1" customWidth="1"/>
    <col min="23" max="23" width="34.1640625" bestFit="1" customWidth="1"/>
    <col min="24" max="24" width="31" bestFit="1" customWidth="1"/>
    <col min="25" max="25" width="34.1640625" bestFit="1" customWidth="1"/>
    <col min="26" max="26" width="31" bestFit="1" customWidth="1"/>
    <col min="27" max="27" width="34.1640625" bestFit="1" customWidth="1"/>
    <col min="28" max="28" width="31" bestFit="1" customWidth="1"/>
    <col min="29" max="29" width="38.83203125" bestFit="1" customWidth="1"/>
    <col min="30" max="30" width="35.6640625" bestFit="1" customWidth="1"/>
  </cols>
  <sheetData>
    <row r="1" spans="1:17" ht="19" customHeight="1">
      <c r="A1" s="627" t="s">
        <v>1005</v>
      </c>
      <c r="B1" s="627"/>
      <c r="C1" s="627"/>
      <c r="D1" s="627"/>
      <c r="E1" s="627"/>
      <c r="F1" s="627"/>
      <c r="G1" s="627"/>
      <c r="H1" s="627"/>
      <c r="I1" s="627"/>
      <c r="J1" s="627"/>
      <c r="K1" s="627"/>
    </row>
    <row r="2" spans="1:17">
      <c r="C2" t="s">
        <v>76</v>
      </c>
      <c r="D2" t="s">
        <v>77</v>
      </c>
      <c r="E2" t="s">
        <v>78</v>
      </c>
      <c r="F2" t="s">
        <v>79</v>
      </c>
      <c r="G2" t="s">
        <v>80</v>
      </c>
      <c r="H2" t="s">
        <v>81</v>
      </c>
      <c r="I2" t="s">
        <v>82</v>
      </c>
      <c r="J2" t="s">
        <v>83</v>
      </c>
      <c r="K2" t="s">
        <v>84</v>
      </c>
      <c r="L2" t="s">
        <v>85</v>
      </c>
      <c r="M2" t="s">
        <v>21</v>
      </c>
      <c r="N2" t="s">
        <v>28</v>
      </c>
      <c r="O2" t="s">
        <v>26</v>
      </c>
      <c r="P2" t="s">
        <v>86</v>
      </c>
      <c r="Q2" t="s">
        <v>67</v>
      </c>
    </row>
    <row r="3" spans="1:17">
      <c r="A3">
        <v>1</v>
      </c>
      <c r="B3" t="s">
        <v>88</v>
      </c>
      <c r="C3">
        <v>5767.6691404406447</v>
      </c>
      <c r="D3">
        <v>9864</v>
      </c>
      <c r="E3">
        <v>4070.4358595593558</v>
      </c>
      <c r="F3">
        <v>1833.37</v>
      </c>
      <c r="G3">
        <v>524.66399999999999</v>
      </c>
      <c r="H3">
        <v>1390.1467600000001</v>
      </c>
      <c r="I3">
        <v>712.34</v>
      </c>
      <c r="K3">
        <v>213.82100000000003</v>
      </c>
      <c r="N3">
        <v>4.6091520796679344</v>
      </c>
      <c r="O3">
        <v>113.43883269867213</v>
      </c>
      <c r="Q3">
        <f t="shared" ref="Q3:Q38" si="0">SUM(C3:P3)</f>
        <v>24494.494744778342</v>
      </c>
    </row>
    <row r="4" spans="1:17">
      <c r="A4">
        <v>2</v>
      </c>
      <c r="B4" t="s">
        <v>89</v>
      </c>
      <c r="C4">
        <v>1983.8966490984694</v>
      </c>
      <c r="D4">
        <v>10595</v>
      </c>
      <c r="E4">
        <v>3842.9083509015309</v>
      </c>
      <c r="F4">
        <v>2049.1990000000001</v>
      </c>
      <c r="G4">
        <v>183.91800000000001</v>
      </c>
      <c r="H4">
        <v>942.29114271239996</v>
      </c>
      <c r="I4">
        <v>421.08</v>
      </c>
      <c r="K4">
        <v>133.08000000000001</v>
      </c>
      <c r="O4">
        <v>64.319999999999993</v>
      </c>
      <c r="Q4">
        <f t="shared" si="0"/>
        <v>20215.693142712407</v>
      </c>
    </row>
    <row r="5" spans="1:17">
      <c r="A5">
        <v>3</v>
      </c>
      <c r="B5" t="s">
        <v>90</v>
      </c>
      <c r="C5">
        <v>4922.816150764842</v>
      </c>
      <c r="D5">
        <v>9355</v>
      </c>
      <c r="E5">
        <v>2466.6818492351581</v>
      </c>
      <c r="F5">
        <v>838.50199999999995</v>
      </c>
      <c r="Q5">
        <f t="shared" si="0"/>
        <v>17583</v>
      </c>
    </row>
    <row r="6" spans="1:17">
      <c r="A6">
        <v>4</v>
      </c>
      <c r="B6" t="s">
        <v>91</v>
      </c>
      <c r="I6">
        <v>301.6400000000001</v>
      </c>
      <c r="J6">
        <v>217.18</v>
      </c>
      <c r="L6">
        <v>179.09</v>
      </c>
      <c r="O6">
        <v>9034.5706489151489</v>
      </c>
      <c r="P6">
        <v>248.5</v>
      </c>
      <c r="Q6">
        <f t="shared" si="0"/>
        <v>9980.9806489151488</v>
      </c>
    </row>
    <row r="7" spans="1:17">
      <c r="A7">
        <v>5</v>
      </c>
      <c r="B7" t="s">
        <v>92</v>
      </c>
      <c r="C7">
        <v>248.9</v>
      </c>
      <c r="D7">
        <v>2355.1</v>
      </c>
      <c r="E7">
        <v>1250</v>
      </c>
      <c r="F7">
        <v>779.4</v>
      </c>
      <c r="G7">
        <v>159.99700000000001</v>
      </c>
      <c r="H7">
        <v>199.46</v>
      </c>
      <c r="I7">
        <v>71.3</v>
      </c>
      <c r="M7">
        <v>135.08500000000001</v>
      </c>
      <c r="N7">
        <v>33.286000000000001</v>
      </c>
      <c r="O7">
        <v>73.209999999999994</v>
      </c>
      <c r="Q7">
        <f t="shared" si="0"/>
        <v>5305.7380000000003</v>
      </c>
    </row>
    <row r="8" spans="1:17">
      <c r="A8">
        <v>6</v>
      </c>
      <c r="B8" t="s">
        <v>93</v>
      </c>
      <c r="O8">
        <v>4762.7945999999993</v>
      </c>
      <c r="Q8">
        <f t="shared" si="0"/>
        <v>4762.7945999999993</v>
      </c>
    </row>
    <row r="9" spans="1:17">
      <c r="A9">
        <v>7</v>
      </c>
      <c r="B9" t="s">
        <v>94</v>
      </c>
      <c r="I9">
        <v>78.128598010928826</v>
      </c>
      <c r="L9">
        <v>132.84765107234495</v>
      </c>
      <c r="O9">
        <v>2691.012085891557</v>
      </c>
      <c r="Q9">
        <f t="shared" si="0"/>
        <v>2901.9883349748307</v>
      </c>
    </row>
    <row r="10" spans="1:17">
      <c r="A10">
        <v>8</v>
      </c>
      <c r="B10" t="s">
        <v>95</v>
      </c>
      <c r="G10">
        <v>1165.57</v>
      </c>
      <c r="H10">
        <v>156.5</v>
      </c>
      <c r="I10">
        <v>24.6</v>
      </c>
      <c r="K10">
        <v>415.3</v>
      </c>
      <c r="O10">
        <v>75.3</v>
      </c>
      <c r="Q10">
        <f t="shared" si="0"/>
        <v>1837.2699999999998</v>
      </c>
    </row>
    <row r="11" spans="1:17">
      <c r="A11">
        <v>10</v>
      </c>
      <c r="B11" t="s">
        <v>97</v>
      </c>
      <c r="I11">
        <v>1756.5672</v>
      </c>
      <c r="Q11">
        <f t="shared" si="0"/>
        <v>1756.5672</v>
      </c>
    </row>
    <row r="12" spans="1:17">
      <c r="A12">
        <v>11</v>
      </c>
      <c r="B12" t="s">
        <v>96</v>
      </c>
      <c r="C12">
        <v>245.56510683071838</v>
      </c>
      <c r="E12">
        <v>813.41089316928174</v>
      </c>
      <c r="F12">
        <v>451.43099999999998</v>
      </c>
      <c r="K12">
        <v>82.948999999999998</v>
      </c>
      <c r="Q12">
        <f t="shared" si="0"/>
        <v>1593.3560000000002</v>
      </c>
    </row>
    <row r="13" spans="1:17">
      <c r="A13">
        <v>12</v>
      </c>
      <c r="B13" t="s">
        <v>98</v>
      </c>
      <c r="C13">
        <v>228.29</v>
      </c>
      <c r="D13">
        <v>674.97199999999998</v>
      </c>
      <c r="E13">
        <v>318.78300000000002</v>
      </c>
      <c r="F13">
        <v>98.131</v>
      </c>
      <c r="Q13">
        <f t="shared" si="0"/>
        <v>1320.1760000000002</v>
      </c>
    </row>
    <row r="14" spans="1:17">
      <c r="A14">
        <v>13</v>
      </c>
      <c r="B14" t="s">
        <v>99</v>
      </c>
      <c r="I14">
        <v>229.1</v>
      </c>
      <c r="J14">
        <v>575.59408527642495</v>
      </c>
      <c r="L14">
        <v>153.03015356076983</v>
      </c>
      <c r="P14">
        <v>299.02432899873406</v>
      </c>
      <c r="Q14">
        <f t="shared" si="0"/>
        <v>1256.748567835929</v>
      </c>
    </row>
    <row r="15" spans="1:17">
      <c r="A15">
        <v>14</v>
      </c>
      <c r="B15" t="s">
        <v>101</v>
      </c>
      <c r="J15">
        <v>766.66561869999759</v>
      </c>
      <c r="O15">
        <v>412.84746291494173</v>
      </c>
      <c r="Q15">
        <f t="shared" si="0"/>
        <v>1179.5130816149394</v>
      </c>
    </row>
    <row r="16" spans="1:17">
      <c r="A16">
        <v>15</v>
      </c>
      <c r="B16" t="s">
        <v>100</v>
      </c>
      <c r="C16">
        <v>85.28</v>
      </c>
      <c r="D16">
        <v>230.49</v>
      </c>
      <c r="E16">
        <v>550.4844794044335</v>
      </c>
      <c r="F16">
        <v>241.97</v>
      </c>
      <c r="Q16">
        <f t="shared" si="0"/>
        <v>1108.2244794044334</v>
      </c>
    </row>
    <row r="17" spans="1:17" ht="17" customHeight="1">
      <c r="A17">
        <v>16</v>
      </c>
      <c r="B17" t="s">
        <v>168</v>
      </c>
      <c r="G17">
        <v>258.25799999999998</v>
      </c>
      <c r="H17">
        <v>565.08000000000004</v>
      </c>
      <c r="I17">
        <v>137.1</v>
      </c>
      <c r="K17">
        <v>69.757999999999996</v>
      </c>
      <c r="O17">
        <v>55.23</v>
      </c>
      <c r="Q17">
        <f t="shared" si="0"/>
        <v>1085.4259999999999</v>
      </c>
    </row>
    <row r="18" spans="1:17">
      <c r="A18">
        <v>9</v>
      </c>
      <c r="B18" t="s">
        <v>102</v>
      </c>
      <c r="L18">
        <v>1055.7221290000314</v>
      </c>
      <c r="Q18">
        <f t="shared" si="0"/>
        <v>1055.7221290000314</v>
      </c>
    </row>
    <row r="19" spans="1:17">
      <c r="A19">
        <v>17</v>
      </c>
      <c r="B19" t="s">
        <v>109</v>
      </c>
      <c r="E19">
        <v>856.8</v>
      </c>
      <c r="O19">
        <v>61.6</v>
      </c>
      <c r="Q19">
        <f t="shared" si="0"/>
        <v>918.4</v>
      </c>
    </row>
    <row r="20" spans="1:17">
      <c r="A20">
        <v>18</v>
      </c>
      <c r="B20" t="s">
        <v>103</v>
      </c>
      <c r="J20">
        <v>559.68132582502142</v>
      </c>
      <c r="L20">
        <v>259.5</v>
      </c>
      <c r="Q20">
        <f t="shared" si="0"/>
        <v>819.18132582502142</v>
      </c>
    </row>
    <row r="21" spans="1:17">
      <c r="A21">
        <v>19</v>
      </c>
      <c r="B21" t="s">
        <v>105</v>
      </c>
      <c r="I21">
        <v>685.33</v>
      </c>
      <c r="Q21">
        <f t="shared" si="0"/>
        <v>685.33</v>
      </c>
    </row>
    <row r="22" spans="1:17">
      <c r="A22">
        <v>20</v>
      </c>
      <c r="B22" t="s">
        <v>106</v>
      </c>
      <c r="L22">
        <v>569.68030503652665</v>
      </c>
      <c r="O22">
        <v>67.39</v>
      </c>
      <c r="Q22">
        <f t="shared" si="0"/>
        <v>637.07030503652663</v>
      </c>
    </row>
    <row r="23" spans="1:17">
      <c r="A23">
        <v>21</v>
      </c>
      <c r="B23" t="s">
        <v>108</v>
      </c>
      <c r="O23">
        <v>539.36</v>
      </c>
      <c r="Q23">
        <f t="shared" si="0"/>
        <v>539.36</v>
      </c>
    </row>
    <row r="24" spans="1:17">
      <c r="A24">
        <v>22</v>
      </c>
      <c r="B24" t="s">
        <v>107</v>
      </c>
      <c r="K24">
        <v>452.08</v>
      </c>
      <c r="Q24">
        <f t="shared" si="0"/>
        <v>452.08</v>
      </c>
    </row>
    <row r="25" spans="1:17">
      <c r="A25">
        <v>23</v>
      </c>
      <c r="B25" t="s">
        <v>104</v>
      </c>
      <c r="M25">
        <v>344.91</v>
      </c>
      <c r="N25">
        <v>1.8164982411626227</v>
      </c>
      <c r="O25">
        <v>63.5</v>
      </c>
      <c r="Q25">
        <f t="shared" si="0"/>
        <v>410.22649824116263</v>
      </c>
    </row>
    <row r="26" spans="1:17">
      <c r="A26">
        <v>24</v>
      </c>
      <c r="B26" t="s">
        <v>110</v>
      </c>
      <c r="L26">
        <v>403.17</v>
      </c>
      <c r="Q26">
        <f t="shared" si="0"/>
        <v>403.17</v>
      </c>
    </row>
    <row r="27" spans="1:17">
      <c r="A27">
        <v>25</v>
      </c>
      <c r="B27" t="s">
        <v>512</v>
      </c>
      <c r="I27">
        <v>352.87700000000001</v>
      </c>
      <c r="Q27">
        <f t="shared" si="0"/>
        <v>352.87700000000001</v>
      </c>
    </row>
    <row r="28" spans="1:17">
      <c r="A28">
        <v>26</v>
      </c>
      <c r="B28" t="s">
        <v>112</v>
      </c>
      <c r="J28">
        <v>348.81128591446628</v>
      </c>
      <c r="Q28">
        <f t="shared" si="0"/>
        <v>348.81128591446628</v>
      </c>
    </row>
    <row r="29" spans="1:17">
      <c r="A29">
        <v>27</v>
      </c>
      <c r="B29" t="s">
        <v>572</v>
      </c>
      <c r="J29">
        <v>318.83</v>
      </c>
      <c r="Q29">
        <f t="shared" si="0"/>
        <v>318.83</v>
      </c>
    </row>
    <row r="30" spans="1:17">
      <c r="A30">
        <v>28</v>
      </c>
      <c r="B30" t="s">
        <v>114</v>
      </c>
      <c r="J30">
        <v>282.07419557995502</v>
      </c>
      <c r="Q30">
        <f t="shared" si="0"/>
        <v>282.07419557995502</v>
      </c>
    </row>
    <row r="31" spans="1:17">
      <c r="A31">
        <v>29</v>
      </c>
      <c r="B31" t="s">
        <v>116</v>
      </c>
      <c r="E31">
        <v>259.25400000000002</v>
      </c>
      <c r="Q31">
        <f t="shared" si="0"/>
        <v>259.25400000000002</v>
      </c>
    </row>
    <row r="32" spans="1:17">
      <c r="A32">
        <v>30</v>
      </c>
      <c r="B32" t="s">
        <v>934</v>
      </c>
      <c r="I32">
        <v>44.73</v>
      </c>
      <c r="L32">
        <v>213.83</v>
      </c>
      <c r="Q32">
        <f t="shared" si="0"/>
        <v>258.56</v>
      </c>
    </row>
    <row r="33" spans="1:17">
      <c r="A33">
        <v>31</v>
      </c>
      <c r="B33" t="s">
        <v>115</v>
      </c>
      <c r="J33">
        <v>255.90627691008976</v>
      </c>
      <c r="Q33">
        <f t="shared" si="0"/>
        <v>255.90627691008976</v>
      </c>
    </row>
    <row r="34" spans="1:17">
      <c r="A34">
        <v>32</v>
      </c>
      <c r="B34" t="s">
        <v>117</v>
      </c>
      <c r="M34">
        <v>207.86</v>
      </c>
      <c r="N34">
        <v>3.2849757917176112</v>
      </c>
      <c r="O34">
        <v>38.82</v>
      </c>
      <c r="Q34">
        <f t="shared" si="0"/>
        <v>249.96497579171762</v>
      </c>
    </row>
    <row r="35" spans="1:17">
      <c r="A35">
        <v>33</v>
      </c>
      <c r="B35" t="s">
        <v>118</v>
      </c>
      <c r="C35">
        <v>26.56</v>
      </c>
      <c r="D35">
        <v>151.94</v>
      </c>
      <c r="E35">
        <v>69.328000000000003</v>
      </c>
      <c r="Q35">
        <f t="shared" si="0"/>
        <v>247.828</v>
      </c>
    </row>
    <row r="36" spans="1:17">
      <c r="A36">
        <v>34</v>
      </c>
      <c r="B36" t="s">
        <v>981</v>
      </c>
      <c r="M36">
        <v>188.46</v>
      </c>
      <c r="O36">
        <v>50.51</v>
      </c>
      <c r="Q36">
        <f t="shared" si="0"/>
        <v>238.97</v>
      </c>
    </row>
    <row r="37" spans="1:17">
      <c r="A37">
        <v>35</v>
      </c>
      <c r="B37" t="s">
        <v>565</v>
      </c>
      <c r="J37">
        <v>233.7</v>
      </c>
      <c r="Q37">
        <f t="shared" si="0"/>
        <v>233.7</v>
      </c>
    </row>
    <row r="38" spans="1:17">
      <c r="A38">
        <v>36</v>
      </c>
      <c r="B38" t="s">
        <v>488</v>
      </c>
      <c r="H38">
        <v>31.7</v>
      </c>
      <c r="K38">
        <v>184.4</v>
      </c>
      <c r="Q38">
        <f t="shared" si="0"/>
        <v>216.1</v>
      </c>
    </row>
    <row r="39" spans="1:17">
      <c r="B39" t="s">
        <v>121</v>
      </c>
      <c r="H39">
        <v>299.86</v>
      </c>
      <c r="J39">
        <v>363.1</v>
      </c>
      <c r="K39">
        <v>158.91</v>
      </c>
      <c r="L39">
        <v>189.71976133032695</v>
      </c>
      <c r="Q39">
        <f>P40-SUM(Q3,Q4,Q5,Q6,Q8,Q10,Q7:Q38)</f>
        <v>-111617.9246322149</v>
      </c>
    </row>
    <row r="40" spans="1:17">
      <c r="A40" t="s">
        <v>122</v>
      </c>
      <c r="C40">
        <v>13822.149947134676</v>
      </c>
      <c r="D40">
        <v>33230</v>
      </c>
      <c r="E40">
        <v>15962</v>
      </c>
      <c r="F40">
        <v>6443.8580000000002</v>
      </c>
      <c r="G40">
        <v>2510.9</v>
      </c>
      <c r="H40">
        <v>3764.067</v>
      </c>
      <c r="I40">
        <v>4814.7927980109298</v>
      </c>
      <c r="J40">
        <v>4614.9742983774595</v>
      </c>
      <c r="K40">
        <v>2017.0687558415841</v>
      </c>
      <c r="L40">
        <v>3156.59</v>
      </c>
      <c r="M40">
        <v>1900.457346203619</v>
      </c>
      <c r="N40">
        <v>775.96034399999996</v>
      </c>
      <c r="O40">
        <v>18437.693735673252</v>
      </c>
      <c r="P40">
        <v>547.52676032008821</v>
      </c>
      <c r="Q40">
        <f>SUM(C40:P40)</f>
        <v>111998.03898556159</v>
      </c>
    </row>
    <row r="41" spans="1:17">
      <c r="A41" t="s">
        <v>123</v>
      </c>
      <c r="Q41">
        <v>21.870467524825223</v>
      </c>
    </row>
    <row r="42" spans="1:17">
      <c r="A42" t="s">
        <v>124</v>
      </c>
      <c r="Q42">
        <v>64.531637509941788</v>
      </c>
    </row>
    <row r="43" spans="1:17">
      <c r="A43" t="s">
        <v>125</v>
      </c>
      <c r="Q43">
        <v>80.744166139407923</v>
      </c>
    </row>
    <row r="44" spans="1:17">
      <c r="A44" t="s">
        <v>126</v>
      </c>
      <c r="Q44">
        <v>44.657858602273059</v>
      </c>
    </row>
    <row r="45" spans="1:17">
      <c r="A45" t="s">
        <v>127</v>
      </c>
      <c r="Q45">
        <v>23.570218362055449</v>
      </c>
    </row>
    <row r="46" spans="1:17">
      <c r="A46" t="s">
        <v>1006</v>
      </c>
      <c r="Q46">
        <v>94.256459977968149</v>
      </c>
    </row>
    <row r="47" spans="1:17">
      <c r="A47" t="s">
        <v>128</v>
      </c>
      <c r="Q47">
        <v>1194.2802715889284</v>
      </c>
    </row>
    <row r="48" spans="1:17">
      <c r="A48" t="s">
        <v>129</v>
      </c>
      <c r="Q48">
        <v>2478.9183696222444</v>
      </c>
    </row>
    <row r="49" customFormat="1"/>
    <row r="50" customFormat="1"/>
    <row r="51" customFormat="1"/>
    <row r="52" customFormat="1"/>
    <row r="53" customFormat="1"/>
    <row r="54" customFormat="1"/>
    <row r="55" customFormat="1"/>
    <row r="56" customFormat="1"/>
    <row r="57" customFormat="1"/>
    <row r="58" customFormat="1"/>
    <row r="59" customFormat="1"/>
    <row r="60" customFormat="1"/>
    <row r="61" customFormat="1"/>
    <row r="62" customFormat="1"/>
    <row r="63" customFormat="1"/>
    <row r="64" customFormat="1"/>
    <row r="65" customFormat="1"/>
    <row r="66" customFormat="1"/>
    <row r="67" customFormat="1"/>
    <row r="68" customFormat="1"/>
    <row r="69" customFormat="1"/>
    <row r="70" customFormat="1"/>
    <row r="71" customFormat="1"/>
    <row r="72" customFormat="1"/>
    <row r="73" customFormat="1"/>
    <row r="74" customFormat="1"/>
    <row r="75" customFormat="1"/>
    <row r="76" customFormat="1"/>
    <row r="77" customFormat="1"/>
    <row r="78" customFormat="1"/>
    <row r="79" customFormat="1"/>
    <row r="80" customFormat="1"/>
    <row r="81" customFormat="1"/>
    <row r="82" customFormat="1"/>
    <row r="83" customFormat="1"/>
    <row r="84" customFormat="1"/>
  </sheetData>
  <mergeCells count="1">
    <mergeCell ref="A1:K1"/>
  </mergeCells>
  <pageMargins left="0.7" right="0.7" top="0.75" bottom="0.75" header="0.3" footer="0.3"/>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BDA94C-B7EB-524E-8D65-D567E1599351}">
  <sheetPr>
    <tabColor rgb="FFFFC000"/>
  </sheetPr>
  <dimension ref="A1:AD21"/>
  <sheetViews>
    <sheetView showGridLines="0" zoomScale="120" zoomScaleNormal="120" workbookViewId="0">
      <pane xSplit="1" ySplit="2" topLeftCell="B3" activePane="bottomRight" state="frozen"/>
      <selection pane="topRight" activeCell="B1" sqref="B1"/>
      <selection pane="bottomLeft" activeCell="A3" sqref="A3"/>
      <selection pane="bottomRight" activeCell="Z21" sqref="Z21"/>
    </sheetView>
  </sheetViews>
  <sheetFormatPr baseColWidth="10" defaultColWidth="12.1640625" defaultRowHeight="16"/>
  <cols>
    <col min="1" max="1" width="30.33203125" style="111" customWidth="1"/>
    <col min="2" max="22" width="12.1640625" style="111"/>
    <col min="23" max="23" width="18" style="111" bestFit="1" customWidth="1"/>
    <col min="24" max="25" width="12.1640625" style="111"/>
    <col min="26" max="26" width="16.33203125" style="111" bestFit="1" customWidth="1"/>
    <col min="27" max="29" width="12.1640625" style="111"/>
    <col min="30" max="30" width="12.1640625" style="173"/>
    <col min="31" max="16384" width="12.1640625" style="129"/>
  </cols>
  <sheetData>
    <row r="1" spans="1:30" s="176" customFormat="1">
      <c r="A1" s="653" t="s">
        <v>1111</v>
      </c>
      <c r="B1" s="653"/>
      <c r="C1" s="653"/>
      <c r="D1" s="653"/>
      <c r="E1" s="653"/>
      <c r="F1" s="653"/>
      <c r="G1" s="653"/>
      <c r="H1" s="653"/>
      <c r="I1" s="653"/>
      <c r="J1" s="653"/>
      <c r="K1" s="111"/>
      <c r="L1" s="111"/>
      <c r="M1" s="111"/>
      <c r="N1" s="111"/>
      <c r="O1" s="111"/>
      <c r="P1" s="111"/>
      <c r="Q1" s="111"/>
      <c r="R1" s="111"/>
      <c r="S1" s="111"/>
      <c r="T1" s="111"/>
      <c r="U1" s="111"/>
      <c r="V1" s="111"/>
      <c r="W1" s="111"/>
      <c r="X1" s="111"/>
      <c r="Y1" s="111"/>
      <c r="Z1" s="111"/>
      <c r="AA1" s="111"/>
      <c r="AB1" s="111"/>
      <c r="AC1" s="111"/>
      <c r="AD1" s="177"/>
    </row>
    <row r="2" spans="1:30" ht="20" customHeight="1">
      <c r="A2" s="178"/>
      <c r="B2" s="178">
        <v>1984</v>
      </c>
      <c r="C2" s="178">
        <v>1988</v>
      </c>
      <c r="D2" s="178">
        <v>1992</v>
      </c>
      <c r="E2" s="178">
        <v>1996</v>
      </c>
      <c r="F2" s="178">
        <v>2000</v>
      </c>
      <c r="G2" s="178">
        <v>2004</v>
      </c>
      <c r="H2" s="178">
        <v>2006</v>
      </c>
      <c r="I2" s="178">
        <v>2008</v>
      </c>
      <c r="J2" s="178">
        <v>2009</v>
      </c>
      <c r="K2" s="178">
        <v>2010</v>
      </c>
      <c r="L2" s="178">
        <v>2011</v>
      </c>
      <c r="M2" s="178">
        <v>2012</v>
      </c>
      <c r="N2" s="178">
        <v>2013</v>
      </c>
      <c r="O2" s="178">
        <v>2014</v>
      </c>
      <c r="P2" s="178">
        <v>2015</v>
      </c>
      <c r="Q2" s="178">
        <v>2016</v>
      </c>
      <c r="R2" s="178">
        <v>2017</v>
      </c>
      <c r="S2" s="178">
        <v>2018</v>
      </c>
      <c r="T2" s="178">
        <v>2019</v>
      </c>
      <c r="U2" s="178">
        <v>2020</v>
      </c>
      <c r="V2" s="178">
        <v>2021</v>
      </c>
      <c r="W2" s="110">
        <v>2022</v>
      </c>
      <c r="X2" s="179">
        <v>2023</v>
      </c>
      <c r="Y2" s="179">
        <v>2024</v>
      </c>
      <c r="AB2" s="173"/>
      <c r="AC2" s="129"/>
      <c r="AD2" s="129"/>
    </row>
    <row r="3" spans="1:30">
      <c r="A3" s="180" t="s">
        <v>537</v>
      </c>
      <c r="B3" s="199">
        <v>1324.4017790688629</v>
      </c>
      <c r="C3" s="199">
        <v>1768.8927871125222</v>
      </c>
      <c r="D3" s="199">
        <v>1687.2515815534828</v>
      </c>
      <c r="E3" s="199">
        <v>2001.7214103734868</v>
      </c>
      <c r="F3" s="199">
        <v>2418.9748718172614</v>
      </c>
      <c r="G3" s="181">
        <v>2610.8364000000001</v>
      </c>
      <c r="H3" s="181">
        <v>2745.0439999999999</v>
      </c>
      <c r="I3" s="181">
        <v>2669.9719999999998</v>
      </c>
      <c r="J3" s="181">
        <v>2030</v>
      </c>
      <c r="K3" s="182">
        <v>2316</v>
      </c>
      <c r="L3" s="182">
        <v>2216</v>
      </c>
      <c r="M3" s="182">
        <v>2261</v>
      </c>
      <c r="N3" s="182">
        <v>1908</v>
      </c>
      <c r="O3" s="182">
        <v>1678</v>
      </c>
      <c r="P3" s="182">
        <v>1423</v>
      </c>
      <c r="Q3" s="182">
        <v>1258</v>
      </c>
      <c r="R3" s="182">
        <v>1058</v>
      </c>
      <c r="S3" s="183">
        <v>967.9</v>
      </c>
      <c r="T3" s="184">
        <v>777</v>
      </c>
      <c r="U3" s="184">
        <v>566.79999999999995</v>
      </c>
      <c r="V3" s="185">
        <f>(U3+W3)/2</f>
        <v>566.04999999999995</v>
      </c>
      <c r="W3" s="186">
        <v>565.29999999999995</v>
      </c>
      <c r="X3" s="187">
        <f t="shared" ref="X3:X5" si="0">W3+(W3*AA3)</f>
        <v>565.29999999999995</v>
      </c>
      <c r="Y3" s="187">
        <f>X3+(X3*Z3)</f>
        <v>565.29999999999995</v>
      </c>
      <c r="AB3" s="173"/>
      <c r="AC3" s="129"/>
      <c r="AD3" s="129"/>
    </row>
    <row r="4" spans="1:30">
      <c r="A4" s="180" t="s">
        <v>538</v>
      </c>
      <c r="B4" s="199">
        <v>377.95271114334366</v>
      </c>
      <c r="C4" s="199">
        <v>504.79985392432883</v>
      </c>
      <c r="D4" s="199">
        <v>481.50139912782134</v>
      </c>
      <c r="E4" s="199">
        <v>571.24359538103533</v>
      </c>
      <c r="F4" s="199">
        <v>690.31779135311695</v>
      </c>
      <c r="G4" s="181">
        <v>745.07050000000004</v>
      </c>
      <c r="H4" s="181">
        <v>819.06500000000005</v>
      </c>
      <c r="I4" s="181">
        <v>808.327</v>
      </c>
      <c r="J4" s="181">
        <v>813.2</v>
      </c>
      <c r="K4" s="181">
        <v>824.54300000000001</v>
      </c>
      <c r="L4" s="181">
        <v>794.01099999999997</v>
      </c>
      <c r="M4" s="181">
        <v>786.77599999999995</v>
      </c>
      <c r="N4" s="181">
        <v>763.00199999999995</v>
      </c>
      <c r="O4" s="181">
        <v>757.8</v>
      </c>
      <c r="P4" s="181">
        <v>700.04</v>
      </c>
      <c r="Q4" s="181">
        <v>651.20000000000005</v>
      </c>
      <c r="R4" s="181">
        <v>608.40499999999997</v>
      </c>
      <c r="S4" s="181">
        <v>625.70000000000005</v>
      </c>
      <c r="T4" s="186">
        <f>(S4+U4)/2</f>
        <v>604.35</v>
      </c>
      <c r="U4" s="186">
        <v>583</v>
      </c>
      <c r="V4" s="187">
        <f>(U4+W4)/2</f>
        <v>577.45000000000005</v>
      </c>
      <c r="W4" s="188">
        <v>571.9</v>
      </c>
      <c r="X4" s="187">
        <f t="shared" si="0"/>
        <v>571.9</v>
      </c>
      <c r="Y4" s="187">
        <f>X4+(X4*Z4)</f>
        <v>571.9</v>
      </c>
      <c r="AB4" s="173"/>
      <c r="AC4" s="129"/>
      <c r="AD4" s="129"/>
    </row>
    <row r="5" spans="1:30">
      <c r="A5" s="189" t="s">
        <v>121</v>
      </c>
      <c r="B5" s="200"/>
      <c r="C5" s="200"/>
      <c r="D5" s="200"/>
      <c r="E5" s="200"/>
      <c r="F5" s="200"/>
      <c r="G5" s="181"/>
      <c r="H5" s="181"/>
      <c r="I5" s="181"/>
      <c r="J5" s="181"/>
      <c r="K5" s="181"/>
      <c r="L5" s="181"/>
      <c r="M5" s="181"/>
      <c r="N5" s="181"/>
      <c r="O5" s="181">
        <v>61.354999999999997</v>
      </c>
      <c r="P5" s="181">
        <v>63</v>
      </c>
      <c r="Q5" s="181">
        <v>38</v>
      </c>
      <c r="R5" s="186">
        <v>60</v>
      </c>
      <c r="S5" s="181">
        <v>91</v>
      </c>
      <c r="T5" s="186"/>
      <c r="U5" s="187"/>
      <c r="V5" s="186"/>
      <c r="W5" s="186"/>
      <c r="X5" s="187">
        <f t="shared" si="0"/>
        <v>0</v>
      </c>
      <c r="Y5" s="187"/>
      <c r="AB5" s="173"/>
      <c r="AC5" s="129"/>
      <c r="AD5" s="129"/>
    </row>
    <row r="6" spans="1:30">
      <c r="A6" s="180" t="s">
        <v>539</v>
      </c>
      <c r="B6" s="199"/>
      <c r="C6" s="199"/>
      <c r="D6" s="199"/>
      <c r="E6" s="199"/>
      <c r="F6" s="199"/>
      <c r="G6" s="181"/>
      <c r="H6" s="181">
        <v>110.355</v>
      </c>
      <c r="I6" s="181">
        <v>180.749</v>
      </c>
      <c r="J6" s="181">
        <v>185.94900000000001</v>
      </c>
      <c r="K6" s="181">
        <v>213.709</v>
      </c>
      <c r="L6" s="190">
        <v>245.572</v>
      </c>
      <c r="M6" s="190">
        <v>242.315</v>
      </c>
      <c r="N6" s="190">
        <v>230.495</v>
      </c>
      <c r="O6" s="191">
        <v>241.38499999999999</v>
      </c>
      <c r="P6" s="191">
        <v>242.21099999999998</v>
      </c>
      <c r="Q6" s="182">
        <v>236</v>
      </c>
      <c r="R6" s="182">
        <v>256</v>
      </c>
      <c r="S6" s="182">
        <v>267</v>
      </c>
      <c r="T6" s="182">
        <v>219</v>
      </c>
      <c r="U6" s="182">
        <v>199</v>
      </c>
      <c r="V6" s="184">
        <v>230</v>
      </c>
      <c r="W6" s="187">
        <v>265.39999999999998</v>
      </c>
      <c r="X6" s="187">
        <v>306.24852173913041</v>
      </c>
      <c r="Y6" s="187">
        <v>329.67310993090751</v>
      </c>
      <c r="AB6" s="173"/>
      <c r="AC6" s="129"/>
      <c r="AD6" s="129"/>
    </row>
    <row r="7" spans="1:30" s="175" customFormat="1">
      <c r="A7" s="192" t="s">
        <v>540</v>
      </c>
      <c r="B7" s="200"/>
      <c r="C7" s="200"/>
      <c r="D7" s="200"/>
      <c r="E7" s="200"/>
      <c r="F7" s="200"/>
      <c r="G7" s="193"/>
      <c r="H7" s="193"/>
      <c r="I7" s="193"/>
      <c r="J7" s="193"/>
      <c r="K7" s="193"/>
      <c r="L7" s="193"/>
      <c r="M7" s="193"/>
      <c r="N7" s="193"/>
      <c r="O7" s="193"/>
      <c r="P7" s="193"/>
      <c r="Q7" s="193"/>
      <c r="R7" s="193"/>
      <c r="S7" s="193"/>
      <c r="T7" s="186">
        <v>45</v>
      </c>
      <c r="U7" s="186">
        <v>105</v>
      </c>
      <c r="V7" s="186">
        <v>130</v>
      </c>
      <c r="W7" s="186">
        <v>150</v>
      </c>
      <c r="X7" s="187">
        <f t="shared" ref="X7:X8" si="1">W7+(W7*AA7)</f>
        <v>150</v>
      </c>
      <c r="Y7" s="187">
        <v>15</v>
      </c>
      <c r="Z7" s="194"/>
      <c r="AA7" s="194"/>
      <c r="AB7" s="174"/>
    </row>
    <row r="8" spans="1:30" s="175" customFormat="1">
      <c r="A8" s="192" t="s">
        <v>541</v>
      </c>
      <c r="B8" s="200"/>
      <c r="C8" s="200"/>
      <c r="D8" s="200"/>
      <c r="E8" s="200"/>
      <c r="F8" s="200"/>
      <c r="G8" s="193"/>
      <c r="H8" s="193"/>
      <c r="I8" s="193"/>
      <c r="J8" s="193"/>
      <c r="K8" s="193"/>
      <c r="L8" s="193"/>
      <c r="M8" s="193"/>
      <c r="N8" s="193"/>
      <c r="O8" s="193"/>
      <c r="P8" s="193"/>
      <c r="Q8" s="193"/>
      <c r="R8" s="193"/>
      <c r="S8" s="193"/>
      <c r="T8" s="186">
        <v>10</v>
      </c>
      <c r="U8" s="186">
        <v>10</v>
      </c>
      <c r="V8" s="188">
        <f>50/3</f>
        <v>16.666666666666668</v>
      </c>
      <c r="W8" s="188">
        <f t="shared" ref="W8" si="2">50/3</f>
        <v>16.666666666666668</v>
      </c>
      <c r="X8" s="187">
        <f t="shared" si="1"/>
        <v>16.666666666666668</v>
      </c>
      <c r="Y8" s="187">
        <v>10</v>
      </c>
      <c r="Z8" s="194"/>
      <c r="AA8" s="194"/>
      <c r="AB8" s="174"/>
    </row>
    <row r="9" spans="1:30" s="175" customFormat="1">
      <c r="A9" s="192" t="s">
        <v>542</v>
      </c>
      <c r="B9" s="200">
        <v>487.6455097877934</v>
      </c>
      <c r="C9" s="200">
        <v>651.30735896314877</v>
      </c>
      <c r="D9" s="200">
        <v>621.24701931869572</v>
      </c>
      <c r="E9" s="200">
        <v>737.03499424547772</v>
      </c>
      <c r="F9" s="200">
        <v>890.66796282962162</v>
      </c>
      <c r="G9" s="198">
        <v>961.31148973964696</v>
      </c>
      <c r="H9" s="198">
        <v>1094.3776850171205</v>
      </c>
      <c r="I9" s="198">
        <v>1210.5232544604453</v>
      </c>
      <c r="J9" s="198">
        <v>1186.0219999999999</v>
      </c>
      <c r="K9" s="198">
        <v>1217.625</v>
      </c>
      <c r="L9" s="198">
        <v>1253.854</v>
      </c>
      <c r="M9" s="198">
        <v>1288</v>
      </c>
      <c r="N9" s="198">
        <v>1055.865</v>
      </c>
      <c r="O9" s="198">
        <v>994.4</v>
      </c>
      <c r="P9" s="198">
        <v>908.23599999999999</v>
      </c>
      <c r="Q9" s="198">
        <v>899.10500000000002</v>
      </c>
      <c r="R9" s="198">
        <v>803.11400000000003</v>
      </c>
      <c r="S9" s="198">
        <v>711.49</v>
      </c>
      <c r="T9" s="198">
        <v>652.44200000000001</v>
      </c>
      <c r="U9" s="198">
        <v>430.7</v>
      </c>
      <c r="V9" s="198">
        <v>419.56580000000002</v>
      </c>
      <c r="W9" s="198">
        <v>404.26580000000001</v>
      </c>
      <c r="X9" s="198">
        <v>404.26580000000001</v>
      </c>
      <c r="Y9" s="198">
        <v>396.82179000000002</v>
      </c>
      <c r="Z9" s="194"/>
      <c r="AA9" s="194"/>
      <c r="AB9" s="174"/>
    </row>
    <row r="10" spans="1:30">
      <c r="A10" s="192" t="s">
        <v>543</v>
      </c>
      <c r="B10" s="111">
        <v>2190</v>
      </c>
      <c r="C10" s="111">
        <v>2925</v>
      </c>
      <c r="D10" s="195">
        <v>2790</v>
      </c>
      <c r="E10" s="111">
        <v>3310</v>
      </c>
      <c r="F10" s="111">
        <v>3999.960626</v>
      </c>
      <c r="G10" s="196">
        <f t="shared" ref="G10:Y10" si="3">SUM(G3:G9)</f>
        <v>4317.2183897396471</v>
      </c>
      <c r="H10" s="196">
        <f t="shared" si="3"/>
        <v>4768.8416850171207</v>
      </c>
      <c r="I10" s="196">
        <f t="shared" si="3"/>
        <v>4869.5712544604448</v>
      </c>
      <c r="J10" s="196">
        <f t="shared" si="3"/>
        <v>4215.1710000000003</v>
      </c>
      <c r="K10" s="196">
        <f t="shared" si="3"/>
        <v>4571.8770000000004</v>
      </c>
      <c r="L10" s="196">
        <f t="shared" si="3"/>
        <v>4509.4369999999999</v>
      </c>
      <c r="M10" s="197">
        <f t="shared" si="3"/>
        <v>4578.0910000000003</v>
      </c>
      <c r="N10" s="112">
        <f t="shared" si="3"/>
        <v>3957.3620000000001</v>
      </c>
      <c r="O10" s="112">
        <f t="shared" si="3"/>
        <v>3732.94</v>
      </c>
      <c r="P10" s="112">
        <f t="shared" si="3"/>
        <v>3336.4869999999996</v>
      </c>
      <c r="Q10" s="112">
        <f t="shared" si="3"/>
        <v>3082.3049999999998</v>
      </c>
      <c r="R10" s="112">
        <f t="shared" si="3"/>
        <v>2785.5190000000002</v>
      </c>
      <c r="S10" s="112">
        <f t="shared" si="3"/>
        <v>2663.09</v>
      </c>
      <c r="T10" s="112">
        <f t="shared" si="3"/>
        <v>2307.7919999999999</v>
      </c>
      <c r="U10" s="112">
        <f t="shared" si="3"/>
        <v>1894.5</v>
      </c>
      <c r="V10" s="112">
        <f t="shared" si="3"/>
        <v>1939.7324666666668</v>
      </c>
      <c r="W10" s="112">
        <f t="shared" si="3"/>
        <v>1973.5324666666666</v>
      </c>
      <c r="X10" s="112">
        <f t="shared" si="3"/>
        <v>2014.3809884057969</v>
      </c>
      <c r="Y10" s="112">
        <f t="shared" si="3"/>
        <v>1888.6948999309072</v>
      </c>
      <c r="Z10" s="562"/>
      <c r="AA10" s="194"/>
      <c r="AB10" s="173"/>
      <c r="AC10" s="129"/>
      <c r="AD10" s="129"/>
    </row>
    <row r="11" spans="1:30">
      <c r="B11" s="197"/>
      <c r="C11" s="197"/>
      <c r="D11" s="197"/>
      <c r="E11" s="197"/>
      <c r="F11" s="197"/>
    </row>
    <row r="12" spans="1:30">
      <c r="B12" s="197"/>
      <c r="C12" s="197"/>
      <c r="D12" s="197"/>
      <c r="E12" s="197"/>
      <c r="F12" s="197"/>
    </row>
    <row r="13" spans="1:30">
      <c r="B13" s="197"/>
      <c r="C13" s="197"/>
      <c r="D13" s="197"/>
      <c r="E13" s="197"/>
      <c r="F13" s="197"/>
    </row>
    <row r="14" spans="1:30">
      <c r="E14" s="197"/>
      <c r="F14" s="197"/>
    </row>
    <row r="15" spans="1:30">
      <c r="F15" s="197"/>
    </row>
    <row r="16" spans="1:30">
      <c r="F16" s="197"/>
      <c r="Z16" s="111">
        <f>329*0.655</f>
        <v>215.495</v>
      </c>
    </row>
    <row r="17" spans="6:26">
      <c r="F17" s="197"/>
      <c r="Z17" s="111">
        <f>9034.6*0.04</f>
        <v>361.38400000000001</v>
      </c>
    </row>
    <row r="18" spans="6:26">
      <c r="F18" s="197"/>
    </row>
    <row r="20" spans="6:26">
      <c r="Z20" s="111">
        <v>4760</v>
      </c>
    </row>
    <row r="21" spans="6:26">
      <c r="Z21" s="111">
        <f>Z20*0.02</f>
        <v>95.2</v>
      </c>
    </row>
  </sheetData>
  <mergeCells count="1">
    <mergeCell ref="A1:J1"/>
  </mergeCells>
  <pageMargins left="0.7" right="0.7" top="0.75" bottom="0.75" header="0.3" footer="0.3"/>
  <pageSetup orientation="portrait" horizontalDpi="0" verticalDpi="0"/>
  <ignoredErrors>
    <ignoredError sqref="G10 I10:X10 H10" formulaRange="1"/>
  </ignoredErrors>
  <legacy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ABDDD9-5934-C34E-9FB8-F78002C184E2}">
  <sheetPr>
    <tabColor rgb="FFFFC000"/>
  </sheetPr>
  <dimension ref="A1:AT43"/>
  <sheetViews>
    <sheetView zoomScaleNormal="100" workbookViewId="0">
      <pane xSplit="1" ySplit="2" topLeftCell="B6" activePane="bottomRight" state="frozen"/>
      <selection pane="topRight" activeCell="B1" sqref="B1"/>
      <selection pane="bottomLeft" activeCell="A3" sqref="A3"/>
      <selection pane="bottomRight" activeCell="AP7" sqref="AP7"/>
    </sheetView>
  </sheetViews>
  <sheetFormatPr baseColWidth="10" defaultColWidth="11" defaultRowHeight="16"/>
  <cols>
    <col min="1" max="1" width="29.6640625" style="238" customWidth="1"/>
    <col min="2" max="3" width="11" style="238"/>
    <col min="4" max="4" width="0" style="238" hidden="1" customWidth="1"/>
    <col min="5" max="23" width="11" style="238" hidden="1" customWidth="1"/>
    <col min="24" max="24" width="0" style="238" hidden="1" customWidth="1"/>
    <col min="25" max="31" width="11" style="238"/>
    <col min="32" max="39" width="11.33203125" style="238" customWidth="1"/>
    <col min="40" max="16384" width="11" style="238"/>
  </cols>
  <sheetData>
    <row r="1" spans="1:46" ht="40.25" customHeight="1">
      <c r="A1" s="635" t="s">
        <v>1112</v>
      </c>
      <c r="B1" s="654"/>
      <c r="C1" s="654"/>
      <c r="D1" s="654"/>
      <c r="E1" s="654"/>
      <c r="F1" s="654"/>
      <c r="G1" s="654"/>
      <c r="H1" s="654"/>
      <c r="I1" s="654"/>
      <c r="J1" s="654"/>
      <c r="K1" s="654"/>
      <c r="L1" s="654"/>
      <c r="M1" s="654"/>
      <c r="N1" s="654"/>
      <c r="O1" s="654"/>
      <c r="P1" s="654"/>
    </row>
    <row r="2" spans="1:46" s="212" customFormat="1" ht="17" customHeight="1">
      <c r="B2" s="212">
        <v>1987</v>
      </c>
      <c r="C2" s="212">
        <v>1988</v>
      </c>
      <c r="D2" s="212">
        <v>1989</v>
      </c>
      <c r="E2" s="212">
        <v>1990</v>
      </c>
      <c r="F2" s="212">
        <v>1991</v>
      </c>
      <c r="G2" s="212">
        <v>1992</v>
      </c>
      <c r="H2" s="212">
        <v>1993</v>
      </c>
      <c r="I2" s="212">
        <v>1994</v>
      </c>
      <c r="J2" s="212">
        <v>1995</v>
      </c>
      <c r="K2" s="212">
        <v>1996</v>
      </c>
      <c r="L2" s="212">
        <v>1997</v>
      </c>
      <c r="M2" s="212">
        <v>1998</v>
      </c>
      <c r="N2" s="212">
        <v>1999</v>
      </c>
      <c r="O2" s="212">
        <v>2000</v>
      </c>
      <c r="P2" s="212">
        <v>2001</v>
      </c>
      <c r="Q2" s="212">
        <v>2002</v>
      </c>
      <c r="R2" s="212">
        <v>2003</v>
      </c>
      <c r="S2" s="212">
        <v>2004</v>
      </c>
      <c r="T2" s="212">
        <v>2005</v>
      </c>
      <c r="U2" s="212">
        <v>2006</v>
      </c>
      <c r="V2" s="212">
        <v>2007</v>
      </c>
      <c r="W2" s="212">
        <v>2008</v>
      </c>
      <c r="X2" s="212">
        <v>2009</v>
      </c>
      <c r="Y2" s="212">
        <v>2010</v>
      </c>
      <c r="Z2" s="212">
        <v>2011</v>
      </c>
      <c r="AA2" s="212">
        <v>2012</v>
      </c>
      <c r="AB2" s="212">
        <v>2013</v>
      </c>
      <c r="AC2" s="212">
        <v>2014</v>
      </c>
      <c r="AD2" s="212">
        <v>2015</v>
      </c>
      <c r="AE2" s="212">
        <v>2016</v>
      </c>
      <c r="AF2" s="212">
        <v>2017</v>
      </c>
      <c r="AG2" s="212">
        <v>2018</v>
      </c>
      <c r="AH2" s="212">
        <v>2019</v>
      </c>
      <c r="AI2" s="212">
        <v>2020</v>
      </c>
      <c r="AJ2" s="212">
        <v>2021</v>
      </c>
      <c r="AK2" s="212">
        <v>2022</v>
      </c>
      <c r="AL2" s="212">
        <v>2023</v>
      </c>
      <c r="AM2" s="212">
        <v>2024</v>
      </c>
    </row>
    <row r="3" spans="1:46" s="481" customFormat="1" ht="50" customHeight="1">
      <c r="A3" s="143" t="s">
        <v>544</v>
      </c>
      <c r="B3" s="485">
        <v>34500</v>
      </c>
      <c r="C3" s="485">
        <v>36500</v>
      </c>
      <c r="D3" s="485">
        <v>38600</v>
      </c>
      <c r="E3" s="485">
        <v>42000</v>
      </c>
      <c r="F3" s="485">
        <v>38500</v>
      </c>
      <c r="G3" s="485">
        <v>41000</v>
      </c>
      <c r="H3" s="485">
        <v>38300</v>
      </c>
      <c r="I3" s="485">
        <v>41400</v>
      </c>
      <c r="J3" s="485">
        <v>47100</v>
      </c>
      <c r="K3" s="485">
        <v>45500</v>
      </c>
      <c r="L3" s="485">
        <v>44500</v>
      </c>
      <c r="M3" s="485">
        <v>51700</v>
      </c>
      <c r="N3" s="485">
        <v>51200</v>
      </c>
      <c r="O3" s="485">
        <v>52500</v>
      </c>
      <c r="P3" s="485">
        <v>52600</v>
      </c>
      <c r="Q3" s="485">
        <v>54400</v>
      </c>
      <c r="R3" s="485">
        <v>58600</v>
      </c>
      <c r="S3" s="485">
        <v>56000</v>
      </c>
      <c r="T3" s="485">
        <v>68700</v>
      </c>
      <c r="U3" s="485">
        <v>61000</v>
      </c>
      <c r="V3" s="485">
        <v>59600</v>
      </c>
      <c r="W3" s="485">
        <v>69300</v>
      </c>
      <c r="X3" s="485">
        <v>72900</v>
      </c>
      <c r="Y3" s="485">
        <v>76900</v>
      </c>
      <c r="Z3" s="485">
        <v>87000</v>
      </c>
      <c r="AA3" s="485">
        <v>90500</v>
      </c>
      <c r="AB3" s="485">
        <v>83500</v>
      </c>
      <c r="AC3" s="485">
        <v>80600</v>
      </c>
      <c r="AD3" s="485">
        <v>98100</v>
      </c>
      <c r="AE3" s="485">
        <v>90200</v>
      </c>
      <c r="AF3" s="485">
        <v>112100</v>
      </c>
      <c r="AG3" s="485">
        <v>127500</v>
      </c>
      <c r="AH3" s="485">
        <v>133200</v>
      </c>
      <c r="AI3" s="485">
        <v>147500</v>
      </c>
      <c r="AJ3" s="485">
        <v>171000</v>
      </c>
      <c r="AK3" s="485">
        <v>180400</v>
      </c>
      <c r="AL3" s="485">
        <v>220969</v>
      </c>
      <c r="AM3" s="481">
        <v>223600</v>
      </c>
    </row>
    <row r="4" spans="1:46" s="481" customFormat="1" ht="34">
      <c r="A4" s="482" t="s">
        <v>545</v>
      </c>
      <c r="B4" s="483">
        <v>10000</v>
      </c>
      <c r="C4" s="483">
        <v>8700</v>
      </c>
      <c r="D4" s="483">
        <v>12300</v>
      </c>
      <c r="E4" s="483">
        <v>8800</v>
      </c>
      <c r="F4" s="483">
        <v>7600</v>
      </c>
      <c r="G4" s="483">
        <v>8700</v>
      </c>
      <c r="H4" s="483">
        <v>7600</v>
      </c>
      <c r="I4" s="483">
        <v>8400</v>
      </c>
      <c r="J4" s="483">
        <v>8500</v>
      </c>
      <c r="K4" s="483">
        <v>9400</v>
      </c>
      <c r="L4" s="483">
        <v>8000</v>
      </c>
      <c r="M4" s="483">
        <v>6100</v>
      </c>
      <c r="N4" s="483">
        <v>9200</v>
      </c>
      <c r="O4" s="483">
        <v>12400</v>
      </c>
      <c r="P4" s="483">
        <v>10900</v>
      </c>
      <c r="Q4" s="483">
        <v>10900</v>
      </c>
      <c r="R4" s="486">
        <v>10400</v>
      </c>
      <c r="S4" s="486">
        <v>8400</v>
      </c>
      <c r="T4" s="486">
        <v>11900</v>
      </c>
      <c r="U4" s="486">
        <v>10900</v>
      </c>
      <c r="V4" s="486">
        <v>12000</v>
      </c>
      <c r="W4" s="486">
        <v>9800</v>
      </c>
      <c r="X4" s="486">
        <v>8700</v>
      </c>
      <c r="Y4" s="486">
        <v>9900</v>
      </c>
      <c r="Z4" s="486">
        <v>10700</v>
      </c>
      <c r="AA4" s="486">
        <v>10900</v>
      </c>
      <c r="AB4" s="486">
        <v>12600</v>
      </c>
      <c r="AC4" s="486">
        <v>10100</v>
      </c>
      <c r="AD4" s="486">
        <v>11900</v>
      </c>
      <c r="AE4" s="486">
        <v>10800</v>
      </c>
      <c r="AF4" s="486">
        <v>10900</v>
      </c>
      <c r="AG4" s="486">
        <v>9500</v>
      </c>
      <c r="AH4" s="486">
        <v>8600</v>
      </c>
      <c r="AI4" s="486">
        <v>10300</v>
      </c>
      <c r="AJ4" s="486">
        <v>10000</v>
      </c>
      <c r="AK4" s="486">
        <v>12600</v>
      </c>
      <c r="AL4" s="483">
        <v>10900</v>
      </c>
      <c r="AM4" s="481">
        <v>9300</v>
      </c>
      <c r="AO4" s="481">
        <f>(AM4-AB4)/AB4</f>
        <v>-0.26190476190476192</v>
      </c>
    </row>
    <row r="5" spans="1:46" s="481" customFormat="1">
      <c r="A5" s="143"/>
      <c r="B5" s="481">
        <f>B3/B4</f>
        <v>3.45</v>
      </c>
      <c r="C5" s="481">
        <f t="shared" ref="C5:AM5" si="0">C3/C4</f>
        <v>4.195402298850575</v>
      </c>
      <c r="D5" s="481">
        <f t="shared" si="0"/>
        <v>3.1382113821138211</v>
      </c>
      <c r="E5" s="481">
        <f t="shared" si="0"/>
        <v>4.7727272727272725</v>
      </c>
      <c r="F5" s="481">
        <f t="shared" si="0"/>
        <v>5.0657894736842106</v>
      </c>
      <c r="G5" s="481">
        <f t="shared" si="0"/>
        <v>4.7126436781609193</v>
      </c>
      <c r="H5" s="481">
        <f t="shared" si="0"/>
        <v>5.0394736842105265</v>
      </c>
      <c r="I5" s="481">
        <f t="shared" si="0"/>
        <v>4.9285714285714288</v>
      </c>
      <c r="J5" s="481">
        <f t="shared" si="0"/>
        <v>5.5411764705882351</v>
      </c>
      <c r="K5" s="481">
        <f t="shared" si="0"/>
        <v>4.8404255319148932</v>
      </c>
      <c r="L5" s="481">
        <f t="shared" si="0"/>
        <v>5.5625</v>
      </c>
      <c r="M5" s="481">
        <f t="shared" si="0"/>
        <v>8.4754098360655732</v>
      </c>
      <c r="N5" s="481">
        <f t="shared" si="0"/>
        <v>5.5652173913043477</v>
      </c>
      <c r="O5" s="481">
        <f t="shared" si="0"/>
        <v>4.2338709677419351</v>
      </c>
      <c r="P5" s="481">
        <f t="shared" si="0"/>
        <v>4.8256880733944953</v>
      </c>
      <c r="Q5" s="481">
        <f t="shared" si="0"/>
        <v>4.9908256880733948</v>
      </c>
      <c r="R5" s="481">
        <f t="shared" si="0"/>
        <v>5.634615384615385</v>
      </c>
      <c r="S5" s="481">
        <f t="shared" si="0"/>
        <v>6.666666666666667</v>
      </c>
      <c r="T5" s="481">
        <f t="shared" si="0"/>
        <v>5.7731092436974789</v>
      </c>
      <c r="U5" s="481">
        <f t="shared" si="0"/>
        <v>5.5963302752293576</v>
      </c>
      <c r="V5" s="481">
        <f t="shared" si="0"/>
        <v>4.9666666666666668</v>
      </c>
      <c r="W5" s="481">
        <f t="shared" si="0"/>
        <v>7.0714285714285712</v>
      </c>
      <c r="X5" s="481">
        <f t="shared" si="0"/>
        <v>8.3793103448275854</v>
      </c>
      <c r="Y5" s="481">
        <f t="shared" si="0"/>
        <v>7.7676767676767673</v>
      </c>
      <c r="Z5" s="481">
        <f t="shared" si="0"/>
        <v>8.1308411214953278</v>
      </c>
      <c r="AA5" s="481">
        <f t="shared" si="0"/>
        <v>8.3027522935779814</v>
      </c>
      <c r="AB5" s="481">
        <f t="shared" si="0"/>
        <v>6.6269841269841274</v>
      </c>
      <c r="AC5" s="481">
        <f t="shared" si="0"/>
        <v>7.9801980198019802</v>
      </c>
      <c r="AD5" s="481">
        <f t="shared" si="0"/>
        <v>8.2436974789915958</v>
      </c>
      <c r="AE5" s="481">
        <f t="shared" si="0"/>
        <v>8.3518518518518512</v>
      </c>
      <c r="AF5" s="481">
        <f t="shared" si="0"/>
        <v>10.284403669724771</v>
      </c>
      <c r="AG5" s="481">
        <f t="shared" si="0"/>
        <v>13.421052631578947</v>
      </c>
      <c r="AH5" s="481">
        <f t="shared" si="0"/>
        <v>15.488372093023257</v>
      </c>
      <c r="AI5" s="481">
        <f t="shared" si="0"/>
        <v>14.320388349514563</v>
      </c>
      <c r="AJ5" s="481">
        <f t="shared" si="0"/>
        <v>17.100000000000001</v>
      </c>
      <c r="AK5" s="481">
        <f t="shared" si="0"/>
        <v>14.317460317460318</v>
      </c>
      <c r="AL5" s="481">
        <f t="shared" si="0"/>
        <v>20.272385321100916</v>
      </c>
      <c r="AM5" s="481">
        <f t="shared" si="0"/>
        <v>24.043010752688172</v>
      </c>
    </row>
    <row r="6" spans="1:46" s="481" customFormat="1" ht="340">
      <c r="A6" s="143" t="s">
        <v>926</v>
      </c>
    </row>
    <row r="7" spans="1:46">
      <c r="A7" s="143"/>
    </row>
    <row r="8" spans="1:46">
      <c r="A8" s="11"/>
    </row>
    <row r="12" spans="1:46">
      <c r="AT12" s="238">
        <f>230/260</f>
        <v>0.88461538461538458</v>
      </c>
    </row>
    <row r="43" spans="2:2">
      <c r="B43" s="484"/>
    </row>
  </sheetData>
  <mergeCells count="1">
    <mergeCell ref="A1:P1"/>
  </mergeCells>
  <pageMargins left="0.7" right="0.7" top="0.75" bottom="0.75" header="0.3" footer="0.3"/>
  <pageSetup orientation="portrait" horizontalDpi="0" verticalDpi="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344624-9377-5C47-805B-E643AAA65ACA}">
  <sheetPr>
    <tabColor rgb="FFFFC000"/>
  </sheetPr>
  <dimension ref="A1:AW101"/>
  <sheetViews>
    <sheetView zoomScale="150" zoomScaleNormal="150" workbookViewId="0">
      <pane xSplit="1" ySplit="2" topLeftCell="B4" activePane="bottomRight" state="frozen"/>
      <selection pane="topRight" activeCell="B1" sqref="B1"/>
      <selection pane="bottomLeft" activeCell="A3" sqref="A3"/>
      <selection pane="bottomRight" activeCell="L14" sqref="L14"/>
    </sheetView>
  </sheetViews>
  <sheetFormatPr baseColWidth="10" defaultColWidth="11" defaultRowHeight="16"/>
  <cols>
    <col min="1" max="1" width="25.83203125" style="2" customWidth="1"/>
    <col min="2" max="2" width="52.5" style="2" bestFit="1" customWidth="1"/>
    <col min="3" max="3" width="20" style="2" customWidth="1"/>
    <col min="4" max="4" width="17.33203125" style="2" customWidth="1"/>
    <col min="5" max="16384" width="11" style="2"/>
  </cols>
  <sheetData>
    <row r="1" spans="1:6" ht="30" customHeight="1">
      <c r="A1" s="655" t="s">
        <v>1085</v>
      </c>
      <c r="B1" s="641"/>
      <c r="C1" s="641"/>
    </row>
    <row r="2" spans="1:6" ht="27" customHeight="1">
      <c r="A2" s="130" t="s">
        <v>546</v>
      </c>
      <c r="B2" s="131" t="s">
        <v>901</v>
      </c>
      <c r="C2" s="156"/>
      <c r="D2" s="156"/>
      <c r="E2" s="156"/>
    </row>
    <row r="3" spans="1:6">
      <c r="A3" s="157" t="s">
        <v>852</v>
      </c>
      <c r="B3" s="158">
        <v>32829</v>
      </c>
      <c r="C3" s="157"/>
      <c r="F3" s="21"/>
    </row>
    <row r="4" spans="1:6">
      <c r="A4" s="157" t="s">
        <v>853</v>
      </c>
      <c r="B4" s="158">
        <v>30960</v>
      </c>
      <c r="C4" s="157"/>
      <c r="F4" s="21"/>
    </row>
    <row r="5" spans="1:6">
      <c r="A5" s="159" t="s">
        <v>854</v>
      </c>
      <c r="B5" s="160">
        <v>21655</v>
      </c>
      <c r="C5" s="161">
        <f>B5/$B$55</f>
        <v>7.8339513430406071E-2</v>
      </c>
      <c r="F5" s="21"/>
    </row>
    <row r="6" spans="1:6">
      <c r="A6" s="159" t="s">
        <v>855</v>
      </c>
      <c r="B6" s="160">
        <v>19987</v>
      </c>
      <c r="C6" s="161">
        <f t="shared" ref="C6:C54" si="0">B6/$B$55</f>
        <v>7.230532694220855E-2</v>
      </c>
      <c r="F6" s="21"/>
    </row>
    <row r="7" spans="1:6">
      <c r="A7" s="159" t="s">
        <v>856</v>
      </c>
      <c r="B7" s="160">
        <v>17534</v>
      </c>
      <c r="C7" s="161">
        <f t="shared" si="0"/>
        <v>6.3431310482047573E-2</v>
      </c>
      <c r="F7" s="21"/>
    </row>
    <row r="8" spans="1:6">
      <c r="A8" s="159" t="s">
        <v>857</v>
      </c>
      <c r="B8" s="160">
        <v>17158</v>
      </c>
      <c r="C8" s="161">
        <f t="shared" si="0"/>
        <v>6.2071086189744051E-2</v>
      </c>
      <c r="F8" s="21"/>
    </row>
    <row r="9" spans="1:6">
      <c r="A9" s="159" t="s">
        <v>246</v>
      </c>
      <c r="B9" s="160">
        <v>14454</v>
      </c>
      <c r="C9" s="161">
        <f t="shared" si="0"/>
        <v>5.22890476621145E-2</v>
      </c>
      <c r="F9" s="21"/>
    </row>
    <row r="10" spans="1:6">
      <c r="A10" s="159" t="s">
        <v>858</v>
      </c>
      <c r="B10" s="160">
        <v>11975</v>
      </c>
      <c r="C10" s="161">
        <f t="shared" si="0"/>
        <v>4.3320973139187847E-2</v>
      </c>
      <c r="F10" s="21"/>
    </row>
    <row r="11" spans="1:6">
      <c r="A11" s="159" t="s">
        <v>859</v>
      </c>
      <c r="B11" s="160">
        <v>9521</v>
      </c>
      <c r="C11" s="161">
        <f t="shared" si="0"/>
        <v>3.4443339061228179E-2</v>
      </c>
      <c r="F11" s="21"/>
    </row>
    <row r="12" spans="1:6">
      <c r="A12" s="159" t="s">
        <v>860</v>
      </c>
      <c r="B12" s="160">
        <v>8671</v>
      </c>
      <c r="C12" s="161">
        <f t="shared" si="0"/>
        <v>3.1368363932350547E-2</v>
      </c>
      <c r="F12" s="21"/>
    </row>
    <row r="13" spans="1:6">
      <c r="A13" s="159" t="s">
        <v>861</v>
      </c>
      <c r="B13" s="160">
        <v>8489</v>
      </c>
      <c r="C13" s="161">
        <f t="shared" si="0"/>
        <v>3.0709957492990866E-2</v>
      </c>
      <c r="F13" s="21"/>
    </row>
    <row r="14" spans="1:6">
      <c r="A14" s="159" t="s">
        <v>862</v>
      </c>
      <c r="B14" s="160">
        <v>7779</v>
      </c>
      <c r="C14" s="161">
        <f t="shared" si="0"/>
        <v>2.8141448855928373E-2</v>
      </c>
      <c r="F14" s="21"/>
    </row>
    <row r="15" spans="1:6">
      <c r="A15" s="159" t="s">
        <v>863</v>
      </c>
      <c r="B15" s="160">
        <v>6738</v>
      </c>
      <c r="C15" s="161">
        <f t="shared" si="0"/>
        <v>2.437550872750294E-2</v>
      </c>
      <c r="F15" s="21"/>
    </row>
    <row r="16" spans="1:6">
      <c r="A16" s="159" t="s">
        <v>864</v>
      </c>
      <c r="B16" s="160">
        <v>6698</v>
      </c>
      <c r="C16" s="161">
        <f t="shared" si="0"/>
        <v>2.4230804015555756E-2</v>
      </c>
      <c r="F16" s="21"/>
    </row>
    <row r="17" spans="1:6">
      <c r="A17" s="159" t="s">
        <v>865</v>
      </c>
      <c r="B17" s="160">
        <v>6582</v>
      </c>
      <c r="C17" s="161">
        <f t="shared" si="0"/>
        <v>2.3811160350908925E-2</v>
      </c>
      <c r="F17" s="21"/>
    </row>
    <row r="18" spans="1:6">
      <c r="A18" s="159" t="s">
        <v>866</v>
      </c>
      <c r="B18" s="160">
        <v>5841</v>
      </c>
      <c r="C18" s="161">
        <f t="shared" si="0"/>
        <v>2.1130505562087367E-2</v>
      </c>
      <c r="F18" s="21"/>
    </row>
    <row r="19" spans="1:6">
      <c r="A19" s="159" t="s">
        <v>867</v>
      </c>
      <c r="B19" s="160">
        <v>5583</v>
      </c>
      <c r="C19" s="161">
        <f t="shared" si="0"/>
        <v>2.0197160170028036E-2</v>
      </c>
      <c r="F19" s="21"/>
    </row>
    <row r="20" spans="1:6">
      <c r="A20" s="159" t="s">
        <v>868</v>
      </c>
      <c r="B20" s="160">
        <v>5560</v>
      </c>
      <c r="C20" s="161">
        <f t="shared" si="0"/>
        <v>2.0113954960658407E-2</v>
      </c>
      <c r="F20" s="21"/>
    </row>
    <row r="21" spans="1:6">
      <c r="A21" s="159" t="s">
        <v>869</v>
      </c>
      <c r="B21" s="160">
        <v>5437</v>
      </c>
      <c r="C21" s="161">
        <f t="shared" si="0"/>
        <v>1.9668987971420818E-2</v>
      </c>
      <c r="F21" s="21"/>
    </row>
    <row r="22" spans="1:6">
      <c r="A22" s="159" t="s">
        <v>870</v>
      </c>
      <c r="B22" s="160">
        <v>5251</v>
      </c>
      <c r="C22" s="161">
        <f t="shared" si="0"/>
        <v>1.8996111060866419E-2</v>
      </c>
      <c r="F22" s="21"/>
    </row>
    <row r="23" spans="1:6">
      <c r="A23" s="159" t="s">
        <v>871</v>
      </c>
      <c r="B23" s="160">
        <v>4879</v>
      </c>
      <c r="C23" s="161">
        <f t="shared" si="0"/>
        <v>1.7650357239757618E-2</v>
      </c>
      <c r="F23" s="21"/>
    </row>
    <row r="24" spans="1:6">
      <c r="A24" s="159" t="s">
        <v>872</v>
      </c>
      <c r="B24" s="160">
        <v>4376</v>
      </c>
      <c r="C24" s="161">
        <f t="shared" si="0"/>
        <v>1.5830695487021797E-2</v>
      </c>
      <c r="F24" s="21"/>
    </row>
    <row r="25" spans="1:6">
      <c r="A25" s="159" t="s">
        <v>873</v>
      </c>
      <c r="B25" s="160">
        <v>4324</v>
      </c>
      <c r="C25" s="161">
        <f t="shared" si="0"/>
        <v>1.5642579361490459E-2</v>
      </c>
      <c r="F25" s="21"/>
    </row>
    <row r="26" spans="1:6">
      <c r="A26" s="159" t="s">
        <v>874</v>
      </c>
      <c r="B26" s="160">
        <v>4279</v>
      </c>
      <c r="C26" s="161">
        <f t="shared" si="0"/>
        <v>1.5479786560549878E-2</v>
      </c>
      <c r="F26" s="21"/>
    </row>
    <row r="27" spans="1:6">
      <c r="A27" s="159" t="s">
        <v>875</v>
      </c>
      <c r="B27" s="160">
        <v>4034</v>
      </c>
      <c r="C27" s="161">
        <f t="shared" si="0"/>
        <v>1.4593470199873384E-2</v>
      </c>
      <c r="F27" s="21"/>
    </row>
    <row r="28" spans="1:6">
      <c r="A28" s="159" t="s">
        <v>876</v>
      </c>
      <c r="B28" s="160">
        <v>4005</v>
      </c>
      <c r="C28" s="161">
        <f t="shared" si="0"/>
        <v>1.4488559283711675E-2</v>
      </c>
      <c r="F28" s="21"/>
    </row>
    <row r="29" spans="1:6">
      <c r="A29" s="159" t="s">
        <v>450</v>
      </c>
      <c r="B29" s="160">
        <v>3909</v>
      </c>
      <c r="C29" s="161">
        <f t="shared" si="0"/>
        <v>1.4141267975038438E-2</v>
      </c>
      <c r="F29" s="21"/>
    </row>
    <row r="30" spans="1:6">
      <c r="A30" s="159" t="s">
        <v>547</v>
      </c>
      <c r="B30" s="160">
        <v>3638</v>
      </c>
      <c r="C30" s="161">
        <f t="shared" si="0"/>
        <v>1.3160893551596274E-2</v>
      </c>
      <c r="F30" s="21"/>
    </row>
    <row r="31" spans="1:6">
      <c r="A31" s="159" t="s">
        <v>877</v>
      </c>
      <c r="B31" s="160">
        <v>3618</v>
      </c>
      <c r="C31" s="161">
        <f t="shared" si="0"/>
        <v>1.3088541195622682E-2</v>
      </c>
      <c r="F31" s="21"/>
    </row>
    <row r="32" spans="1:6">
      <c r="A32" s="159" t="s">
        <v>878</v>
      </c>
      <c r="B32" s="160">
        <v>3460</v>
      </c>
      <c r="C32" s="161">
        <f t="shared" si="0"/>
        <v>1.2516957583431311E-2</v>
      </c>
      <c r="F32" s="21"/>
    </row>
    <row r="33" spans="1:49">
      <c r="A33" s="159" t="s">
        <v>879</v>
      </c>
      <c r="B33" s="160">
        <v>3364</v>
      </c>
      <c r="C33" s="161">
        <f t="shared" si="0"/>
        <v>1.2169666274758071E-2</v>
      </c>
      <c r="F33" s="21"/>
    </row>
    <row r="34" spans="1:49">
      <c r="A34" s="159" t="s">
        <v>880</v>
      </c>
      <c r="B34" s="160">
        <v>3190</v>
      </c>
      <c r="C34" s="161">
        <f t="shared" si="0"/>
        <v>1.1540200777787826E-2</v>
      </c>
      <c r="F34" s="21"/>
    </row>
    <row r="35" spans="1:49">
      <c r="A35" s="159" t="s">
        <v>881</v>
      </c>
      <c r="B35" s="160">
        <v>3046</v>
      </c>
      <c r="C35" s="161">
        <f t="shared" si="0"/>
        <v>1.1019263814777969E-2</v>
      </c>
      <c r="F35" s="21"/>
    </row>
    <row r="36" spans="1:49">
      <c r="A36" s="159" t="s">
        <v>882</v>
      </c>
      <c r="B36" s="160">
        <v>3035</v>
      </c>
      <c r="C36" s="161">
        <f t="shared" si="0"/>
        <v>1.0979470018992493E-2</v>
      </c>
      <c r="F36" s="21"/>
    </row>
    <row r="37" spans="1:49">
      <c r="A37" s="159" t="s">
        <v>883</v>
      </c>
      <c r="B37" s="160">
        <v>3007</v>
      </c>
      <c r="C37" s="161">
        <f t="shared" si="0"/>
        <v>1.0878176720629466E-2</v>
      </c>
      <c r="F37" s="21"/>
    </row>
    <row r="38" spans="1:49">
      <c r="A38" s="159" t="s">
        <v>884</v>
      </c>
      <c r="B38" s="160">
        <v>2875</v>
      </c>
      <c r="C38" s="161">
        <f t="shared" si="0"/>
        <v>1.0400651171203762E-2</v>
      </c>
      <c r="F38" s="21"/>
    </row>
    <row r="39" spans="1:49">
      <c r="A39" s="159" t="s">
        <v>885</v>
      </c>
      <c r="B39" s="160">
        <v>2758</v>
      </c>
      <c r="C39" s="161">
        <f t="shared" si="0"/>
        <v>9.9773898887582525E-3</v>
      </c>
      <c r="F39" s="21"/>
    </row>
    <row r="40" spans="1:49">
      <c r="A40" s="159" t="s">
        <v>886</v>
      </c>
      <c r="B40" s="160">
        <v>2756</v>
      </c>
      <c r="C40" s="161">
        <f t="shared" si="0"/>
        <v>9.9701546531608936E-3</v>
      </c>
      <c r="F40" s="21"/>
    </row>
    <row r="41" spans="1:49">
      <c r="A41" s="159" t="s">
        <v>887</v>
      </c>
      <c r="B41" s="160">
        <v>2672</v>
      </c>
      <c r="C41" s="161">
        <f t="shared" si="0"/>
        <v>9.6662747580718092E-3</v>
      </c>
      <c r="F41" s="21"/>
    </row>
    <row r="42" spans="1:49">
      <c r="A42" s="159" t="s">
        <v>888</v>
      </c>
      <c r="B42" s="160">
        <v>2484</v>
      </c>
      <c r="C42" s="161">
        <f t="shared" si="0"/>
        <v>8.98616261192005E-3</v>
      </c>
      <c r="F42" s="21"/>
    </row>
    <row r="43" spans="1:49" s="38" customFormat="1">
      <c r="A43" s="159" t="s">
        <v>889</v>
      </c>
      <c r="B43" s="160">
        <v>2365</v>
      </c>
      <c r="C43" s="161">
        <f t="shared" si="0"/>
        <v>8.555666093877182E-3</v>
      </c>
      <c r="D43" s="2"/>
      <c r="E43" s="2"/>
      <c r="F43" s="21"/>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row>
    <row r="44" spans="1:49">
      <c r="A44" s="159" t="s">
        <v>890</v>
      </c>
      <c r="B44" s="160">
        <v>2344</v>
      </c>
      <c r="C44" s="161">
        <f t="shared" si="0"/>
        <v>8.4796961201049105E-3</v>
      </c>
      <c r="F44" s="21"/>
      <c r="G44" s="21"/>
    </row>
    <row r="45" spans="1:49">
      <c r="A45" s="159" t="s">
        <v>891</v>
      </c>
      <c r="B45" s="160">
        <v>2216</v>
      </c>
      <c r="C45" s="161">
        <f t="shared" si="0"/>
        <v>8.0166410418739259E-3</v>
      </c>
      <c r="F45" s="21"/>
    </row>
    <row r="46" spans="1:49">
      <c r="A46" s="159" t="s">
        <v>892</v>
      </c>
      <c r="B46" s="160">
        <v>1864</v>
      </c>
      <c r="C46" s="161">
        <f t="shared" si="0"/>
        <v>6.7432395767387174E-3</v>
      </c>
    </row>
    <row r="47" spans="1:49">
      <c r="A47" s="159" t="s">
        <v>893</v>
      </c>
      <c r="B47" s="160">
        <v>1734</v>
      </c>
      <c r="C47" s="161">
        <f t="shared" si="0"/>
        <v>6.2729492629103739E-3</v>
      </c>
    </row>
    <row r="48" spans="1:49">
      <c r="A48" s="159" t="s">
        <v>894</v>
      </c>
      <c r="B48" s="160">
        <v>1719</v>
      </c>
      <c r="C48" s="161">
        <f t="shared" si="0"/>
        <v>6.2186849959301798E-3</v>
      </c>
    </row>
    <row r="49" spans="1:4">
      <c r="A49" s="159" t="s">
        <v>895</v>
      </c>
      <c r="B49" s="160">
        <v>1711</v>
      </c>
      <c r="C49" s="161">
        <f t="shared" si="0"/>
        <v>6.1897440535407435E-3</v>
      </c>
    </row>
    <row r="50" spans="1:4">
      <c r="A50" s="159" t="s">
        <v>896</v>
      </c>
      <c r="B50" s="160">
        <v>1665</v>
      </c>
      <c r="C50" s="161">
        <f t="shared" si="0"/>
        <v>6.0233336348014836E-3</v>
      </c>
    </row>
    <row r="51" spans="1:4">
      <c r="A51" s="159" t="s">
        <v>897</v>
      </c>
      <c r="B51" s="160">
        <v>1641</v>
      </c>
      <c r="C51" s="161">
        <f t="shared" si="0"/>
        <v>5.9365108076331738E-3</v>
      </c>
    </row>
    <row r="52" spans="1:4">
      <c r="A52" s="159" t="s">
        <v>898</v>
      </c>
      <c r="B52" s="160">
        <v>1539</v>
      </c>
      <c r="C52" s="161">
        <f t="shared" si="0"/>
        <v>5.5675137921678578E-3</v>
      </c>
    </row>
    <row r="53" spans="1:4">
      <c r="A53" s="159" t="s">
        <v>899</v>
      </c>
      <c r="B53" s="160">
        <v>1516</v>
      </c>
      <c r="C53" s="161">
        <f t="shared" si="0"/>
        <v>5.4843085827982275E-3</v>
      </c>
    </row>
    <row r="54" spans="1:4">
      <c r="A54" s="159" t="s">
        <v>900</v>
      </c>
      <c r="B54" s="160">
        <v>1489</v>
      </c>
      <c r="C54" s="161">
        <f t="shared" si="0"/>
        <v>5.3866329022338793E-3</v>
      </c>
    </row>
    <row r="55" spans="1:4">
      <c r="A55" s="159"/>
      <c r="B55" s="160">
        <f>SUM(B5:B54)</f>
        <v>276425</v>
      </c>
      <c r="C55" s="159"/>
    </row>
    <row r="56" spans="1:4">
      <c r="A56" s="132" t="s">
        <v>124</v>
      </c>
      <c r="B56" s="133">
        <v>0.15899510977495501</v>
      </c>
      <c r="C56" s="106"/>
    </row>
    <row r="57" spans="1:4">
      <c r="A57" s="132" t="s">
        <v>125</v>
      </c>
      <c r="B57" s="133">
        <v>0.4017755520145686</v>
      </c>
      <c r="C57" s="106"/>
    </row>
    <row r="58" spans="1:4">
      <c r="A58" s="132" t="s">
        <v>359</v>
      </c>
      <c r="B58" s="134">
        <v>410.70587790569999</v>
      </c>
      <c r="C58" s="106"/>
    </row>
    <row r="59" spans="1:4">
      <c r="A59" s="132" t="s">
        <v>548</v>
      </c>
      <c r="B59" s="135">
        <v>0.49194251042018267</v>
      </c>
      <c r="C59" s="161">
        <v>9.2234105535750038E-2</v>
      </c>
      <c r="D59" s="2">
        <f t="shared" ref="D59:D62" si="1">C59*100</f>
        <v>9.2234105535750039</v>
      </c>
    </row>
    <row r="60" spans="1:4">
      <c r="A60" s="132" t="s">
        <v>549</v>
      </c>
      <c r="B60" s="135">
        <v>0.36642542603044026</v>
      </c>
      <c r="C60" s="161">
        <v>8.5129672932026598E-2</v>
      </c>
      <c r="D60" s="2">
        <f t="shared" si="1"/>
        <v>8.5129672932026601</v>
      </c>
    </row>
    <row r="61" spans="1:4">
      <c r="A61" s="132" t="s">
        <v>550</v>
      </c>
      <c r="B61" s="135">
        <v>0.12822907917768864</v>
      </c>
      <c r="C61" s="161">
        <v>7.4681727382306218E-2</v>
      </c>
      <c r="D61" s="2">
        <f t="shared" si="1"/>
        <v>7.4681727382306216</v>
      </c>
    </row>
    <row r="62" spans="1:4">
      <c r="A62" s="62"/>
      <c r="B62" s="44"/>
      <c r="C62" s="161">
        <v>6.1563230727948788E-2</v>
      </c>
      <c r="D62" s="2">
        <f t="shared" si="1"/>
        <v>6.156323072794879</v>
      </c>
    </row>
    <row r="63" spans="1:4">
      <c r="A63" s="62"/>
      <c r="B63" s="44"/>
      <c r="C63" s="162">
        <v>7.3080248569956083E-2</v>
      </c>
      <c r="D63" s="2">
        <f>C63*100</f>
        <v>7.3080248569956083</v>
      </c>
    </row>
    <row r="64" spans="1:4">
      <c r="A64" s="62"/>
      <c r="B64" s="44"/>
      <c r="C64" s="163">
        <v>5.100454462205526E-2</v>
      </c>
      <c r="D64" s="2">
        <f t="shared" ref="D64:D101" si="2">C64*100</f>
        <v>5.1004544622055263</v>
      </c>
    </row>
    <row r="65" spans="1:4">
      <c r="A65" s="62"/>
      <c r="B65" s="44"/>
      <c r="C65" s="163">
        <v>1.4737012475349578E-2</v>
      </c>
      <c r="D65" s="2">
        <f t="shared" si="2"/>
        <v>1.4737012475349578</v>
      </c>
    </row>
    <row r="66" spans="1:4">
      <c r="A66" s="88"/>
      <c r="B66" s="44"/>
      <c r="C66" s="163">
        <v>3.6931975483744564E-2</v>
      </c>
      <c r="D66" s="2">
        <f t="shared" si="2"/>
        <v>3.6931975483744566</v>
      </c>
    </row>
    <row r="67" spans="1:4">
      <c r="A67" s="62"/>
      <c r="B67" s="44"/>
      <c r="C67" s="163">
        <v>2.4878291869513552E-2</v>
      </c>
      <c r="D67" s="2">
        <f t="shared" si="2"/>
        <v>2.4878291869513554</v>
      </c>
    </row>
    <row r="68" spans="1:4">
      <c r="A68" s="62"/>
      <c r="B68" s="44"/>
      <c r="C68" s="163">
        <v>4.0552339820174373E-2</v>
      </c>
      <c r="D68" s="2">
        <f t="shared" si="2"/>
        <v>4.0552339820174375</v>
      </c>
    </row>
    <row r="69" spans="1:4">
      <c r="A69" s="62"/>
      <c r="B69" s="44"/>
      <c r="C69" s="163">
        <v>2.2365333094815212E-2</v>
      </c>
      <c r="D69" s="2">
        <f t="shared" si="2"/>
        <v>2.2365333094815214</v>
      </c>
    </row>
    <row r="70" spans="1:4">
      <c r="A70" s="62"/>
      <c r="B70" s="44"/>
      <c r="C70" s="163">
        <v>2.0780891291107106E-2</v>
      </c>
      <c r="D70" s="2">
        <f t="shared" si="2"/>
        <v>2.0780891291107109</v>
      </c>
    </row>
    <row r="71" spans="1:4">
      <c r="A71" s="62"/>
      <c r="B71" s="44"/>
      <c r="C71" s="163">
        <v>2.8698841057487125E-2</v>
      </c>
      <c r="D71" s="2">
        <f t="shared" si="2"/>
        <v>2.8698841057487123</v>
      </c>
    </row>
    <row r="72" spans="1:4">
      <c r="A72" s="88"/>
      <c r="B72" s="44"/>
      <c r="C72" s="164">
        <f>B72/$B$55</f>
        <v>0</v>
      </c>
      <c r="D72" s="2">
        <f t="shared" si="2"/>
        <v>0</v>
      </c>
    </row>
    <row r="73" spans="1:4">
      <c r="A73" s="88"/>
      <c r="B73" s="44"/>
      <c r="C73" s="163">
        <v>3.6156791590532533E-2</v>
      </c>
      <c r="D73" s="2">
        <f t="shared" si="2"/>
        <v>3.6156791590532533</v>
      </c>
    </row>
    <row r="74" spans="1:4">
      <c r="A74" s="88"/>
      <c r="B74" s="44"/>
      <c r="C74" s="163">
        <v>1.1747017458674605E-2</v>
      </c>
      <c r="D74" s="2">
        <f t="shared" si="2"/>
        <v>1.1747017458674605</v>
      </c>
    </row>
    <row r="75" spans="1:4">
      <c r="A75" s="62"/>
      <c r="B75" s="44"/>
      <c r="C75" s="163">
        <v>1.8225339994803712E-2</v>
      </c>
      <c r="D75" s="2">
        <f t="shared" si="2"/>
        <v>1.8225339994803711</v>
      </c>
    </row>
    <row r="76" spans="1:4">
      <c r="A76" s="88"/>
      <c r="B76" s="44"/>
      <c r="C76" s="163">
        <v>2.8034397720448245E-2</v>
      </c>
      <c r="D76" s="2">
        <f t="shared" si="2"/>
        <v>2.8034397720448245</v>
      </c>
    </row>
    <row r="77" spans="1:4">
      <c r="A77" s="61"/>
      <c r="B77" s="44"/>
      <c r="C77" s="163">
        <v>1.8417006342026466E-2</v>
      </c>
      <c r="D77" s="2">
        <f t="shared" si="2"/>
        <v>1.8417006342026465</v>
      </c>
    </row>
    <row r="78" spans="1:4">
      <c r="A78" s="62"/>
      <c r="B78" s="44"/>
      <c r="C78" s="163">
        <v>2.8528470971066901E-2</v>
      </c>
      <c r="D78" s="2">
        <f t="shared" si="2"/>
        <v>2.8528470971066899</v>
      </c>
    </row>
    <row r="79" spans="1:4">
      <c r="A79" s="62"/>
      <c r="B79" s="44"/>
      <c r="C79" s="163">
        <v>2.3157553996669265E-2</v>
      </c>
      <c r="D79" s="2">
        <f t="shared" si="2"/>
        <v>2.3157553996669265</v>
      </c>
    </row>
    <row r="80" spans="1:4">
      <c r="A80" s="88"/>
      <c r="B80" s="44"/>
      <c r="C80" s="163">
        <v>1.863848745437276E-2</v>
      </c>
      <c r="D80" s="2">
        <f t="shared" si="2"/>
        <v>1.8638487454372761</v>
      </c>
    </row>
    <row r="81" spans="1:4">
      <c r="A81" s="62"/>
      <c r="B81" s="44"/>
      <c r="C81" s="163">
        <v>1.2926830307134674E-2</v>
      </c>
      <c r="D81" s="2">
        <f t="shared" si="2"/>
        <v>1.2926830307134674</v>
      </c>
    </row>
    <row r="82" spans="1:4">
      <c r="A82" s="88"/>
      <c r="B82" s="44"/>
      <c r="C82" s="163">
        <v>1.7058304902825162E-2</v>
      </c>
      <c r="D82" s="2">
        <f t="shared" si="2"/>
        <v>1.7058304902825161</v>
      </c>
    </row>
    <row r="83" spans="1:4">
      <c r="A83" s="88"/>
      <c r="B83" s="44"/>
      <c r="C83" s="163">
        <v>1.2973682080900235E-2</v>
      </c>
      <c r="D83" s="2">
        <f t="shared" si="2"/>
        <v>1.2973682080900235</v>
      </c>
    </row>
    <row r="84" spans="1:4">
      <c r="A84" s="62"/>
      <c r="B84" s="44"/>
      <c r="C84" s="163">
        <v>1.7181823215479827E-2</v>
      </c>
      <c r="D84" s="2">
        <f t="shared" si="2"/>
        <v>1.7181823215479828</v>
      </c>
    </row>
    <row r="85" spans="1:4">
      <c r="C85" s="163">
        <v>1.5409974316709473E-2</v>
      </c>
      <c r="D85" s="2">
        <f t="shared" si="2"/>
        <v>1.5409974316709474</v>
      </c>
    </row>
    <row r="86" spans="1:4">
      <c r="C86" s="163">
        <v>2.377940481210309E-2</v>
      </c>
      <c r="D86" s="2">
        <f t="shared" si="2"/>
        <v>2.3779404812103091</v>
      </c>
    </row>
    <row r="87" spans="1:4">
      <c r="C87" s="163">
        <v>2.3681442012411461E-2</v>
      </c>
      <c r="D87" s="2">
        <f t="shared" si="2"/>
        <v>2.368144201241146</v>
      </c>
    </row>
    <row r="88" spans="1:4">
      <c r="C88" s="163">
        <v>1.664941669541662E-2</v>
      </c>
      <c r="D88" s="2">
        <f t="shared" si="2"/>
        <v>1.6649416695416621</v>
      </c>
    </row>
    <row r="89" spans="1:4">
      <c r="C89" s="163">
        <v>1.2807571246640516E-2</v>
      </c>
      <c r="D89" s="2">
        <f t="shared" si="2"/>
        <v>1.2807571246640514</v>
      </c>
    </row>
    <row r="90" spans="1:4">
      <c r="C90" s="165">
        <v>1.5495159359919585E-2</v>
      </c>
      <c r="D90" s="2">
        <f t="shared" si="2"/>
        <v>1.5495159359919586</v>
      </c>
    </row>
    <row r="91" spans="1:4">
      <c r="C91" s="165">
        <v>6.9894327953897856E-3</v>
      </c>
      <c r="D91" s="2">
        <f t="shared" si="2"/>
        <v>0.6989432795389785</v>
      </c>
    </row>
    <row r="92" spans="1:4">
      <c r="C92" s="163">
        <v>1.2169666274758071E-2</v>
      </c>
      <c r="D92" s="2">
        <f t="shared" si="2"/>
        <v>1.2169666274758071</v>
      </c>
    </row>
    <row r="93" spans="1:4">
      <c r="C93" s="163">
        <v>6.4570262753265778E-3</v>
      </c>
      <c r="D93" s="2">
        <f t="shared" si="2"/>
        <v>0.64570262753265772</v>
      </c>
    </row>
    <row r="94" spans="1:4">
      <c r="C94" s="163">
        <v>6.342026466992925E-3</v>
      </c>
      <c r="D94" s="2">
        <f t="shared" si="2"/>
        <v>0.63420264669929249</v>
      </c>
    </row>
    <row r="95" spans="1:4">
      <c r="C95" s="163">
        <v>6.2729492629103739E-3</v>
      </c>
      <c r="D95" s="2">
        <f t="shared" si="2"/>
        <v>0.62729492629103745</v>
      </c>
    </row>
    <row r="96" spans="1:4">
      <c r="C96" s="163">
        <v>6.2186849959301798E-3</v>
      </c>
      <c r="D96" s="2">
        <f t="shared" si="2"/>
        <v>0.62186849959301793</v>
      </c>
    </row>
    <row r="97" spans="3:4">
      <c r="C97" s="163">
        <v>6.1897440535407435E-3</v>
      </c>
      <c r="D97" s="2">
        <f t="shared" si="2"/>
        <v>0.61897440535407433</v>
      </c>
    </row>
    <row r="98" spans="3:4">
      <c r="C98" s="163">
        <v>8.4796961201049105E-3</v>
      </c>
      <c r="D98" s="2">
        <f t="shared" si="2"/>
        <v>0.84796961201049104</v>
      </c>
    </row>
    <row r="99" spans="3:4">
      <c r="C99" s="163">
        <v>8.0166410418739259E-3</v>
      </c>
      <c r="D99" s="2">
        <f t="shared" si="2"/>
        <v>0.80166410418739265</v>
      </c>
    </row>
    <row r="100" spans="3:4">
      <c r="C100" s="163">
        <v>6.7432395767387174E-3</v>
      </c>
      <c r="D100" s="2">
        <f t="shared" si="2"/>
        <v>0.67432395767387177</v>
      </c>
    </row>
    <row r="101" spans="3:4">
      <c r="C101" s="163">
        <v>6.5549890750182084E-3</v>
      </c>
      <c r="D101" s="2">
        <f t="shared" si="2"/>
        <v>0.65549890750182083</v>
      </c>
    </row>
  </sheetData>
  <mergeCells count="1">
    <mergeCell ref="A1:C1"/>
  </mergeCells>
  <pageMargins left="0.7" right="0.7" top="0.75" bottom="0.75" header="0.3" footer="0.3"/>
  <pageSetup orientation="portrait" horizontalDpi="0" verticalDpi="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C8965-910E-464B-A554-FB126943EF2F}">
  <sheetPr>
    <tabColor rgb="FFFFC000"/>
  </sheetPr>
  <dimension ref="A1:AI7"/>
  <sheetViews>
    <sheetView zoomScale="115" zoomScaleNormal="115" workbookViewId="0">
      <pane xSplit="1" ySplit="2" topLeftCell="B3" activePane="bottomRight" state="frozen"/>
      <selection pane="topRight" activeCell="B1" sqref="B1"/>
      <selection pane="bottomLeft" activeCell="A3" sqref="A3"/>
      <selection pane="bottomRight" sqref="A1:N1"/>
    </sheetView>
  </sheetViews>
  <sheetFormatPr baseColWidth="10" defaultColWidth="11" defaultRowHeight="18"/>
  <cols>
    <col min="1" max="1" width="24.33203125" style="34" customWidth="1"/>
    <col min="2" max="16384" width="11" style="34"/>
  </cols>
  <sheetData>
    <row r="1" spans="1:35">
      <c r="A1" s="633" t="s">
        <v>1078</v>
      </c>
      <c r="B1" s="634"/>
      <c r="C1" s="634"/>
      <c r="D1" s="634"/>
      <c r="E1" s="634"/>
      <c r="F1" s="634"/>
      <c r="G1" s="634"/>
      <c r="H1" s="634"/>
      <c r="I1" s="634"/>
      <c r="J1" s="634"/>
      <c r="K1" s="634"/>
      <c r="L1" s="634"/>
      <c r="M1" s="634"/>
      <c r="N1" s="634"/>
    </row>
    <row r="2" spans="1:35">
      <c r="A2" s="305"/>
      <c r="B2" s="305">
        <v>2010</v>
      </c>
      <c r="C2" s="487">
        <v>2011</v>
      </c>
      <c r="D2" s="487">
        <v>2012</v>
      </c>
      <c r="E2" s="487">
        <v>2013</v>
      </c>
      <c r="F2" s="487">
        <v>2014</v>
      </c>
      <c r="G2" s="487">
        <v>2015</v>
      </c>
      <c r="H2" s="487">
        <v>2016</v>
      </c>
      <c r="I2" s="487">
        <v>2017</v>
      </c>
      <c r="J2" s="487">
        <v>2018</v>
      </c>
      <c r="K2" s="487">
        <v>2019</v>
      </c>
      <c r="L2" s="487">
        <v>2020</v>
      </c>
      <c r="M2" s="487">
        <v>2021</v>
      </c>
      <c r="N2" s="487">
        <v>2022</v>
      </c>
      <c r="O2" s="487">
        <v>2023</v>
      </c>
      <c r="P2" s="487">
        <v>2024</v>
      </c>
    </row>
    <row r="3" spans="1:35">
      <c r="A3" s="34" t="s">
        <v>555</v>
      </c>
      <c r="B3" s="488">
        <v>18.617246099999999</v>
      </c>
      <c r="C3" s="488">
        <v>105.090925</v>
      </c>
      <c r="D3" s="488">
        <v>206.19409200000001</v>
      </c>
      <c r="E3" s="488">
        <v>329.13117</v>
      </c>
      <c r="F3" s="488">
        <v>492.48086899999998</v>
      </c>
      <c r="G3" s="488">
        <v>725.14321700000005</v>
      </c>
      <c r="H3" s="488">
        <v>876.02756199999999</v>
      </c>
      <c r="I3" s="488">
        <v>983.86487899999997</v>
      </c>
      <c r="J3" s="488">
        <v>1815.42614</v>
      </c>
      <c r="K3" s="488">
        <v>1720.91697</v>
      </c>
      <c r="L3" s="488">
        <v>1745.68436</v>
      </c>
      <c r="M3" s="488">
        <v>2182.86969</v>
      </c>
      <c r="N3" s="488">
        <v>2287.1038800000001</v>
      </c>
      <c r="O3" s="488">
        <v>2274.0070000000001</v>
      </c>
      <c r="P3" s="489">
        <v>2743.9520118524847</v>
      </c>
      <c r="AH3" s="490"/>
    </row>
    <row r="4" spans="1:35">
      <c r="A4" s="34" t="s">
        <v>556</v>
      </c>
      <c r="B4" s="488">
        <v>451.47</v>
      </c>
      <c r="C4" s="488">
        <v>437.53</v>
      </c>
      <c r="D4" s="488">
        <v>446.37</v>
      </c>
      <c r="E4" s="488">
        <v>464.27</v>
      </c>
      <c r="F4" s="488">
        <v>500.57</v>
      </c>
      <c r="G4" s="488">
        <v>597.20000000000005</v>
      </c>
      <c r="H4" s="488">
        <v>625.89</v>
      </c>
      <c r="I4" s="488">
        <v>634.79999999999995</v>
      </c>
      <c r="J4" s="488">
        <v>936.53</v>
      </c>
      <c r="K4" s="488">
        <v>1072.57</v>
      </c>
      <c r="L4" s="488">
        <v>959.35</v>
      </c>
      <c r="M4" s="488">
        <v>1011.55</v>
      </c>
      <c r="N4" s="488">
        <v>1126.6400000000001</v>
      </c>
      <c r="O4" s="488">
        <v>1144.8599999999999</v>
      </c>
      <c r="P4" s="489">
        <v>1000.9315029311925</v>
      </c>
      <c r="AH4" s="490"/>
      <c r="AI4" s="479"/>
    </row>
    <row r="5" spans="1:35">
      <c r="A5" s="34" t="s">
        <v>557</v>
      </c>
      <c r="B5" s="488">
        <v>367.4</v>
      </c>
      <c r="C5" s="488">
        <v>363.3</v>
      </c>
      <c r="D5" s="488">
        <v>378.2</v>
      </c>
      <c r="E5" s="488">
        <v>401.3</v>
      </c>
      <c r="F5" s="488">
        <v>441.5</v>
      </c>
      <c r="G5" s="488">
        <v>537.5</v>
      </c>
      <c r="H5" s="488">
        <v>576.20000000000005</v>
      </c>
      <c r="I5" s="488">
        <v>589.5</v>
      </c>
      <c r="J5" s="488">
        <v>755.3</v>
      </c>
      <c r="K5" s="488">
        <v>799.4</v>
      </c>
      <c r="L5" s="488">
        <v>783.2</v>
      </c>
      <c r="M5" s="488">
        <v>738.1</v>
      </c>
      <c r="N5" s="488">
        <v>880.9</v>
      </c>
      <c r="O5" s="488">
        <v>865.2</v>
      </c>
      <c r="P5" s="489">
        <v>870.09078359378179</v>
      </c>
      <c r="AH5" s="490"/>
      <c r="AI5" s="489"/>
    </row>
    <row r="6" spans="1:35">
      <c r="A6" s="34" t="s">
        <v>121</v>
      </c>
      <c r="B6" s="488">
        <v>77.778265700000006</v>
      </c>
      <c r="C6" s="488">
        <v>83.414930600000005</v>
      </c>
      <c r="D6" s="488">
        <v>94.1757037</v>
      </c>
      <c r="E6" s="488">
        <v>108.39686500000001</v>
      </c>
      <c r="F6" s="488">
        <v>129.33717899999999</v>
      </c>
      <c r="G6" s="488">
        <v>216.44570899999999</v>
      </c>
      <c r="H6" s="488">
        <v>166.18409</v>
      </c>
      <c r="I6" s="488">
        <v>163.306209</v>
      </c>
      <c r="J6" s="488">
        <v>0</v>
      </c>
      <c r="K6" s="488">
        <v>0</v>
      </c>
      <c r="L6" s="488">
        <v>0</v>
      </c>
      <c r="M6" s="488">
        <v>0</v>
      </c>
      <c r="N6" s="488">
        <v>0</v>
      </c>
      <c r="O6" s="488">
        <v>48.06</v>
      </c>
      <c r="P6" s="488">
        <v>0</v>
      </c>
    </row>
    <row r="7" spans="1:35">
      <c r="A7" s="491" t="s">
        <v>67</v>
      </c>
      <c r="B7" s="488">
        <f t="shared" ref="B7:O7" si="0">SUM(B3:B6)</f>
        <v>915.26551180000001</v>
      </c>
      <c r="C7" s="488">
        <f t="shared" si="0"/>
        <v>989.33585559999995</v>
      </c>
      <c r="D7" s="488">
        <f t="shared" si="0"/>
        <v>1124.9397957000001</v>
      </c>
      <c r="E7" s="488">
        <f t="shared" si="0"/>
        <v>1303.098035</v>
      </c>
      <c r="F7" s="488">
        <f t="shared" si="0"/>
        <v>1563.8880479999998</v>
      </c>
      <c r="G7" s="488">
        <f t="shared" si="0"/>
        <v>2076.2889260000002</v>
      </c>
      <c r="H7" s="488">
        <f t="shared" si="0"/>
        <v>2244.3016520000006</v>
      </c>
      <c r="I7" s="488">
        <f t="shared" si="0"/>
        <v>2371.4710879999998</v>
      </c>
      <c r="J7" s="488">
        <f t="shared" si="0"/>
        <v>3507.2561400000004</v>
      </c>
      <c r="K7" s="488">
        <f t="shared" si="0"/>
        <v>3592.88697</v>
      </c>
      <c r="L7" s="488">
        <f t="shared" si="0"/>
        <v>3488.2343600000004</v>
      </c>
      <c r="M7" s="488">
        <f t="shared" si="0"/>
        <v>3932.5196899999996</v>
      </c>
      <c r="N7" s="488">
        <f t="shared" si="0"/>
        <v>4294.6438799999996</v>
      </c>
      <c r="O7" s="488">
        <f t="shared" si="0"/>
        <v>4332.1270000000004</v>
      </c>
      <c r="P7" s="488">
        <f>SUM(P3:P6)</f>
        <v>4614.9742983774586</v>
      </c>
      <c r="R7" s="34">
        <f>2883.6/P7</f>
        <v>0.62483554914137251</v>
      </c>
    </row>
  </sheetData>
  <mergeCells count="1">
    <mergeCell ref="A1:N1"/>
  </mergeCells>
  <pageMargins left="0.7" right="0.7" top="0.75" bottom="0.75" header="0.3" footer="0.3"/>
  <pageSetup orientation="portrait" horizontalDpi="0" verticalDpi="0"/>
  <ignoredErrors>
    <ignoredError sqref="B7:P7" formulaRange="1"/>
  </ignoredError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FE91A-A094-3544-80D8-0624E39C0C22}">
  <sheetPr>
    <tabColor rgb="FFFFC000"/>
  </sheetPr>
  <dimension ref="A1:J26"/>
  <sheetViews>
    <sheetView zoomScale="120" zoomScaleNormal="120" workbookViewId="0">
      <pane xSplit="1" ySplit="2" topLeftCell="B12" activePane="bottomRight" state="frozen"/>
      <selection pane="topRight" activeCell="B1" sqref="B1"/>
      <selection pane="bottomLeft" activeCell="A3" sqref="A3"/>
      <selection pane="bottomRight" activeCell="C29" sqref="A25:C29"/>
    </sheetView>
  </sheetViews>
  <sheetFormatPr baseColWidth="10" defaultColWidth="11" defaultRowHeight="16"/>
  <cols>
    <col min="1" max="1" width="15.33203125" style="2" customWidth="1"/>
    <col min="2" max="2" width="17.6640625" style="2" customWidth="1"/>
    <col min="3" max="3" width="12.1640625" style="2" customWidth="1"/>
    <col min="4" max="4" width="15.83203125" style="2" customWidth="1"/>
    <col min="5" max="5" width="15.33203125" style="2" customWidth="1"/>
    <col min="6" max="6" width="14.83203125" style="2" customWidth="1"/>
    <col min="7" max="7" width="15" style="2" customWidth="1"/>
    <col min="8" max="16384" width="11" style="2"/>
  </cols>
  <sheetData>
    <row r="1" spans="1:9">
      <c r="A1" s="646" t="s">
        <v>1079</v>
      </c>
      <c r="B1" s="646"/>
      <c r="C1" s="646"/>
      <c r="D1" s="646"/>
      <c r="E1" s="646"/>
      <c r="F1" s="646"/>
      <c r="G1" s="646"/>
    </row>
    <row r="2" spans="1:9" ht="68">
      <c r="A2" s="318"/>
      <c r="B2" s="257" t="s">
        <v>558</v>
      </c>
      <c r="C2" s="257" t="s">
        <v>559</v>
      </c>
      <c r="D2" s="257" t="s">
        <v>560</v>
      </c>
      <c r="E2" s="257" t="s">
        <v>561</v>
      </c>
      <c r="F2" s="318" t="s">
        <v>562</v>
      </c>
      <c r="G2" s="318" t="s">
        <v>563</v>
      </c>
      <c r="H2" s="318" t="s">
        <v>501</v>
      </c>
    </row>
    <row r="3" spans="1:9">
      <c r="A3" s="25" t="s">
        <v>101</v>
      </c>
      <c r="B3" s="6"/>
      <c r="C3" s="6">
        <v>766.66561869999759</v>
      </c>
      <c r="D3" s="6"/>
      <c r="E3" s="6"/>
      <c r="F3" s="6"/>
      <c r="G3" s="6">
        <v>766.66561869999759</v>
      </c>
      <c r="H3" s="319">
        <v>16.612565295749171</v>
      </c>
    </row>
    <row r="4" spans="1:9">
      <c r="A4" s="25" t="s">
        <v>99</v>
      </c>
      <c r="B4" s="6">
        <v>575.59408527642495</v>
      </c>
      <c r="C4" s="6"/>
      <c r="D4" s="6"/>
      <c r="E4" s="6"/>
      <c r="F4" s="6"/>
      <c r="G4" s="6">
        <v>575.59408527642495</v>
      </c>
      <c r="H4" s="319">
        <v>12.47231399487519</v>
      </c>
      <c r="I4" s="6"/>
    </row>
    <row r="5" spans="1:9">
      <c r="A5" s="25" t="s">
        <v>103</v>
      </c>
      <c r="B5" s="6"/>
      <c r="C5" s="6">
        <v>403.92862580789654</v>
      </c>
      <c r="D5" s="6"/>
      <c r="E5" s="6"/>
      <c r="F5" s="6">
        <v>155.75270001712488</v>
      </c>
      <c r="G5" s="6">
        <v>559.68132582502142</v>
      </c>
      <c r="H5" s="319">
        <v>12.127506886046909</v>
      </c>
    </row>
    <row r="6" spans="1:9">
      <c r="A6" s="25" t="s">
        <v>112</v>
      </c>
      <c r="B6" s="6">
        <v>260.33657382736851</v>
      </c>
      <c r="C6" s="6">
        <v>88.474712087097785</v>
      </c>
      <c r="D6" s="6"/>
      <c r="E6" s="6"/>
      <c r="F6" s="6"/>
      <c r="G6" s="6">
        <v>348.81128591446628</v>
      </c>
      <c r="H6" s="319">
        <v>7.5582498051419682</v>
      </c>
    </row>
    <row r="7" spans="1:9">
      <c r="A7" s="25" t="s">
        <v>572</v>
      </c>
      <c r="B7" s="6">
        <v>182.8</v>
      </c>
      <c r="C7" s="6">
        <v>106.8</v>
      </c>
      <c r="D7" s="6">
        <v>29.94</v>
      </c>
      <c r="E7" s="6"/>
      <c r="F7" s="6"/>
      <c r="G7" s="6">
        <v>319.54000000000002</v>
      </c>
      <c r="H7" s="319">
        <v>6.92398222266036</v>
      </c>
    </row>
    <row r="8" spans="1:9">
      <c r="A8" s="25" t="s">
        <v>114</v>
      </c>
      <c r="B8" s="6"/>
      <c r="C8" s="6">
        <v>282.07419557995502</v>
      </c>
      <c r="D8" s="6"/>
      <c r="E8" s="6"/>
      <c r="F8" s="6"/>
      <c r="G8" s="6">
        <v>282.07419557995502</v>
      </c>
      <c r="H8" s="319">
        <v>6.1121509534544352</v>
      </c>
    </row>
    <row r="9" spans="1:9">
      <c r="A9" s="25" t="s">
        <v>115</v>
      </c>
      <c r="B9" s="6">
        <v>48.310535977488946</v>
      </c>
      <c r="C9" s="6">
        <v>154.27503510116574</v>
      </c>
      <c r="D9" s="6">
        <v>53.320705831435085</v>
      </c>
      <c r="E9" s="6"/>
      <c r="F9" s="6"/>
      <c r="G9" s="6">
        <v>255.90627691008976</v>
      </c>
      <c r="H9" s="319">
        <v>5.5451289728755748</v>
      </c>
    </row>
    <row r="10" spans="1:9">
      <c r="A10" s="25" t="s">
        <v>565</v>
      </c>
      <c r="B10" s="6"/>
      <c r="C10" s="6">
        <v>233.7</v>
      </c>
      <c r="D10" s="6"/>
      <c r="E10" s="6"/>
      <c r="F10" s="6"/>
      <c r="G10" s="6">
        <v>233.7</v>
      </c>
      <c r="H10" s="319">
        <v>5.063950195392521</v>
      </c>
    </row>
    <row r="11" spans="1:9">
      <c r="A11" s="557" t="s">
        <v>91</v>
      </c>
      <c r="B11" s="516">
        <v>217.81435496372796</v>
      </c>
      <c r="C11" s="516"/>
      <c r="D11" s="516"/>
      <c r="E11" s="516"/>
      <c r="F11" s="516"/>
      <c r="G11" s="516">
        <v>217.81435496372796</v>
      </c>
      <c r="H11" s="563">
        <v>4.7197306177914689</v>
      </c>
    </row>
    <row r="12" spans="1:9">
      <c r="A12" s="25" t="s">
        <v>564</v>
      </c>
      <c r="B12" s="6">
        <v>184</v>
      </c>
      <c r="C12" s="6"/>
      <c r="D12" s="6"/>
      <c r="E12" s="6"/>
      <c r="F12" s="6"/>
      <c r="G12" s="6">
        <v>184</v>
      </c>
      <c r="H12" s="319">
        <v>3.9870211208909878</v>
      </c>
    </row>
    <row r="13" spans="1:9">
      <c r="A13" s="25" t="s">
        <v>573</v>
      </c>
      <c r="B13" s="6">
        <v>151.62462270539072</v>
      </c>
      <c r="C13" s="6"/>
      <c r="D13" s="6"/>
      <c r="E13" s="6"/>
      <c r="F13" s="6"/>
      <c r="G13" s="6">
        <v>151.62462270539072</v>
      </c>
      <c r="H13" s="319">
        <v>3.2854922455082614</v>
      </c>
    </row>
    <row r="14" spans="1:9">
      <c r="A14" s="25" t="s">
        <v>566</v>
      </c>
      <c r="B14" s="6"/>
      <c r="C14" s="6"/>
      <c r="D14" s="6">
        <v>68.293051000319977</v>
      </c>
      <c r="E14" s="6">
        <v>53.758799999999994</v>
      </c>
      <c r="F14" s="6"/>
      <c r="G14" s="6">
        <v>122.05185100031997</v>
      </c>
      <c r="H14" s="319">
        <v>2.6446918901201935</v>
      </c>
    </row>
    <row r="15" spans="1:9">
      <c r="A15" s="25" t="s">
        <v>567</v>
      </c>
      <c r="B15" s="6">
        <v>14.54</v>
      </c>
      <c r="C15" s="6">
        <v>33.26</v>
      </c>
      <c r="D15" s="6">
        <v>22.92</v>
      </c>
      <c r="E15" s="6"/>
      <c r="F15" s="6">
        <v>7.27</v>
      </c>
      <c r="G15" s="6">
        <v>77.989999999999995</v>
      </c>
      <c r="H15" s="319">
        <v>1.6899335718385224</v>
      </c>
    </row>
    <row r="16" spans="1:9">
      <c r="A16" s="25" t="s">
        <v>571</v>
      </c>
      <c r="B16" s="6"/>
      <c r="C16" s="6">
        <v>58.417768715783637</v>
      </c>
      <c r="D16" s="6"/>
      <c r="E16" s="6"/>
      <c r="F16" s="6"/>
      <c r="G16" s="6">
        <v>58.417768715783637</v>
      </c>
      <c r="H16" s="319">
        <v>1.2658308570932293</v>
      </c>
    </row>
    <row r="17" spans="1:10">
      <c r="A17" s="25" t="s">
        <v>568</v>
      </c>
      <c r="B17" s="6"/>
      <c r="C17" s="6">
        <v>30.969303512780325</v>
      </c>
      <c r="D17" s="6"/>
      <c r="E17" s="6"/>
      <c r="F17" s="6"/>
      <c r="G17" s="6">
        <v>30.969303512780325</v>
      </c>
      <c r="H17" s="319">
        <v>0.67106123480836211</v>
      </c>
    </row>
    <row r="18" spans="1:10">
      <c r="A18" s="25" t="s">
        <v>569</v>
      </c>
      <c r="B18" s="6"/>
      <c r="C18" s="6">
        <v>20.92</v>
      </c>
      <c r="D18" s="6"/>
      <c r="E18" s="6"/>
      <c r="F18" s="6"/>
      <c r="G18" s="6">
        <v>20.92</v>
      </c>
      <c r="H18" s="319">
        <v>0.45330696657086678</v>
      </c>
      <c r="J18" s="6"/>
    </row>
    <row r="19" spans="1:10">
      <c r="A19" s="25" t="s">
        <v>121</v>
      </c>
      <c r="B19" s="6"/>
      <c r="C19" s="6"/>
      <c r="D19" s="6"/>
      <c r="E19" s="6"/>
      <c r="F19" s="6">
        <v>409.2136092735027</v>
      </c>
      <c r="G19" s="6">
        <v>409.2136092735027</v>
      </c>
      <c r="H19" s="319">
        <v>8.8670831691819973</v>
      </c>
    </row>
    <row r="20" spans="1:10">
      <c r="A20" s="315" t="s">
        <v>1116</v>
      </c>
      <c r="B20" s="6"/>
      <c r="C20" s="6"/>
      <c r="D20" s="6"/>
      <c r="E20" s="6"/>
      <c r="F20" s="6"/>
      <c r="G20" s="6">
        <v>4614.9742983774595</v>
      </c>
    </row>
    <row r="21" spans="1:10">
      <c r="A21" s="317" t="s">
        <v>124</v>
      </c>
      <c r="F21" s="6"/>
      <c r="G21" s="6">
        <v>48.770635981813243</v>
      </c>
    </row>
    <row r="22" spans="1:10">
      <c r="A22" s="317" t="s">
        <v>125</v>
      </c>
      <c r="F22" s="6"/>
      <c r="G22" s="6">
        <v>81.122600064878583</v>
      </c>
    </row>
    <row r="23" spans="1:10">
      <c r="A23" s="317" t="s">
        <v>574</v>
      </c>
      <c r="F23" s="6"/>
      <c r="G23" s="547">
        <v>838.50653411981591</v>
      </c>
    </row>
    <row r="26" spans="1:10">
      <c r="A26" s="38"/>
    </row>
  </sheetData>
  <mergeCells count="1">
    <mergeCell ref="A1:G1"/>
  </mergeCells>
  <pageMargins left="0.7" right="0.7" top="0.75" bottom="0.75" header="0.3" footer="0.3"/>
  <pageSetup orientation="portrait" horizontalDpi="0" verticalDpi="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0E1F0F-8469-A54B-BC9D-A960373C2F2E}">
  <sheetPr>
    <tabColor rgb="FFFFC000"/>
  </sheetPr>
  <dimension ref="A1:H48"/>
  <sheetViews>
    <sheetView zoomScaleNormal="100" workbookViewId="0">
      <pane xSplit="1" ySplit="2" topLeftCell="B5" activePane="bottomRight" state="frozen"/>
      <selection pane="topRight" activeCell="B1" sqref="B1"/>
      <selection pane="bottomLeft" activeCell="A3" sqref="A3"/>
      <selection pane="bottomRight" activeCell="D23" sqref="D23"/>
    </sheetView>
  </sheetViews>
  <sheetFormatPr baseColWidth="10" defaultColWidth="11" defaultRowHeight="16"/>
  <cols>
    <col min="1" max="1" width="32" style="2" customWidth="1"/>
    <col min="2" max="2" width="18.33203125" style="2" bestFit="1" customWidth="1"/>
    <col min="3" max="3" width="13" style="2" bestFit="1" customWidth="1"/>
    <col min="4" max="4" width="19.83203125" style="2" customWidth="1"/>
    <col min="5" max="10" width="11" style="2"/>
    <col min="11" max="11" width="11.6640625" style="2" bestFit="1" customWidth="1"/>
    <col min="12" max="16384" width="11" style="2"/>
  </cols>
  <sheetData>
    <row r="1" spans="1:8" ht="28.5" customHeight="1">
      <c r="A1" s="656" t="s">
        <v>1080</v>
      </c>
      <c r="B1" s="657"/>
      <c r="C1" s="657"/>
      <c r="D1" s="657"/>
      <c r="E1" s="657"/>
      <c r="F1" s="657"/>
      <c r="G1" s="27"/>
      <c r="H1" s="27"/>
    </row>
    <row r="2" spans="1:8" ht="33" customHeight="1">
      <c r="A2" s="236"/>
      <c r="B2" s="263" t="s">
        <v>570</v>
      </c>
      <c r="C2" s="263" t="s">
        <v>202</v>
      </c>
      <c r="D2" s="312"/>
      <c r="E2" s="312"/>
      <c r="F2" s="313"/>
      <c r="G2" s="31"/>
      <c r="H2" s="31"/>
    </row>
    <row r="3" spans="1:8">
      <c r="A3" s="25" t="s">
        <v>101</v>
      </c>
      <c r="B3" s="6">
        <v>766.66561869999759</v>
      </c>
      <c r="C3" s="236">
        <f>(B3/B$20)*100</f>
        <v>16.612565295749171</v>
      </c>
      <c r="D3" s="236"/>
      <c r="E3" s="236"/>
      <c r="F3" s="236"/>
    </row>
    <row r="4" spans="1:8">
      <c r="A4" s="25" t="s">
        <v>99</v>
      </c>
      <c r="B4" s="6">
        <v>575.59408527642495</v>
      </c>
      <c r="C4" s="236">
        <f t="shared" ref="C4:C19" si="0">(B4/B$20)*100</f>
        <v>12.47231399487519</v>
      </c>
      <c r="D4" s="236"/>
      <c r="E4" s="236"/>
      <c r="F4" s="236"/>
      <c r="G4" s="21"/>
      <c r="H4" s="21"/>
    </row>
    <row r="5" spans="1:8">
      <c r="A5" s="25" t="s">
        <v>103</v>
      </c>
      <c r="B5" s="6">
        <v>559.68132582502142</v>
      </c>
      <c r="C5" s="236">
        <f t="shared" si="0"/>
        <v>12.127506886046909</v>
      </c>
      <c r="D5" s="236"/>
      <c r="E5" s="236"/>
      <c r="F5" s="236"/>
    </row>
    <row r="6" spans="1:8">
      <c r="A6" s="25" t="s">
        <v>112</v>
      </c>
      <c r="B6" s="6">
        <v>348.81128591446628</v>
      </c>
      <c r="C6" s="236">
        <f t="shared" si="0"/>
        <v>7.5582498051419682</v>
      </c>
      <c r="D6" s="236"/>
      <c r="E6" s="236"/>
      <c r="F6" s="236"/>
      <c r="G6" s="21"/>
      <c r="H6" s="21"/>
    </row>
    <row r="7" spans="1:8">
      <c r="A7" s="25" t="s">
        <v>572</v>
      </c>
      <c r="B7" s="6">
        <v>318.83</v>
      </c>
      <c r="C7" s="236">
        <f t="shared" si="0"/>
        <v>6.908597521596052</v>
      </c>
      <c r="D7" s="236"/>
      <c r="E7" s="236"/>
      <c r="F7" s="236"/>
    </row>
    <row r="8" spans="1:8">
      <c r="A8" s="25" t="s">
        <v>114</v>
      </c>
      <c r="B8" s="6">
        <v>282.07419557995502</v>
      </c>
      <c r="C8" s="236">
        <f t="shared" si="0"/>
        <v>6.1121509534544352</v>
      </c>
      <c r="D8" s="236"/>
      <c r="E8" s="236"/>
      <c r="F8" s="256"/>
      <c r="G8" s="12"/>
      <c r="H8" s="12"/>
    </row>
    <row r="9" spans="1:8">
      <c r="A9" s="25" t="s">
        <v>115</v>
      </c>
      <c r="B9" s="6">
        <v>255.90627691008976</v>
      </c>
      <c r="C9" s="236">
        <f t="shared" si="0"/>
        <v>5.5451289728755748</v>
      </c>
      <c r="D9" s="236"/>
      <c r="E9" s="236"/>
      <c r="F9" s="236"/>
    </row>
    <row r="10" spans="1:8">
      <c r="A10" s="25" t="s">
        <v>565</v>
      </c>
      <c r="B10" s="6">
        <v>233.7</v>
      </c>
      <c r="C10" s="236">
        <f t="shared" si="0"/>
        <v>5.063950195392521</v>
      </c>
      <c r="D10" s="236"/>
      <c r="E10" s="236"/>
      <c r="F10" s="236"/>
    </row>
    <row r="11" spans="1:8">
      <c r="A11" s="25" t="s">
        <v>91</v>
      </c>
      <c r="B11" s="6">
        <v>217.18</v>
      </c>
      <c r="C11" s="236">
        <f t="shared" si="0"/>
        <v>4.7059850382342647</v>
      </c>
      <c r="D11" s="236"/>
      <c r="E11" s="236"/>
      <c r="F11" s="236"/>
    </row>
    <row r="12" spans="1:8">
      <c r="A12" s="25" t="s">
        <v>564</v>
      </c>
      <c r="B12" s="6">
        <v>184</v>
      </c>
      <c r="C12" s="236">
        <f t="shared" si="0"/>
        <v>3.9870211208909878</v>
      </c>
      <c r="D12" s="236"/>
      <c r="E12" s="236"/>
      <c r="F12" s="236"/>
    </row>
    <row r="13" spans="1:8">
      <c r="A13" s="25" t="s">
        <v>573</v>
      </c>
      <c r="B13" s="6">
        <v>151.62462270539072</v>
      </c>
      <c r="C13" s="236">
        <f t="shared" si="0"/>
        <v>3.2854922455082614</v>
      </c>
      <c r="D13" s="236"/>
      <c r="E13" s="236"/>
      <c r="F13" s="236"/>
    </row>
    <row r="14" spans="1:8">
      <c r="A14" s="25" t="s">
        <v>566</v>
      </c>
      <c r="B14" s="6">
        <v>122.05185100031997</v>
      </c>
      <c r="C14" s="236">
        <f t="shared" si="0"/>
        <v>2.6446918901201935</v>
      </c>
      <c r="D14" s="236"/>
      <c r="E14" s="236"/>
      <c r="F14" s="236"/>
    </row>
    <row r="15" spans="1:8">
      <c r="A15" s="25" t="s">
        <v>567</v>
      </c>
      <c r="B15" s="6">
        <v>77.989999999999995</v>
      </c>
      <c r="C15" s="236">
        <f t="shared" si="0"/>
        <v>1.6899335718385224</v>
      </c>
      <c r="D15" s="236"/>
      <c r="E15" s="236"/>
      <c r="F15" s="236"/>
    </row>
    <row r="16" spans="1:8">
      <c r="A16" s="25" t="s">
        <v>571</v>
      </c>
      <c r="B16" s="6">
        <v>58.417768715783637</v>
      </c>
      <c r="C16" s="236">
        <f t="shared" si="0"/>
        <v>1.2658308570932293</v>
      </c>
      <c r="D16" s="236"/>
      <c r="E16" s="236"/>
      <c r="F16" s="236"/>
    </row>
    <row r="17" spans="1:6">
      <c r="A17" s="25" t="s">
        <v>568</v>
      </c>
      <c r="B17" s="6">
        <v>30.969303512780325</v>
      </c>
      <c r="C17" s="236">
        <f t="shared" si="0"/>
        <v>0.67106123480836211</v>
      </c>
      <c r="D17" s="236"/>
      <c r="E17" s="236"/>
      <c r="F17" s="236"/>
    </row>
    <row r="18" spans="1:6">
      <c r="A18" s="25" t="s">
        <v>569</v>
      </c>
      <c r="B18" s="6">
        <v>20.92</v>
      </c>
      <c r="C18" s="236">
        <f t="shared" si="0"/>
        <v>0.45330696657086678</v>
      </c>
      <c r="D18" s="236"/>
      <c r="E18" s="236"/>
      <c r="F18" s="236"/>
    </row>
    <row r="19" spans="1:6">
      <c r="A19" s="25" t="s">
        <v>121</v>
      </c>
      <c r="B19" s="6">
        <v>363.1</v>
      </c>
      <c r="C19" s="236">
        <f t="shared" si="0"/>
        <v>7.8678661358452056</v>
      </c>
      <c r="D19" s="236"/>
      <c r="E19" s="236"/>
      <c r="F19" s="236"/>
    </row>
    <row r="20" spans="1:6">
      <c r="A20" s="315" t="s">
        <v>957</v>
      </c>
      <c r="B20" s="316">
        <v>4614.9742983774595</v>
      </c>
      <c r="C20" s="30"/>
    </row>
    <row r="21" spans="1:6">
      <c r="A21" s="317" t="s">
        <v>124</v>
      </c>
      <c r="B21" s="316">
        <v>48.77</v>
      </c>
      <c r="C21" s="128"/>
    </row>
    <row r="22" spans="1:6">
      <c r="A22" s="317" t="s">
        <v>574</v>
      </c>
      <c r="B22" s="316">
        <v>838.1641621</v>
      </c>
      <c r="C22" s="11"/>
    </row>
    <row r="23" spans="1:6">
      <c r="B23" s="11"/>
      <c r="C23" s="11"/>
    </row>
    <row r="24" spans="1:6">
      <c r="C24" s="11"/>
      <c r="D24" s="44"/>
    </row>
    <row r="25" spans="1:6">
      <c r="B25" s="11"/>
      <c r="C25" s="11"/>
      <c r="D25" s="44"/>
    </row>
    <row r="26" spans="1:6">
      <c r="A26" s="492"/>
      <c r="B26" s="11"/>
      <c r="C26" s="11"/>
      <c r="D26" s="44"/>
    </row>
    <row r="27" spans="1:6">
      <c r="B27" s="11"/>
      <c r="C27" s="11"/>
      <c r="D27" s="44"/>
    </row>
    <row r="28" spans="1:6">
      <c r="B28" s="11"/>
      <c r="C28" s="11"/>
    </row>
    <row r="29" spans="1:6">
      <c r="A29" s="25"/>
      <c r="B29" s="6"/>
      <c r="C29" s="236"/>
      <c r="D29" s="29"/>
    </row>
    <row r="30" spans="1:6">
      <c r="A30" s="25"/>
      <c r="B30" s="6"/>
      <c r="C30" s="236"/>
      <c r="D30" s="29"/>
    </row>
    <row r="31" spans="1:6">
      <c r="A31" s="25"/>
      <c r="B31" s="6"/>
      <c r="C31" s="236"/>
      <c r="D31" s="29"/>
    </row>
    <row r="32" spans="1:6">
      <c r="A32" s="25"/>
      <c r="B32" s="6"/>
      <c r="C32" s="236"/>
      <c r="D32" s="29"/>
    </row>
    <row r="33" spans="1:4">
      <c r="A33" s="25"/>
      <c r="B33" s="6"/>
      <c r="C33" s="236"/>
      <c r="D33" s="29"/>
    </row>
    <row r="34" spans="1:4">
      <c r="A34" s="25"/>
      <c r="B34" s="6"/>
      <c r="C34" s="236"/>
      <c r="D34" s="29"/>
    </row>
    <row r="35" spans="1:4">
      <c r="A35" s="25"/>
      <c r="B35" s="6"/>
      <c r="C35" s="236"/>
      <c r="D35" s="29"/>
    </row>
    <row r="36" spans="1:4">
      <c r="A36" s="25"/>
      <c r="B36" s="6"/>
      <c r="C36" s="236"/>
      <c r="D36" s="29"/>
    </row>
    <row r="37" spans="1:4">
      <c r="A37" s="25"/>
      <c r="B37" s="6"/>
      <c r="C37" s="236"/>
      <c r="D37" s="29"/>
    </row>
    <row r="38" spans="1:4">
      <c r="A38" s="25"/>
      <c r="B38" s="6"/>
      <c r="C38" s="236"/>
      <c r="D38" s="29"/>
    </row>
    <row r="39" spans="1:4">
      <c r="A39" s="25"/>
      <c r="B39" s="6"/>
      <c r="C39" s="236"/>
      <c r="D39" s="29"/>
    </row>
    <row r="40" spans="1:4">
      <c r="A40" s="25"/>
      <c r="B40" s="6"/>
      <c r="C40" s="236"/>
      <c r="D40" s="29"/>
    </row>
    <row r="41" spans="1:4">
      <c r="A41" s="25"/>
      <c r="B41" s="6"/>
      <c r="C41" s="236"/>
      <c r="D41" s="29"/>
    </row>
    <row r="42" spans="1:4">
      <c r="A42" s="25"/>
      <c r="B42" s="6"/>
      <c r="C42" s="236"/>
      <c r="D42" s="29"/>
    </row>
    <row r="43" spans="1:4">
      <c r="A43" s="25"/>
      <c r="B43" s="6"/>
      <c r="C43" s="236"/>
      <c r="D43" s="29"/>
    </row>
    <row r="44" spans="1:4">
      <c r="A44" s="25"/>
      <c r="B44" s="6"/>
      <c r="C44" s="236"/>
      <c r="D44" s="29"/>
    </row>
    <row r="45" spans="1:4">
      <c r="A45" s="25"/>
      <c r="B45" s="6"/>
      <c r="C45" s="236"/>
      <c r="D45" s="29"/>
    </row>
    <row r="46" spans="1:4">
      <c r="A46" s="314"/>
      <c r="B46" s="29"/>
      <c r="C46" s="30"/>
      <c r="D46" s="29"/>
    </row>
    <row r="47" spans="1:4">
      <c r="B47" s="29"/>
      <c r="C47" s="128"/>
    </row>
    <row r="48" spans="1:4">
      <c r="B48" s="29"/>
      <c r="C48" s="11"/>
    </row>
  </sheetData>
  <mergeCells count="1">
    <mergeCell ref="A1:F1"/>
  </mergeCells>
  <conditionalFormatting sqref="A16">
    <cfRule type="cellIs" dxfId="8" priority="3" operator="equal">
      <formula>0</formula>
    </cfRule>
  </conditionalFormatting>
  <conditionalFormatting sqref="A42">
    <cfRule type="cellIs" dxfId="7" priority="1" operator="equal">
      <formula>0</formula>
    </cfRule>
  </conditionalFormatting>
  <pageMargins left="0.7" right="0.7" top="0.75" bottom="0.75" header="0.3" footer="0.3"/>
  <pageSetup orientation="portrait" horizontalDpi="0" verticalDpi="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29CE3A-F3FB-8945-B1C2-3C541D7E3607}">
  <sheetPr>
    <tabColor rgb="FFFFC000"/>
  </sheetPr>
  <dimension ref="A1:X35"/>
  <sheetViews>
    <sheetView zoomScale="130" zoomScaleNormal="130" workbookViewId="0">
      <pane xSplit="1" ySplit="2" topLeftCell="B3" activePane="bottomRight" state="frozen"/>
      <selection pane="topRight" activeCell="B1" sqref="B1"/>
      <selection pane="bottomLeft" activeCell="A3" sqref="A3"/>
      <selection pane="bottomRight" activeCell="Y7" sqref="Y7:AB13"/>
    </sheetView>
  </sheetViews>
  <sheetFormatPr baseColWidth="10" defaultColWidth="11" defaultRowHeight="16"/>
  <cols>
    <col min="1" max="1" width="42.6640625" style="2" customWidth="1"/>
    <col min="2" max="21" width="11.1640625" style="2" customWidth="1"/>
    <col min="22" max="16384" width="11" style="2"/>
  </cols>
  <sheetData>
    <row r="1" spans="1:24" ht="18">
      <c r="A1" s="633" t="s">
        <v>1081</v>
      </c>
      <c r="B1" s="634"/>
      <c r="C1" s="634"/>
      <c r="D1" s="634"/>
      <c r="E1" s="634"/>
      <c r="F1" s="634"/>
      <c r="G1" s="634"/>
      <c r="H1" s="634"/>
      <c r="I1" s="634"/>
      <c r="J1" s="634"/>
      <c r="K1" s="634"/>
      <c r="L1" s="634"/>
      <c r="M1" s="634"/>
      <c r="N1" s="634"/>
    </row>
    <row r="2" spans="1:24" s="31" customFormat="1">
      <c r="B2" s="123">
        <v>1984</v>
      </c>
      <c r="C2" s="123">
        <v>1988</v>
      </c>
      <c r="D2" s="123">
        <v>1992</v>
      </c>
      <c r="E2" s="123">
        <v>1996</v>
      </c>
      <c r="F2" s="123">
        <v>2000</v>
      </c>
      <c r="G2" s="123">
        <v>2004</v>
      </c>
      <c r="H2" s="123">
        <v>2008</v>
      </c>
      <c r="I2" s="123">
        <v>2010</v>
      </c>
      <c r="J2" s="123">
        <v>2011</v>
      </c>
      <c r="K2" s="123">
        <v>2012</v>
      </c>
      <c r="L2" s="123">
        <v>2013</v>
      </c>
      <c r="M2" s="123">
        <v>2014</v>
      </c>
      <c r="N2" s="123">
        <v>2015</v>
      </c>
      <c r="O2" s="123">
        <v>2016</v>
      </c>
      <c r="P2" s="123">
        <v>2017</v>
      </c>
      <c r="Q2" s="123">
        <v>2018</v>
      </c>
      <c r="R2" s="123">
        <v>2019</v>
      </c>
      <c r="S2" s="123">
        <v>2020</v>
      </c>
      <c r="T2" s="123">
        <v>2021</v>
      </c>
      <c r="U2" s="123">
        <v>2022</v>
      </c>
      <c r="V2" s="31">
        <v>2023</v>
      </c>
      <c r="W2" s="31">
        <v>2024</v>
      </c>
    </row>
    <row r="3" spans="1:24">
      <c r="A3" s="142" t="s">
        <v>575</v>
      </c>
      <c r="B3" s="30">
        <v>291.86</v>
      </c>
      <c r="C3" s="30">
        <v>406.49</v>
      </c>
      <c r="D3" s="30">
        <v>633.63</v>
      </c>
      <c r="E3" s="30">
        <v>891.65</v>
      </c>
      <c r="F3" s="30">
        <v>861.4</v>
      </c>
      <c r="G3" s="30">
        <v>586.53</v>
      </c>
      <c r="H3" s="30">
        <v>339.4</v>
      </c>
      <c r="I3" s="30">
        <v>274.10000000000002</v>
      </c>
      <c r="J3" s="30">
        <v>258.10000000000002</v>
      </c>
      <c r="K3" s="30">
        <v>212</v>
      </c>
      <c r="L3" s="30">
        <v>183</v>
      </c>
      <c r="M3" s="30">
        <v>145</v>
      </c>
      <c r="N3" s="30">
        <v>152</v>
      </c>
      <c r="O3" s="30">
        <v>131</v>
      </c>
      <c r="P3" s="30">
        <v>117</v>
      </c>
      <c r="Q3" s="30">
        <v>83.44</v>
      </c>
      <c r="R3" s="30">
        <v>73.97</v>
      </c>
      <c r="S3" s="30">
        <v>72.7</v>
      </c>
      <c r="T3" s="30">
        <v>84.41</v>
      </c>
      <c r="U3" s="30">
        <v>87.78</v>
      </c>
      <c r="V3" s="30">
        <v>106.17</v>
      </c>
      <c r="W3" s="30">
        <v>180.81</v>
      </c>
    </row>
    <row r="4" spans="1:24">
      <c r="A4" s="142" t="s">
        <v>576</v>
      </c>
      <c r="B4" s="30">
        <v>315.83999999999997</v>
      </c>
      <c r="C4" s="30">
        <v>386.34</v>
      </c>
      <c r="D4" s="30">
        <v>472.59</v>
      </c>
      <c r="E4" s="30">
        <v>578.08000000000004</v>
      </c>
      <c r="F4" s="11">
        <v>707.12900000000002</v>
      </c>
      <c r="G4" s="11">
        <v>700.01900000000001</v>
      </c>
      <c r="H4" s="11">
        <v>647.64200000000005</v>
      </c>
      <c r="I4" s="21">
        <v>630.57800000000009</v>
      </c>
      <c r="J4" s="21">
        <v>621.88800000000003</v>
      </c>
      <c r="K4" s="21">
        <v>650.96</v>
      </c>
      <c r="L4" s="21">
        <v>672.05300000000011</v>
      </c>
      <c r="M4" s="21">
        <v>679.005</v>
      </c>
      <c r="N4" s="21">
        <v>685.72</v>
      </c>
      <c r="O4" s="21">
        <v>734.85800000000006</v>
      </c>
      <c r="P4" s="21">
        <v>766.66134600000009</v>
      </c>
      <c r="Q4" s="21">
        <v>760.36</v>
      </c>
      <c r="R4" s="21">
        <v>808.94</v>
      </c>
      <c r="S4" s="21">
        <v>192.07</v>
      </c>
      <c r="T4" s="21">
        <v>348.77</v>
      </c>
      <c r="U4" s="21">
        <v>938.23729999999989</v>
      </c>
      <c r="V4" s="21">
        <v>1193.1347999999998</v>
      </c>
      <c r="W4" s="262">
        <v>1139</v>
      </c>
    </row>
    <row r="5" spans="1:24">
      <c r="A5" s="142" t="s">
        <v>577</v>
      </c>
      <c r="B5" s="30">
        <v>58.99</v>
      </c>
      <c r="C5" s="30">
        <v>82.16</v>
      </c>
      <c r="D5" s="30">
        <v>128.06</v>
      </c>
      <c r="E5" s="30">
        <v>157</v>
      </c>
      <c r="F5" s="30">
        <v>174.1</v>
      </c>
      <c r="G5" s="30">
        <v>191.5</v>
      </c>
      <c r="H5" s="30">
        <v>255.7</v>
      </c>
      <c r="I5" s="30">
        <v>275</v>
      </c>
      <c r="J5" s="30">
        <v>267</v>
      </c>
      <c r="K5" s="30">
        <v>273</v>
      </c>
      <c r="L5" s="30">
        <v>276.39999999999998</v>
      </c>
      <c r="M5" s="30">
        <v>299.39999999999998</v>
      </c>
      <c r="N5" s="30">
        <v>308</v>
      </c>
      <c r="O5" s="30">
        <v>330</v>
      </c>
      <c r="P5" s="30">
        <v>337.6</v>
      </c>
      <c r="Q5" s="30">
        <v>375</v>
      </c>
      <c r="R5" s="30">
        <v>405.6</v>
      </c>
      <c r="S5" s="30">
        <v>391.2</v>
      </c>
      <c r="T5" s="30">
        <v>416</v>
      </c>
      <c r="U5" s="30">
        <v>484</v>
      </c>
      <c r="V5" s="30">
        <v>523.4</v>
      </c>
      <c r="W5" s="30">
        <v>559</v>
      </c>
    </row>
    <row r="6" spans="1:24">
      <c r="A6" s="142" t="s">
        <v>848</v>
      </c>
      <c r="B6" s="30"/>
      <c r="C6" s="30"/>
      <c r="D6" s="30"/>
      <c r="E6" s="30"/>
      <c r="F6" s="30"/>
      <c r="G6" s="30"/>
      <c r="H6" s="30">
        <v>15.28</v>
      </c>
      <c r="I6" s="30">
        <v>14.15</v>
      </c>
      <c r="J6" s="30">
        <v>15.86</v>
      </c>
      <c r="K6" s="30">
        <v>21.99</v>
      </c>
      <c r="L6" s="30">
        <v>42.88</v>
      </c>
      <c r="M6" s="30">
        <v>54.84</v>
      </c>
      <c r="N6" s="30">
        <v>100.97</v>
      </c>
      <c r="O6" s="30">
        <v>206.77</v>
      </c>
      <c r="P6" s="30">
        <v>328.45</v>
      </c>
      <c r="Q6" s="30">
        <v>440.73</v>
      </c>
      <c r="R6" s="30">
        <v>568.36</v>
      </c>
      <c r="S6" s="30">
        <v>673.06</v>
      </c>
      <c r="T6" s="30">
        <v>802.03</v>
      </c>
      <c r="U6" s="30">
        <v>852.87</v>
      </c>
      <c r="V6" s="30">
        <v>933.59</v>
      </c>
      <c r="W6" s="30">
        <v>1018.31</v>
      </c>
      <c r="X6" s="29"/>
    </row>
    <row r="7" spans="1:24">
      <c r="A7" s="142" t="s">
        <v>849</v>
      </c>
      <c r="B7" s="30"/>
      <c r="C7" s="30"/>
      <c r="D7" s="30"/>
      <c r="E7" s="30"/>
      <c r="F7" s="30"/>
      <c r="G7" s="30"/>
      <c r="H7" s="30">
        <v>0</v>
      </c>
      <c r="I7" s="30">
        <v>0</v>
      </c>
      <c r="J7" s="30">
        <v>0</v>
      </c>
      <c r="K7" s="30">
        <v>0</v>
      </c>
      <c r="L7" s="30">
        <v>13.31</v>
      </c>
      <c r="M7" s="30">
        <v>18.27</v>
      </c>
      <c r="N7" s="30">
        <v>28.3</v>
      </c>
      <c r="O7" s="30">
        <v>41.64</v>
      </c>
      <c r="P7" s="30">
        <v>62.72</v>
      </c>
      <c r="Q7" s="30">
        <v>123.18</v>
      </c>
      <c r="R7" s="30">
        <v>137.84</v>
      </c>
      <c r="S7" s="30">
        <v>134.18</v>
      </c>
      <c r="T7" s="30">
        <v>142.53</v>
      </c>
      <c r="U7" s="30">
        <v>161.68</v>
      </c>
      <c r="V7" s="30">
        <v>182.31</v>
      </c>
      <c r="W7" s="30">
        <v>172.59</v>
      </c>
    </row>
    <row r="8" spans="1:24" ht="18" customHeight="1">
      <c r="A8" s="142" t="s">
        <v>561</v>
      </c>
      <c r="B8" s="30">
        <v>0</v>
      </c>
      <c r="C8" s="30"/>
      <c r="D8" s="30"/>
      <c r="E8" s="30"/>
      <c r="F8" s="30"/>
      <c r="G8" s="30"/>
      <c r="H8" s="30">
        <v>131.41</v>
      </c>
      <c r="I8" s="30">
        <v>168.67</v>
      </c>
      <c r="J8" s="30">
        <v>193.86</v>
      </c>
      <c r="K8" s="30">
        <v>210.99</v>
      </c>
      <c r="L8" s="30">
        <v>217.39</v>
      </c>
      <c r="M8" s="30">
        <v>207.31</v>
      </c>
      <c r="N8" s="30">
        <v>225.4</v>
      </c>
      <c r="O8" s="30">
        <v>173.34</v>
      </c>
      <c r="P8" s="30">
        <v>127</v>
      </c>
      <c r="Q8" s="30">
        <v>126.24</v>
      </c>
      <c r="R8" s="30">
        <v>92.9</v>
      </c>
      <c r="S8" s="30">
        <v>64.87</v>
      </c>
      <c r="T8" s="30">
        <v>46.36</v>
      </c>
      <c r="U8" s="30">
        <v>38.75</v>
      </c>
      <c r="V8" s="30">
        <v>25.54</v>
      </c>
      <c r="W8" s="30">
        <v>27.05</v>
      </c>
    </row>
    <row r="9" spans="1:24">
      <c r="A9" s="142" t="s">
        <v>580</v>
      </c>
      <c r="B9" s="30"/>
      <c r="C9" s="30"/>
      <c r="D9" s="30"/>
      <c r="E9" s="30"/>
      <c r="F9" s="11"/>
      <c r="G9" s="11"/>
      <c r="H9" s="11"/>
      <c r="I9" s="11"/>
      <c r="J9" s="11"/>
      <c r="K9" s="11"/>
      <c r="L9" s="11"/>
      <c r="M9" s="11"/>
      <c r="N9" s="11"/>
      <c r="O9" s="11"/>
      <c r="P9" s="11"/>
      <c r="Q9" s="30">
        <v>8.42</v>
      </c>
      <c r="R9" s="30">
        <v>18.45</v>
      </c>
      <c r="S9" s="30">
        <v>32.61</v>
      </c>
      <c r="T9" s="30">
        <v>41.22</v>
      </c>
      <c r="U9" s="30">
        <v>60.7</v>
      </c>
      <c r="V9" s="30">
        <v>53.45</v>
      </c>
      <c r="W9" s="30">
        <v>59.83</v>
      </c>
    </row>
    <row r="10" spans="1:24">
      <c r="A10" s="31" t="s">
        <v>581</v>
      </c>
      <c r="B10" s="50">
        <f t="shared" ref="B10:W10" si="0">SUM(B3:B9)</f>
        <v>666.69</v>
      </c>
      <c r="C10" s="50">
        <f t="shared" si="0"/>
        <v>874.9899999999999</v>
      </c>
      <c r="D10" s="50">
        <f t="shared" si="0"/>
        <v>1234.28</v>
      </c>
      <c r="E10" s="50">
        <f t="shared" si="0"/>
        <v>1626.73</v>
      </c>
      <c r="F10" s="50">
        <f t="shared" si="0"/>
        <v>1742.6289999999999</v>
      </c>
      <c r="G10" s="50">
        <f t="shared" si="0"/>
        <v>1478.049</v>
      </c>
      <c r="H10" s="50">
        <f t="shared" si="0"/>
        <v>1389.432</v>
      </c>
      <c r="I10" s="50">
        <f t="shared" si="0"/>
        <v>1362.4980000000003</v>
      </c>
      <c r="J10" s="50">
        <f t="shared" si="0"/>
        <v>1356.7080000000001</v>
      </c>
      <c r="K10" s="50">
        <f t="shared" si="0"/>
        <v>1368.94</v>
      </c>
      <c r="L10" s="50">
        <f t="shared" si="0"/>
        <v>1405.0329999999999</v>
      </c>
      <c r="M10" s="50">
        <f t="shared" si="0"/>
        <v>1403.8249999999998</v>
      </c>
      <c r="N10" s="50">
        <f t="shared" si="0"/>
        <v>1500.39</v>
      </c>
      <c r="O10" s="50">
        <f t="shared" si="0"/>
        <v>1617.6080000000002</v>
      </c>
      <c r="P10" s="50">
        <f t="shared" si="0"/>
        <v>1739.4313460000003</v>
      </c>
      <c r="Q10" s="50">
        <f t="shared" si="0"/>
        <v>1917.3700000000001</v>
      </c>
      <c r="R10" s="50">
        <f t="shared" si="0"/>
        <v>2106.06</v>
      </c>
      <c r="S10" s="50">
        <f t="shared" si="0"/>
        <v>1560.6899999999998</v>
      </c>
      <c r="T10" s="50">
        <f t="shared" si="0"/>
        <v>1881.32</v>
      </c>
      <c r="U10" s="50">
        <f t="shared" si="0"/>
        <v>2624.0172999999995</v>
      </c>
      <c r="V10" s="50">
        <f t="shared" si="0"/>
        <v>3017.5947999999999</v>
      </c>
      <c r="W10" s="50">
        <f t="shared" si="0"/>
        <v>3156.59</v>
      </c>
    </row>
    <row r="11" spans="1:24">
      <c r="A11" s="31"/>
      <c r="B11" s="24"/>
      <c r="C11" s="24"/>
      <c r="D11" s="24"/>
      <c r="E11" s="24"/>
      <c r="F11" s="24"/>
      <c r="G11" s="24"/>
      <c r="H11" s="24"/>
      <c r="I11" s="21">
        <f t="shared" ref="I11:V11" si="1">I10-I4</f>
        <v>731.92000000000019</v>
      </c>
      <c r="J11" s="21">
        <f t="shared" si="1"/>
        <v>734.82</v>
      </c>
      <c r="K11" s="21">
        <f t="shared" si="1"/>
        <v>717.98</v>
      </c>
      <c r="L11" s="21">
        <f t="shared" si="1"/>
        <v>732.97999999999979</v>
      </c>
      <c r="M11" s="21">
        <f t="shared" si="1"/>
        <v>724.81999999999982</v>
      </c>
      <c r="N11" s="21">
        <f t="shared" si="1"/>
        <v>814.67000000000007</v>
      </c>
      <c r="O11" s="21">
        <f t="shared" si="1"/>
        <v>882.75000000000011</v>
      </c>
      <c r="P11" s="21">
        <f t="shared" si="1"/>
        <v>972.77000000000021</v>
      </c>
      <c r="Q11" s="21">
        <f t="shared" si="1"/>
        <v>1157.0100000000002</v>
      </c>
      <c r="R11" s="21">
        <f t="shared" si="1"/>
        <v>1297.1199999999999</v>
      </c>
      <c r="S11" s="21">
        <f t="shared" si="1"/>
        <v>1368.62</v>
      </c>
      <c r="T11" s="21">
        <f t="shared" si="1"/>
        <v>1532.55</v>
      </c>
      <c r="U11" s="21">
        <f t="shared" si="1"/>
        <v>1685.7799999999997</v>
      </c>
      <c r="V11" s="21">
        <f t="shared" si="1"/>
        <v>1824.46</v>
      </c>
      <c r="W11" s="21">
        <f>W10-W4</f>
        <v>2017.5900000000001</v>
      </c>
    </row>
    <row r="12" spans="1:24">
      <c r="A12" s="31"/>
      <c r="B12" s="24"/>
      <c r="C12" s="24"/>
      <c r="D12" s="24"/>
      <c r="E12" s="24"/>
      <c r="F12" s="24"/>
      <c r="G12" s="24"/>
      <c r="H12" s="24"/>
      <c r="I12" s="24"/>
      <c r="J12" s="24"/>
      <c r="K12" s="24"/>
      <c r="L12" s="24"/>
      <c r="M12" s="24"/>
      <c r="N12" s="24"/>
      <c r="O12" s="24"/>
      <c r="P12" s="24"/>
      <c r="Q12" s="24"/>
      <c r="R12" s="21"/>
      <c r="S12" s="21"/>
      <c r="T12" s="21"/>
    </row>
    <row r="13" spans="1:24">
      <c r="A13" s="31" t="s">
        <v>582</v>
      </c>
      <c r="B13" s="24">
        <f t="shared" ref="B13:W13" si="2">B3+B4+B5</f>
        <v>666.69</v>
      </c>
      <c r="C13" s="24">
        <f t="shared" si="2"/>
        <v>874.9899999999999</v>
      </c>
      <c r="D13" s="24">
        <f t="shared" si="2"/>
        <v>1234.28</v>
      </c>
      <c r="E13" s="24">
        <f t="shared" si="2"/>
        <v>1626.73</v>
      </c>
      <c r="F13" s="24">
        <f t="shared" si="2"/>
        <v>1742.6289999999999</v>
      </c>
      <c r="G13" s="24">
        <f t="shared" si="2"/>
        <v>1478.049</v>
      </c>
      <c r="H13" s="24">
        <f t="shared" si="2"/>
        <v>1242.742</v>
      </c>
      <c r="I13" s="24">
        <f t="shared" si="2"/>
        <v>1179.6780000000001</v>
      </c>
      <c r="J13" s="24">
        <f t="shared" si="2"/>
        <v>1146.9880000000001</v>
      </c>
      <c r="K13" s="24">
        <f t="shared" si="2"/>
        <v>1135.96</v>
      </c>
      <c r="L13" s="24">
        <f t="shared" si="2"/>
        <v>1131.453</v>
      </c>
      <c r="M13" s="24">
        <f t="shared" si="2"/>
        <v>1123.405</v>
      </c>
      <c r="N13" s="24">
        <f t="shared" si="2"/>
        <v>1145.72</v>
      </c>
      <c r="O13" s="24">
        <f t="shared" si="2"/>
        <v>1195.8580000000002</v>
      </c>
      <c r="P13" s="24">
        <f t="shared" si="2"/>
        <v>1221.2613460000002</v>
      </c>
      <c r="Q13" s="24">
        <f t="shared" si="2"/>
        <v>1218.8</v>
      </c>
      <c r="R13" s="24">
        <f t="shared" si="2"/>
        <v>1288.5100000000002</v>
      </c>
      <c r="S13" s="24">
        <f t="shared" si="2"/>
        <v>655.97</v>
      </c>
      <c r="T13" s="24">
        <f t="shared" si="2"/>
        <v>849.18</v>
      </c>
      <c r="U13" s="24">
        <f t="shared" si="2"/>
        <v>1510.0173</v>
      </c>
      <c r="V13" s="24">
        <f t="shared" si="2"/>
        <v>1822.7048</v>
      </c>
      <c r="W13" s="24">
        <f t="shared" si="2"/>
        <v>1878.81</v>
      </c>
    </row>
    <row r="14" spans="1:24">
      <c r="A14" s="31" t="s">
        <v>583</v>
      </c>
      <c r="B14" s="29">
        <f t="shared" ref="B14:W14" si="3">B6+B7+B8+B9</f>
        <v>0</v>
      </c>
      <c r="C14" s="29">
        <f t="shared" si="3"/>
        <v>0</v>
      </c>
      <c r="D14" s="29">
        <f t="shared" si="3"/>
        <v>0</v>
      </c>
      <c r="E14" s="29">
        <f t="shared" si="3"/>
        <v>0</v>
      </c>
      <c r="F14" s="29">
        <f t="shared" si="3"/>
        <v>0</v>
      </c>
      <c r="G14" s="29">
        <f t="shared" si="3"/>
        <v>0</v>
      </c>
      <c r="H14" s="29">
        <f t="shared" si="3"/>
        <v>146.69</v>
      </c>
      <c r="I14" s="29">
        <f t="shared" si="3"/>
        <v>182.82</v>
      </c>
      <c r="J14" s="29">
        <f t="shared" si="3"/>
        <v>209.72000000000003</v>
      </c>
      <c r="K14" s="29">
        <f t="shared" si="3"/>
        <v>232.98000000000002</v>
      </c>
      <c r="L14" s="29">
        <f t="shared" si="3"/>
        <v>273.58</v>
      </c>
      <c r="M14" s="29">
        <f t="shared" si="3"/>
        <v>280.42</v>
      </c>
      <c r="N14" s="29">
        <f t="shared" si="3"/>
        <v>354.67</v>
      </c>
      <c r="O14" s="29">
        <f t="shared" si="3"/>
        <v>421.75</v>
      </c>
      <c r="P14" s="29">
        <f t="shared" si="3"/>
        <v>518.16999999999996</v>
      </c>
      <c r="Q14" s="29">
        <f t="shared" si="3"/>
        <v>698.57</v>
      </c>
      <c r="R14" s="29">
        <f t="shared" si="3"/>
        <v>817.55000000000007</v>
      </c>
      <c r="S14" s="29">
        <f t="shared" si="3"/>
        <v>904.72</v>
      </c>
      <c r="T14" s="29">
        <f t="shared" si="3"/>
        <v>1032.1399999999999</v>
      </c>
      <c r="U14" s="29">
        <f t="shared" si="3"/>
        <v>1114</v>
      </c>
      <c r="V14" s="29">
        <f t="shared" si="3"/>
        <v>1194.8900000000001</v>
      </c>
      <c r="W14" s="29">
        <f t="shared" si="3"/>
        <v>1277.7799999999997</v>
      </c>
    </row>
    <row r="15" spans="1:24">
      <c r="A15" s="213"/>
      <c r="B15" s="213">
        <f t="shared" ref="B15" si="4">SUM(B13:B14)</f>
        <v>666.69</v>
      </c>
      <c r="C15" s="213">
        <f t="shared" ref="C15" si="5">SUM(C13:C14)</f>
        <v>874.9899999999999</v>
      </c>
      <c r="D15" s="213">
        <f t="shared" ref="D15" si="6">SUM(D13:D14)</f>
        <v>1234.28</v>
      </c>
      <c r="E15" s="213">
        <f t="shared" ref="E15" si="7">SUM(E13:E14)</f>
        <v>1626.73</v>
      </c>
      <c r="F15" s="213">
        <f t="shared" ref="F15" si="8">SUM(F13:F14)</f>
        <v>1742.6289999999999</v>
      </c>
      <c r="G15" s="213">
        <f t="shared" ref="G15" si="9">SUM(G13:G14)</f>
        <v>1478.049</v>
      </c>
      <c r="H15" s="213">
        <f t="shared" ref="H15" si="10">SUM(H13:H14)</f>
        <v>1389.432</v>
      </c>
      <c r="I15" s="213">
        <f t="shared" ref="I15" si="11">SUM(I13:I14)</f>
        <v>1362.498</v>
      </c>
      <c r="J15" s="213">
        <f t="shared" ref="J15" si="12">SUM(J13:J14)</f>
        <v>1356.7080000000001</v>
      </c>
      <c r="K15" s="213">
        <f t="shared" ref="K15" si="13">SUM(K13:K14)</f>
        <v>1368.94</v>
      </c>
      <c r="L15" s="213">
        <f t="shared" ref="L15" si="14">SUM(L13:L14)</f>
        <v>1405.0329999999999</v>
      </c>
      <c r="M15" s="213">
        <f t="shared" ref="M15:V15" si="15">SUM(M13:M14)</f>
        <v>1403.825</v>
      </c>
      <c r="N15" s="213">
        <f t="shared" si="15"/>
        <v>1500.39</v>
      </c>
      <c r="O15" s="213">
        <f t="shared" si="15"/>
        <v>1617.6080000000002</v>
      </c>
      <c r="P15" s="213">
        <f t="shared" si="15"/>
        <v>1739.4313460000003</v>
      </c>
      <c r="Q15" s="213">
        <f t="shared" si="15"/>
        <v>1917.37</v>
      </c>
      <c r="R15" s="213">
        <f t="shared" si="15"/>
        <v>2106.0600000000004</v>
      </c>
      <c r="S15" s="213">
        <f t="shared" si="15"/>
        <v>1560.69</v>
      </c>
      <c r="T15" s="213">
        <f t="shared" si="15"/>
        <v>1881.3199999999997</v>
      </c>
      <c r="U15" s="213">
        <f t="shared" si="15"/>
        <v>2624.0173</v>
      </c>
      <c r="V15" s="213">
        <f t="shared" si="15"/>
        <v>3017.5947999999999</v>
      </c>
      <c r="W15" s="213">
        <f>SUM(W13:W14)</f>
        <v>3156.5899999999997</v>
      </c>
    </row>
    <row r="16" spans="1:24">
      <c r="A16" s="31" t="s">
        <v>850</v>
      </c>
      <c r="B16" s="6">
        <f>B13/B10</f>
        <v>1</v>
      </c>
      <c r="C16" s="6">
        <f t="shared" ref="C16:W16" si="16">C13/C10</f>
        <v>1</v>
      </c>
      <c r="D16" s="6">
        <f t="shared" si="16"/>
        <v>1</v>
      </c>
      <c r="E16" s="6">
        <f t="shared" si="16"/>
        <v>1</v>
      </c>
      <c r="F16" s="6">
        <f t="shared" si="16"/>
        <v>1</v>
      </c>
      <c r="G16" s="6">
        <f t="shared" si="16"/>
        <v>1</v>
      </c>
      <c r="H16" s="6">
        <f t="shared" si="16"/>
        <v>0.89442448424967902</v>
      </c>
      <c r="I16" s="6">
        <f t="shared" si="16"/>
        <v>0.86581998652475078</v>
      </c>
      <c r="J16" s="6">
        <f t="shared" si="16"/>
        <v>0.84541994297962419</v>
      </c>
      <c r="K16" s="6">
        <f t="shared" si="16"/>
        <v>0.82980992592809033</v>
      </c>
      <c r="L16" s="6">
        <f t="shared" si="16"/>
        <v>0.80528571215053313</v>
      </c>
      <c r="M16" s="6">
        <f t="shared" si="16"/>
        <v>0.80024575712784718</v>
      </c>
      <c r="N16" s="6">
        <f t="shared" si="16"/>
        <v>0.76361479348702666</v>
      </c>
      <c r="O16" s="6">
        <f t="shared" si="16"/>
        <v>0.73927552287080678</v>
      </c>
      <c r="P16" s="6">
        <f t="shared" si="16"/>
        <v>0.70210379317839433</v>
      </c>
      <c r="Q16" s="6">
        <f t="shared" si="16"/>
        <v>0.63566239171364936</v>
      </c>
      <c r="R16" s="6">
        <f t="shared" si="16"/>
        <v>0.61181067965774971</v>
      </c>
      <c r="S16" s="6">
        <f t="shared" si="16"/>
        <v>0.42030768442163408</v>
      </c>
      <c r="T16" s="6">
        <f t="shared" si="16"/>
        <v>0.45137456679352794</v>
      </c>
      <c r="U16" s="6">
        <f t="shared" si="16"/>
        <v>0.57546011605944836</v>
      </c>
      <c r="V16" s="6">
        <f t="shared" si="16"/>
        <v>0.60402569622667701</v>
      </c>
      <c r="W16" s="6">
        <f t="shared" si="16"/>
        <v>0.59520241779895389</v>
      </c>
      <c r="X16" s="6"/>
    </row>
    <row r="17" spans="1:23">
      <c r="A17" s="31" t="s">
        <v>851</v>
      </c>
      <c r="B17" s="2">
        <f>B14/B10</f>
        <v>0</v>
      </c>
      <c r="C17" s="2">
        <f t="shared" ref="C17:W17" si="17">C14/C10</f>
        <v>0</v>
      </c>
      <c r="D17" s="2">
        <f t="shared" si="17"/>
        <v>0</v>
      </c>
      <c r="E17" s="2">
        <f t="shared" si="17"/>
        <v>0</v>
      </c>
      <c r="F17" s="2">
        <f t="shared" si="17"/>
        <v>0</v>
      </c>
      <c r="G17" s="2">
        <f t="shared" si="17"/>
        <v>0</v>
      </c>
      <c r="H17" s="2">
        <f t="shared" si="17"/>
        <v>0.10557551575032099</v>
      </c>
      <c r="I17" s="2">
        <f t="shared" si="17"/>
        <v>0.1341800134752491</v>
      </c>
      <c r="J17" s="2">
        <f t="shared" si="17"/>
        <v>0.15458005702037581</v>
      </c>
      <c r="K17" s="2">
        <f t="shared" si="17"/>
        <v>0.17019007407190967</v>
      </c>
      <c r="L17" s="2">
        <f t="shared" si="17"/>
        <v>0.19471428784946687</v>
      </c>
      <c r="M17" s="2">
        <f t="shared" si="17"/>
        <v>0.1997542428721529</v>
      </c>
      <c r="N17" s="2">
        <f t="shared" si="17"/>
        <v>0.23638520651297329</v>
      </c>
      <c r="O17" s="2">
        <f t="shared" si="17"/>
        <v>0.26072447712919322</v>
      </c>
      <c r="P17" s="2">
        <f t="shared" si="17"/>
        <v>0.29789620682160561</v>
      </c>
      <c r="Q17" s="2">
        <f t="shared" si="17"/>
        <v>0.36433760828635059</v>
      </c>
      <c r="R17" s="2">
        <f t="shared" si="17"/>
        <v>0.38818932034225051</v>
      </c>
      <c r="S17" s="2">
        <f t="shared" si="17"/>
        <v>0.57969231557836609</v>
      </c>
      <c r="T17" s="2">
        <f t="shared" si="17"/>
        <v>0.54862543320647206</v>
      </c>
      <c r="U17" s="2">
        <f t="shared" si="17"/>
        <v>0.42453988394055187</v>
      </c>
      <c r="V17" s="2">
        <f t="shared" si="17"/>
        <v>0.3959743037733231</v>
      </c>
      <c r="W17" s="2">
        <f t="shared" si="17"/>
        <v>0.40479758220104595</v>
      </c>
    </row>
    <row r="18" spans="1:23">
      <c r="N18" s="6"/>
      <c r="O18" s="6"/>
      <c r="P18" s="6"/>
      <c r="Q18" s="6"/>
      <c r="R18" s="6"/>
      <c r="S18" s="6"/>
      <c r="T18" s="6"/>
      <c r="U18" s="6"/>
    </row>
    <row r="20" spans="1:23">
      <c r="W20" s="6"/>
    </row>
    <row r="21" spans="1:23">
      <c r="W21" s="6"/>
    </row>
    <row r="28" spans="1:23">
      <c r="U28" s="259"/>
    </row>
    <row r="29" spans="1:23">
      <c r="U29" s="258"/>
    </row>
    <row r="30" spans="1:23">
      <c r="U30" s="258"/>
    </row>
    <row r="31" spans="1:23">
      <c r="U31" s="258"/>
    </row>
    <row r="32" spans="1:23">
      <c r="U32" s="258"/>
    </row>
    <row r="33" spans="21:21">
      <c r="U33" s="258"/>
    </row>
    <row r="34" spans="21:21">
      <c r="U34" s="258"/>
    </row>
    <row r="35" spans="21:21">
      <c r="U35" s="21"/>
    </row>
  </sheetData>
  <mergeCells count="1">
    <mergeCell ref="A1:N1"/>
  </mergeCells>
  <conditionalFormatting sqref="A3:A9">
    <cfRule type="cellIs" dxfId="6" priority="1" operator="equal">
      <formula>0</formula>
    </cfRule>
  </conditionalFormatting>
  <pageMargins left="0.7" right="0.7" top="0.75" bottom="0.75" header="0.3" footer="0.3"/>
  <pageSetup orientation="portrait" horizontalDpi="0" verticalDpi="0"/>
  <ignoredErrors>
    <ignoredError sqref="B10:W10" formulaRange="1"/>
  </ignoredError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3DC9B-A7F3-DC41-AF2E-509DCB908840}">
  <sheetPr>
    <tabColor rgb="FFFFC000"/>
  </sheetPr>
  <dimension ref="A1:G24"/>
  <sheetViews>
    <sheetView zoomScale="65" zoomScaleNormal="110" workbookViewId="0">
      <pane xSplit="1" ySplit="2" topLeftCell="B3" activePane="bottomRight" state="frozen"/>
      <selection pane="topRight" activeCell="B1" sqref="B1"/>
      <selection pane="bottomLeft" activeCell="A3" sqref="A3"/>
      <selection pane="bottomRight" activeCell="J14" sqref="J14"/>
    </sheetView>
  </sheetViews>
  <sheetFormatPr baseColWidth="10" defaultColWidth="22.6640625" defaultRowHeight="43.25" customHeight="1"/>
  <cols>
    <col min="1" max="1" width="44.5" style="379" bestFit="1" customWidth="1"/>
    <col min="2" max="16384" width="22.6640625" style="379"/>
  </cols>
  <sheetData>
    <row r="1" spans="1:7" ht="43.25" customHeight="1">
      <c r="A1" s="640" t="s">
        <v>1082</v>
      </c>
      <c r="B1" s="640"/>
      <c r="C1" s="640"/>
    </row>
    <row r="2" spans="1:7" ht="43.25" customHeight="1">
      <c r="A2" s="521"/>
      <c r="B2" s="522" t="s">
        <v>484</v>
      </c>
      <c r="C2" s="522" t="s">
        <v>1033</v>
      </c>
    </row>
    <row r="3" spans="1:7" ht="43.25" customHeight="1">
      <c r="A3" s="382" t="s">
        <v>106</v>
      </c>
      <c r="B3" s="525">
        <f t="shared" ref="B3:B10" si="0">(C3/$B$11)*100</f>
        <v>28.235687474068765</v>
      </c>
      <c r="C3" s="552">
        <v>569.68030503652665</v>
      </c>
    </row>
    <row r="4" spans="1:7" ht="43.25" customHeight="1">
      <c r="A4" s="382" t="s">
        <v>110</v>
      </c>
      <c r="B4" s="525">
        <f t="shared" si="0"/>
        <v>19.982718504212972</v>
      </c>
      <c r="C4" s="552">
        <v>403.16925817350011</v>
      </c>
      <c r="E4" s="523"/>
    </row>
    <row r="5" spans="1:7" ht="43.25" customHeight="1">
      <c r="A5" s="382" t="s">
        <v>99</v>
      </c>
      <c r="B5" s="525">
        <f t="shared" si="0"/>
        <v>12.861873168725054</v>
      </c>
      <c r="C5" s="552">
        <v>259.49982046052742</v>
      </c>
    </row>
    <row r="6" spans="1:7" ht="43.25" customHeight="1">
      <c r="A6" s="382" t="s">
        <v>103</v>
      </c>
      <c r="B6" s="525">
        <f t="shared" si="0"/>
        <v>10.598324454532777</v>
      </c>
      <c r="C6" s="552">
        <v>213.83069612451288</v>
      </c>
      <c r="E6" s="527"/>
    </row>
    <row r="7" spans="1:7" ht="43.25" customHeight="1">
      <c r="A7" s="382" t="s">
        <v>120</v>
      </c>
      <c r="B7" s="525">
        <f t="shared" si="0"/>
        <v>8.8763407278781674</v>
      </c>
      <c r="C7" s="552">
        <v>179.08813086664725</v>
      </c>
    </row>
    <row r="8" spans="1:7" ht="43.25" customHeight="1">
      <c r="A8" s="382" t="s">
        <v>91</v>
      </c>
      <c r="B8" s="525">
        <f t="shared" si="0"/>
        <v>7.5848007239316466</v>
      </c>
      <c r="C8" s="552">
        <v>153.03015356076983</v>
      </c>
      <c r="E8" s="533"/>
      <c r="F8" s="532"/>
    </row>
    <row r="9" spans="1:7" ht="43.25" customHeight="1">
      <c r="A9" s="382" t="s">
        <v>94</v>
      </c>
      <c r="B9" s="525">
        <f t="shared" si="0"/>
        <v>6.584473298760714</v>
      </c>
      <c r="C9" s="552">
        <v>132.84765107234495</v>
      </c>
      <c r="E9" s="533"/>
      <c r="F9" s="532"/>
    </row>
    <row r="10" spans="1:7" ht="43.25" customHeight="1">
      <c r="A10" s="382" t="s">
        <v>121</v>
      </c>
      <c r="B10" s="525">
        <f t="shared" si="0"/>
        <v>5.27578164788991</v>
      </c>
      <c r="C10" s="552">
        <v>106.44362391516934</v>
      </c>
      <c r="E10" s="533"/>
      <c r="F10" s="532"/>
    </row>
    <row r="11" spans="1:7" ht="43.25" customHeight="1">
      <c r="A11" s="531" t="s">
        <v>1032</v>
      </c>
      <c r="B11" s="553">
        <v>2017.5896392099983</v>
      </c>
      <c r="C11" s="553"/>
      <c r="E11" s="527"/>
      <c r="F11" s="554"/>
    </row>
    <row r="12" spans="1:7" ht="43.25" customHeight="1">
      <c r="A12" s="529" t="s">
        <v>124</v>
      </c>
      <c r="B12" s="530">
        <f>SUM(B3:B6)</f>
        <v>71.678603601539564</v>
      </c>
      <c r="C12" s="524"/>
      <c r="E12" s="527"/>
      <c r="F12" s="554"/>
    </row>
    <row r="13" spans="1:7" ht="43.25" customHeight="1">
      <c r="A13" s="529" t="s">
        <v>574</v>
      </c>
      <c r="B13" s="528">
        <f>SUMSQ(B3:B9)</f>
        <v>1653.9892639650516</v>
      </c>
      <c r="E13" s="527"/>
      <c r="F13" s="554"/>
    </row>
    <row r="14" spans="1:7" ht="43.25" customHeight="1">
      <c r="B14" s="381">
        <f>B3+B5+B8+B9</f>
        <v>55.266834665486186</v>
      </c>
      <c r="C14" s="381">
        <f>C3+C5+C8+C9</f>
        <v>1115.0579301301689</v>
      </c>
      <c r="E14" s="527"/>
      <c r="F14" s="554"/>
    </row>
    <row r="15" spans="1:7" ht="43.25" customHeight="1">
      <c r="A15" s="382"/>
      <c r="B15" s="525">
        <f>B4+B6+B7</f>
        <v>39.457383686623913</v>
      </c>
      <c r="C15" s="525">
        <f>C4+C6+C7</f>
        <v>796.08808516466024</v>
      </c>
      <c r="E15" s="527"/>
      <c r="F15" s="554"/>
      <c r="G15" s="527"/>
    </row>
    <row r="16" spans="1:7" ht="43.25" customHeight="1">
      <c r="A16" s="382"/>
      <c r="B16" s="525">
        <f>B9+B8+B5</f>
        <v>27.031147191417414</v>
      </c>
      <c r="C16" s="525">
        <f>C9+C8+C5</f>
        <v>545.37762509364222</v>
      </c>
      <c r="F16" s="523"/>
    </row>
    <row r="17" spans="1:3" ht="43.25" customHeight="1">
      <c r="A17" s="382"/>
      <c r="B17" s="525"/>
      <c r="C17" s="525"/>
    </row>
    <row r="18" spans="1:3" ht="43.25" customHeight="1">
      <c r="A18" s="382"/>
      <c r="B18" s="525"/>
      <c r="C18" s="525"/>
    </row>
    <row r="19" spans="1:3" ht="43.25" customHeight="1">
      <c r="A19" s="382"/>
      <c r="B19" s="525"/>
      <c r="C19" s="525"/>
    </row>
    <row r="20" spans="1:3" ht="43.25" customHeight="1">
      <c r="A20" s="382"/>
      <c r="B20" s="525"/>
      <c r="C20" s="525"/>
    </row>
    <row r="21" spans="1:3" ht="43.25" customHeight="1">
      <c r="A21" s="382"/>
      <c r="B21" s="525"/>
      <c r="C21" s="525"/>
    </row>
    <row r="22" spans="1:3" ht="43.25" customHeight="1">
      <c r="A22" s="526"/>
      <c r="C22" s="525"/>
    </row>
    <row r="23" spans="1:3" ht="43.25" customHeight="1">
      <c r="B23" s="380"/>
      <c r="C23" s="524"/>
    </row>
    <row r="24" spans="1:3" ht="43.25" customHeight="1">
      <c r="B24" s="523"/>
    </row>
  </sheetData>
  <mergeCells count="1">
    <mergeCell ref="A1:C1"/>
  </mergeCells>
  <conditionalFormatting sqref="A9:A10">
    <cfRule type="cellIs" dxfId="5" priority="2" operator="equal">
      <formula>0</formula>
    </cfRule>
  </conditionalFormatting>
  <conditionalFormatting sqref="A20:A21">
    <cfRule type="cellIs" dxfId="4" priority="1" operator="equal">
      <formula>0</formula>
    </cfRule>
  </conditionalFormatting>
  <pageMargins left="0.7" right="0.7" top="0.75" bottom="0.75" header="0.3" footer="0.3"/>
  <pageSetup orientation="portrait" horizontalDpi="0" verticalDpi="0"/>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977FA-AB8F-5942-91FB-693D925AB67C}">
  <sheetPr>
    <tabColor rgb="FFFFC000"/>
  </sheetPr>
  <dimension ref="A1:N15"/>
  <sheetViews>
    <sheetView zoomScale="115" zoomScaleNormal="115" workbookViewId="0">
      <pane xSplit="1" ySplit="2" topLeftCell="B3" activePane="bottomRight" state="frozen"/>
      <selection pane="topRight" activeCell="B1" sqref="B1"/>
      <selection pane="bottomLeft" activeCell="A3" sqref="A3"/>
      <selection pane="bottomRight" activeCell="C19" sqref="C19"/>
    </sheetView>
  </sheetViews>
  <sheetFormatPr baseColWidth="10" defaultColWidth="11" defaultRowHeight="16"/>
  <cols>
    <col min="1" max="1" width="19.5" style="2" customWidth="1"/>
    <col min="2" max="2" width="16.5" style="2" customWidth="1"/>
    <col min="3" max="3" width="17" style="2" bestFit="1" customWidth="1"/>
    <col min="4" max="4" width="17.5" style="2" customWidth="1"/>
    <col min="5" max="5" width="18" style="2" customWidth="1"/>
    <col min="6" max="6" width="11" style="2"/>
    <col min="7" max="7" width="19.6640625" style="2" customWidth="1"/>
    <col min="8" max="16384" width="11" style="2"/>
  </cols>
  <sheetData>
    <row r="1" spans="1:14" ht="18">
      <c r="A1" s="633" t="s">
        <v>1117</v>
      </c>
      <c r="B1" s="633"/>
      <c r="C1" s="633"/>
      <c r="D1" s="633"/>
      <c r="E1" s="633"/>
      <c r="F1" s="633"/>
    </row>
    <row r="2" spans="1:14" ht="68">
      <c r="A2" s="146"/>
      <c r="B2" s="151" t="s">
        <v>578</v>
      </c>
      <c r="C2" s="151" t="s">
        <v>584</v>
      </c>
      <c r="D2" s="150" t="s">
        <v>561</v>
      </c>
      <c r="E2" s="149" t="s">
        <v>913</v>
      </c>
      <c r="F2" s="149" t="s">
        <v>585</v>
      </c>
      <c r="G2" s="148" t="s">
        <v>563</v>
      </c>
      <c r="M2" s="30"/>
      <c r="N2" s="149"/>
    </row>
    <row r="3" spans="1:14">
      <c r="A3" s="8" t="s">
        <v>106</v>
      </c>
      <c r="B3" s="101">
        <v>502.29133766986291</v>
      </c>
      <c r="C3" s="9">
        <v>67.388967366663707</v>
      </c>
      <c r="D3" s="9"/>
      <c r="E3" s="9"/>
      <c r="F3" s="9"/>
      <c r="G3" s="10">
        <f t="shared" ref="G3:G9" si="0">SUM(B3:F3)</f>
        <v>569.68030503652665</v>
      </c>
      <c r="H3" s="203"/>
      <c r="I3" s="10"/>
      <c r="J3" s="8"/>
      <c r="K3" s="8"/>
      <c r="L3" s="8"/>
      <c r="M3" s="8"/>
      <c r="N3" s="143"/>
    </row>
    <row r="4" spans="1:14">
      <c r="A4" s="8" t="s">
        <v>110</v>
      </c>
      <c r="B4" s="9">
        <v>116.36500956944673</v>
      </c>
      <c r="C4" s="8"/>
      <c r="D4" s="9"/>
      <c r="E4" s="9">
        <v>286.80424860405338</v>
      </c>
      <c r="F4" s="9"/>
      <c r="G4" s="10">
        <f t="shared" si="0"/>
        <v>403.16925817350011</v>
      </c>
      <c r="H4" s="203"/>
      <c r="I4" s="258"/>
      <c r="J4" s="147"/>
      <c r="K4" s="11"/>
      <c r="L4" s="8"/>
      <c r="M4" s="8"/>
      <c r="N4" s="8"/>
    </row>
    <row r="5" spans="1:14">
      <c r="A5" s="8" t="s">
        <v>586</v>
      </c>
      <c r="B5" s="9">
        <v>68.737289835467209</v>
      </c>
      <c r="C5" s="8"/>
      <c r="D5" s="9"/>
      <c r="E5" s="9">
        <v>190.76253062506018</v>
      </c>
      <c r="F5" s="9"/>
      <c r="G5" s="10">
        <f t="shared" si="0"/>
        <v>259.49982046052742</v>
      </c>
      <c r="H5" s="203"/>
      <c r="I5" s="258"/>
      <c r="J5" s="147"/>
      <c r="K5" s="11"/>
      <c r="L5" s="8"/>
      <c r="M5" s="8"/>
      <c r="N5" s="144"/>
    </row>
    <row r="6" spans="1:14">
      <c r="A6" s="8" t="s">
        <v>120</v>
      </c>
      <c r="B6" s="9">
        <v>60.344673944597616</v>
      </c>
      <c r="D6" s="9"/>
      <c r="E6" s="101">
        <v>153.48602217991527</v>
      </c>
      <c r="F6" s="9"/>
      <c r="G6" s="10">
        <f t="shared" si="0"/>
        <v>213.83069612451288</v>
      </c>
      <c r="H6" s="203"/>
      <c r="I6" s="259"/>
      <c r="J6" s="147"/>
      <c r="K6" s="11"/>
      <c r="L6" s="8"/>
      <c r="M6" s="8"/>
      <c r="N6" s="144"/>
    </row>
    <row r="7" spans="1:14">
      <c r="A7" s="8" t="s">
        <v>587</v>
      </c>
      <c r="B7" s="9">
        <v>48.338130866647248</v>
      </c>
      <c r="C7" s="8">
        <v>84.28</v>
      </c>
      <c r="D7" s="9">
        <v>46.47</v>
      </c>
      <c r="E7" s="9"/>
      <c r="F7" s="9"/>
      <c r="G7" s="10">
        <f t="shared" si="0"/>
        <v>179.08813086664725</v>
      </c>
      <c r="H7" s="203"/>
      <c r="I7" s="10"/>
      <c r="J7" s="8"/>
      <c r="K7" s="8"/>
      <c r="L7" s="8"/>
      <c r="M7" s="8"/>
      <c r="N7" s="143"/>
    </row>
    <row r="8" spans="1:14">
      <c r="A8" s="8" t="s">
        <v>588</v>
      </c>
      <c r="B8" s="9">
        <v>149.21554625163174</v>
      </c>
      <c r="C8" s="8"/>
      <c r="D8" s="9">
        <v>3.8146073091381036</v>
      </c>
      <c r="E8" s="9"/>
      <c r="F8" s="9"/>
      <c r="G8" s="10">
        <f t="shared" si="0"/>
        <v>153.03015356076983</v>
      </c>
      <c r="H8" s="203"/>
      <c r="I8" s="10"/>
      <c r="J8" s="8"/>
      <c r="K8" s="11"/>
      <c r="L8" s="8"/>
      <c r="M8" s="11"/>
      <c r="N8" s="143"/>
    </row>
    <row r="9" spans="1:14">
      <c r="A9" s="8" t="s">
        <v>589</v>
      </c>
      <c r="B9" s="9">
        <v>73.018011862346498</v>
      </c>
      <c r="C9" s="8"/>
      <c r="D9" s="8"/>
      <c r="E9" s="9"/>
      <c r="F9" s="9">
        <v>59.829639209998454</v>
      </c>
      <c r="G9" s="10">
        <f t="shared" si="0"/>
        <v>132.84765107234495</v>
      </c>
      <c r="H9" s="203"/>
      <c r="I9" s="10"/>
      <c r="J9" s="8"/>
      <c r="K9" s="8"/>
      <c r="L9" s="8"/>
      <c r="M9" s="8"/>
      <c r="N9" s="143"/>
    </row>
    <row r="10" spans="1:14">
      <c r="A10" s="8" t="s">
        <v>121</v>
      </c>
      <c r="B10" s="202"/>
      <c r="C10" s="202">
        <v>20.921032633336296</v>
      </c>
      <c r="D10" s="564"/>
      <c r="E10" s="564">
        <v>85.522591281833044</v>
      </c>
      <c r="F10" s="202"/>
      <c r="G10" s="10">
        <v>106.44362391516934</v>
      </c>
      <c r="H10" s="203"/>
      <c r="I10" s="8"/>
      <c r="J10" s="8"/>
      <c r="K10" s="8"/>
      <c r="L10" s="8"/>
      <c r="M10" s="8"/>
      <c r="N10" s="8"/>
    </row>
    <row r="11" spans="1:14">
      <c r="A11" s="260" t="s">
        <v>244</v>
      </c>
      <c r="B11" s="21">
        <f>SUM(B3:B10)</f>
        <v>1018.31</v>
      </c>
      <c r="C11" s="21">
        <f t="shared" ref="C11:F11" si="1">SUM(C3:C10)</f>
        <v>172.59</v>
      </c>
      <c r="D11" s="21">
        <f t="shared" si="1"/>
        <v>50.284607309138103</v>
      </c>
      <c r="E11" s="21">
        <f t="shared" si="1"/>
        <v>716.5753926908618</v>
      </c>
      <c r="F11" s="21">
        <f t="shared" si="1"/>
        <v>59.829639209998454</v>
      </c>
      <c r="G11" s="30">
        <f>SUM(B11:F11)</f>
        <v>2017.5896392099983</v>
      </c>
      <c r="I11" s="21"/>
      <c r="J11" s="260"/>
      <c r="L11" s="261"/>
      <c r="M11" s="28"/>
      <c r="N11" s="28"/>
    </row>
    <row r="12" spans="1:14">
      <c r="A12" s="204" t="s">
        <v>124</v>
      </c>
      <c r="B12" s="140">
        <v>0.71678603601539603</v>
      </c>
      <c r="C12" s="30"/>
      <c r="D12" s="30"/>
      <c r="E12" s="30"/>
      <c r="F12" s="30"/>
      <c r="G12" s="29"/>
    </row>
    <row r="13" spans="1:14" ht="17" customHeight="1">
      <c r="A13" s="204" t="s">
        <v>359</v>
      </c>
      <c r="B13" s="205">
        <v>1653.9892639650518</v>
      </c>
      <c r="C13" s="147"/>
      <c r="D13" s="147"/>
      <c r="E13" s="147"/>
      <c r="F13" s="147"/>
      <c r="G13" s="147"/>
    </row>
    <row r="14" spans="1:14">
      <c r="B14" s="21"/>
    </row>
    <row r="15" spans="1:14">
      <c r="E15" s="29"/>
    </row>
  </sheetData>
  <mergeCells count="1">
    <mergeCell ref="A1:F1"/>
  </mergeCells>
  <conditionalFormatting sqref="B2:G2">
    <cfRule type="cellIs" dxfId="3" priority="4" operator="equal">
      <formula>0</formula>
    </cfRule>
  </conditionalFormatting>
  <conditionalFormatting sqref="D2:F2">
    <cfRule type="cellIs" dxfId="2" priority="5" operator="equal">
      <formula>0</formula>
    </cfRule>
  </conditionalFormatting>
  <conditionalFormatting sqref="N2">
    <cfRule type="cellIs" dxfId="1" priority="2" operator="equal">
      <formula>0</formula>
    </cfRule>
    <cfRule type="cellIs" dxfId="0" priority="3" operator="equal">
      <formula>0</formula>
    </cfRule>
  </conditionalFormatting>
  <pageMargins left="0.7" right="0.7" top="0.75" bottom="0.75" header="0.3" footer="0.3"/>
  <pageSetup orientation="portrait" horizontalDpi="0" verticalDpi="0"/>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DE1C6B-D618-8642-A732-48ADEC9E948A}">
  <sheetPr>
    <tabColor rgb="FFFFC000"/>
  </sheetPr>
  <dimension ref="A1:Q23"/>
  <sheetViews>
    <sheetView zoomScale="130" zoomScaleNormal="130" workbookViewId="0">
      <pane xSplit="1" ySplit="2" topLeftCell="B3" activePane="bottomRight" state="frozen"/>
      <selection pane="topRight" activeCell="B1" sqref="B1"/>
      <selection pane="bottomLeft" activeCell="A3" sqref="A3"/>
      <selection pane="bottomRight" activeCell="Q9" sqref="Q9"/>
    </sheetView>
  </sheetViews>
  <sheetFormatPr baseColWidth="10" defaultColWidth="11" defaultRowHeight="16"/>
  <cols>
    <col min="1" max="1" width="52.33203125" style="2" customWidth="1"/>
    <col min="2" max="2" width="13.33203125" style="2" customWidth="1"/>
    <col min="3" max="9" width="14.5" style="2" customWidth="1"/>
    <col min="10" max="10" width="14.5" style="2" bestFit="1" customWidth="1"/>
    <col min="11" max="12" width="12.83203125" style="2" customWidth="1"/>
    <col min="13" max="13" width="12.6640625" style="2" bestFit="1" customWidth="1"/>
    <col min="14" max="14" width="12.1640625" style="2" bestFit="1" customWidth="1"/>
    <col min="15" max="16384" width="11" style="2"/>
  </cols>
  <sheetData>
    <row r="1" spans="1:17" ht="15.75" customHeight="1">
      <c r="A1" s="646" t="s">
        <v>1118</v>
      </c>
      <c r="B1" s="643"/>
      <c r="C1" s="643"/>
      <c r="D1" s="643"/>
      <c r="E1" s="643"/>
      <c r="F1" s="643"/>
      <c r="G1" s="643"/>
      <c r="H1" s="643"/>
      <c r="I1" s="643"/>
    </row>
    <row r="2" spans="1:17">
      <c r="B2" s="31">
        <v>2010</v>
      </c>
      <c r="C2" s="138">
        <v>2011</v>
      </c>
      <c r="D2" s="138">
        <v>2012</v>
      </c>
      <c r="E2" s="138">
        <v>2013</v>
      </c>
      <c r="F2" s="138">
        <v>2014</v>
      </c>
      <c r="G2" s="138">
        <v>2015</v>
      </c>
      <c r="H2" s="138">
        <v>2016</v>
      </c>
      <c r="I2" s="138">
        <v>2017</v>
      </c>
      <c r="J2" s="138">
        <v>2018</v>
      </c>
      <c r="K2" s="138">
        <v>2019</v>
      </c>
      <c r="L2" s="138">
        <v>2020</v>
      </c>
      <c r="M2" s="138">
        <v>2021</v>
      </c>
      <c r="N2" s="1">
        <v>2022</v>
      </c>
      <c r="O2" s="31">
        <v>2023</v>
      </c>
      <c r="P2" s="31">
        <v>2024</v>
      </c>
    </row>
    <row r="3" spans="1:17" ht="18" customHeight="1">
      <c r="A3" s="27" t="s">
        <v>86</v>
      </c>
      <c r="B3" s="244" t="s">
        <v>651</v>
      </c>
      <c r="C3" s="245">
        <v>5.1933298736168823</v>
      </c>
      <c r="D3" s="245">
        <v>9.5976579528095112</v>
      </c>
      <c r="E3" s="245">
        <v>19.852041251946979</v>
      </c>
      <c r="F3" s="245">
        <v>44.194236519092023</v>
      </c>
      <c r="G3" s="245">
        <v>76.640801487162676</v>
      </c>
      <c r="H3" s="245">
        <v>101.67275848523336</v>
      </c>
      <c r="I3" s="245">
        <v>162.12189333470445</v>
      </c>
      <c r="J3" s="245">
        <v>199.91768053941746</v>
      </c>
      <c r="K3" s="245">
        <v>271.16006352490928</v>
      </c>
      <c r="L3" s="245">
        <v>339.68130813528984</v>
      </c>
      <c r="M3" s="245">
        <v>465.17406811700585</v>
      </c>
      <c r="N3" s="245">
        <v>405.53730454671211</v>
      </c>
      <c r="O3" s="245">
        <v>485.78705644420342</v>
      </c>
      <c r="P3" s="245">
        <v>547.52676032008821</v>
      </c>
    </row>
    <row r="4" spans="1:17" ht="17">
      <c r="A4" s="27" t="s">
        <v>26</v>
      </c>
      <c r="B4" s="245">
        <v>2279</v>
      </c>
      <c r="C4" s="245">
        <v>2674</v>
      </c>
      <c r="D4" s="245">
        <v>3085</v>
      </c>
      <c r="E4" s="245">
        <v>3418</v>
      </c>
      <c r="F4" s="245">
        <v>3793</v>
      </c>
      <c r="G4" s="245">
        <v>4604</v>
      </c>
      <c r="H4" s="245">
        <v>5485</v>
      </c>
      <c r="I4" s="245">
        <v>6771</v>
      </c>
      <c r="J4" s="245">
        <v>7592</v>
      </c>
      <c r="K4" s="245">
        <v>8760</v>
      </c>
      <c r="L4" s="245">
        <v>9624</v>
      </c>
      <c r="M4" s="493">
        <v>12966.974416273639</v>
      </c>
      <c r="N4" s="245">
        <v>14670.258851878738</v>
      </c>
      <c r="O4" s="245">
        <v>16680.144172375414</v>
      </c>
      <c r="P4" s="245">
        <v>18437.693735673252</v>
      </c>
      <c r="Q4" s="64"/>
    </row>
    <row r="5" spans="1:17" ht="20" customHeight="1">
      <c r="A5" s="78" t="s">
        <v>914</v>
      </c>
      <c r="B5" s="246" t="s">
        <v>651</v>
      </c>
      <c r="C5" s="494">
        <v>82.91</v>
      </c>
      <c r="D5" s="494">
        <v>182.95000000000002</v>
      </c>
      <c r="E5" s="494">
        <v>290.96000000000004</v>
      </c>
      <c r="F5" s="494">
        <v>436.86999999999995</v>
      </c>
      <c r="G5" s="494">
        <v>609.26</v>
      </c>
      <c r="H5" s="494">
        <v>821.1400000000001</v>
      </c>
      <c r="I5" s="494">
        <v>976.6849010050305</v>
      </c>
      <c r="J5" s="494">
        <v>1367.7638915254599</v>
      </c>
      <c r="K5" s="494">
        <v>1950.4656765968634</v>
      </c>
      <c r="L5" s="494">
        <v>2579.9124582667914</v>
      </c>
      <c r="M5" s="494">
        <v>3053.2058856066988</v>
      </c>
      <c r="N5" s="494">
        <v>3633.4</v>
      </c>
      <c r="O5" s="494">
        <v>4091.8574704618518</v>
      </c>
      <c r="P5" s="245">
        <v>4814.7927980109298</v>
      </c>
    </row>
    <row r="6" spans="1:17">
      <c r="A6" s="25" t="s">
        <v>590</v>
      </c>
      <c r="B6" s="245">
        <v>463.79551179999999</v>
      </c>
      <c r="C6" s="245">
        <v>551.80585560000009</v>
      </c>
      <c r="D6" s="245">
        <v>678.56979569999999</v>
      </c>
      <c r="E6" s="245">
        <v>838.82803500000011</v>
      </c>
      <c r="F6" s="245">
        <v>1063.3180480000001</v>
      </c>
      <c r="G6" s="245">
        <v>1479.0889260000001</v>
      </c>
      <c r="H6" s="245">
        <v>1618.411652</v>
      </c>
      <c r="I6" s="245">
        <v>1736.6710880000001</v>
      </c>
      <c r="J6" s="245">
        <v>2570.7261399999998</v>
      </c>
      <c r="K6" s="245">
        <v>2520.3169699999999</v>
      </c>
      <c r="L6" s="245">
        <v>2528.88436</v>
      </c>
      <c r="M6" s="245">
        <v>2920.9696899999999</v>
      </c>
      <c r="N6" s="245">
        <v>3168.0038800000002</v>
      </c>
      <c r="O6" s="245">
        <v>3187.2670000000003</v>
      </c>
      <c r="P6" s="245">
        <v>3614.0427954462666</v>
      </c>
    </row>
    <row r="7" spans="1:17">
      <c r="A7" s="25" t="s">
        <v>243</v>
      </c>
      <c r="B7" s="495">
        <v>182.82</v>
      </c>
      <c r="C7" s="494">
        <v>209.72000000000003</v>
      </c>
      <c r="D7" s="494">
        <v>232.98000000000002</v>
      </c>
      <c r="E7" s="494">
        <v>273.58</v>
      </c>
      <c r="F7" s="494">
        <v>280.42</v>
      </c>
      <c r="G7" s="494">
        <v>354.67</v>
      </c>
      <c r="H7" s="363">
        <v>421.75</v>
      </c>
      <c r="I7" s="494">
        <v>518.16999999999996</v>
      </c>
      <c r="J7" s="494">
        <v>698.57</v>
      </c>
      <c r="K7" s="494">
        <v>817.55000000000007</v>
      </c>
      <c r="L7" s="496">
        <v>904.72</v>
      </c>
      <c r="M7" s="494">
        <v>1032.1399999999999</v>
      </c>
      <c r="N7" s="494">
        <v>1114</v>
      </c>
      <c r="O7" s="494">
        <v>1194.8900000000001</v>
      </c>
      <c r="P7" s="245">
        <v>1277.7799999999997</v>
      </c>
    </row>
    <row r="8" spans="1:17">
      <c r="A8" s="25" t="s">
        <v>424</v>
      </c>
      <c r="B8" s="495">
        <v>245.709</v>
      </c>
      <c r="C8" s="494">
        <v>289.572</v>
      </c>
      <c r="D8" s="494">
        <v>277.315</v>
      </c>
      <c r="E8" s="494">
        <v>261.495</v>
      </c>
      <c r="F8" s="494">
        <v>274.38499999999999</v>
      </c>
      <c r="G8" s="494">
        <v>282.21100000000001</v>
      </c>
      <c r="H8" s="494">
        <v>275</v>
      </c>
      <c r="I8" s="494">
        <v>301</v>
      </c>
      <c r="J8" s="494">
        <v>325</v>
      </c>
      <c r="K8" s="494">
        <v>275</v>
      </c>
      <c r="L8" s="494">
        <v>245</v>
      </c>
      <c r="M8" s="494">
        <v>275</v>
      </c>
      <c r="N8" s="494">
        <v>337.4</v>
      </c>
      <c r="O8" s="494">
        <v>378.24852173913041</v>
      </c>
      <c r="P8" s="245">
        <v>401.67310993090751</v>
      </c>
    </row>
    <row r="9" spans="1:17">
      <c r="A9" s="31" t="s">
        <v>67</v>
      </c>
      <c r="B9" s="497">
        <f t="shared" ref="B9:P9" si="0">SUM(B3:B8)</f>
        <v>3171.3245118</v>
      </c>
      <c r="C9" s="497">
        <f t="shared" si="0"/>
        <v>3813.2011854736165</v>
      </c>
      <c r="D9" s="497">
        <f t="shared" si="0"/>
        <v>4466.4124536528097</v>
      </c>
      <c r="E9" s="497">
        <f t="shared" si="0"/>
        <v>5102.7150762519468</v>
      </c>
      <c r="F9" s="497">
        <f t="shared" si="0"/>
        <v>5892.1872845190928</v>
      </c>
      <c r="G9" s="497">
        <f t="shared" si="0"/>
        <v>7405.870727487164</v>
      </c>
      <c r="H9" s="497">
        <f t="shared" si="0"/>
        <v>8722.9744104852325</v>
      </c>
      <c r="I9" s="497">
        <f t="shared" si="0"/>
        <v>10465.647882339736</v>
      </c>
      <c r="J9" s="497">
        <f t="shared" si="0"/>
        <v>12753.977712064876</v>
      </c>
      <c r="K9" s="497">
        <f t="shared" si="0"/>
        <v>14594.492710121771</v>
      </c>
      <c r="L9" s="497">
        <f t="shared" si="0"/>
        <v>16222.198126402081</v>
      </c>
      <c r="M9" s="497">
        <f t="shared" si="0"/>
        <v>20713.464059997343</v>
      </c>
      <c r="N9" s="497">
        <f t="shared" si="0"/>
        <v>23328.600036425451</v>
      </c>
      <c r="O9" s="497">
        <f t="shared" si="0"/>
        <v>26018.194221020596</v>
      </c>
      <c r="P9" s="497">
        <f t="shared" si="0"/>
        <v>29093.509199381446</v>
      </c>
      <c r="Q9" s="11"/>
    </row>
    <row r="10" spans="1:17">
      <c r="A10" s="31"/>
      <c r="B10" s="147"/>
      <c r="C10" s="147"/>
      <c r="D10" s="147"/>
      <c r="E10" s="147"/>
      <c r="F10" s="147"/>
      <c r="G10" s="147"/>
      <c r="H10" s="147"/>
      <c r="I10" s="147"/>
      <c r="J10" s="147"/>
      <c r="K10" s="147"/>
      <c r="L10" s="147"/>
      <c r="M10" s="147"/>
      <c r="N10" s="11"/>
      <c r="P10" s="11"/>
    </row>
    <row r="13" spans="1:17">
      <c r="B13" s="138"/>
      <c r="C13" s="138"/>
      <c r="D13" s="138"/>
      <c r="E13" s="138"/>
      <c r="F13" s="138"/>
      <c r="G13" s="138"/>
      <c r="H13" s="138"/>
      <c r="I13" s="138"/>
      <c r="J13" s="138"/>
      <c r="K13" s="138"/>
      <c r="L13" s="138"/>
      <c r="M13" s="1"/>
      <c r="N13" s="31"/>
      <c r="O13" s="31"/>
    </row>
    <row r="14" spans="1:17">
      <c r="A14" s="70"/>
      <c r="B14" s="101"/>
      <c r="C14" s="101"/>
      <c r="D14" s="101"/>
      <c r="E14" s="101"/>
      <c r="F14" s="101"/>
      <c r="G14" s="101"/>
      <c r="H14" s="101"/>
      <c r="I14" s="101"/>
      <c r="J14" s="101"/>
      <c r="K14" s="101"/>
      <c r="L14" s="101"/>
      <c r="M14" s="101"/>
      <c r="N14" s="101"/>
    </row>
    <row r="16" spans="1:17">
      <c r="B16" s="21"/>
      <c r="C16" s="21"/>
      <c r="D16" s="21"/>
      <c r="E16" s="21"/>
      <c r="F16" s="21"/>
      <c r="G16" s="21"/>
      <c r="H16" s="21"/>
      <c r="I16" s="21"/>
      <c r="J16" s="21"/>
      <c r="K16" s="21"/>
      <c r="L16" s="21"/>
      <c r="M16" s="21"/>
      <c r="N16" s="21"/>
    </row>
    <row r="18" spans="1:14">
      <c r="A18" s="70"/>
    </row>
    <row r="23" spans="1:14">
      <c r="B23" s="147"/>
      <c r="C23" s="147"/>
      <c r="D23" s="147"/>
      <c r="E23" s="147"/>
      <c r="F23" s="147"/>
      <c r="G23" s="147"/>
      <c r="H23" s="147"/>
      <c r="I23" s="147"/>
      <c r="J23" s="147"/>
      <c r="K23" s="147"/>
      <c r="L23" s="147"/>
      <c r="M23" s="147"/>
      <c r="N23" s="147"/>
    </row>
  </sheetData>
  <mergeCells count="1">
    <mergeCell ref="A1:I1"/>
  </mergeCells>
  <pageMargins left="0.7" right="0.7" top="0.75" bottom="0.75" header="0.3" footer="0.3"/>
  <pageSetup orientation="portrait" r:id="rId1"/>
  <ignoredErrors>
    <ignoredError sqref="C9:O9" formulaRange="1"/>
  </ignoredError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097B1-2912-4A45-895F-31AC58660BA0}">
  <dimension ref="A1:F21"/>
  <sheetViews>
    <sheetView zoomScale="85" zoomScaleNormal="85" workbookViewId="0">
      <selection activeCell="F8" sqref="F8"/>
    </sheetView>
  </sheetViews>
  <sheetFormatPr baseColWidth="10" defaultColWidth="11" defaultRowHeight="21" customHeight="1"/>
  <cols>
    <col min="1" max="1" width="19" customWidth="1"/>
    <col min="2" max="2" width="31.1640625" customWidth="1"/>
    <col min="3" max="3" width="23.6640625" customWidth="1"/>
  </cols>
  <sheetData>
    <row r="1" spans="1:3" ht="21" customHeight="1">
      <c r="A1" s="627" t="s">
        <v>1140</v>
      </c>
      <c r="B1" s="627"/>
      <c r="C1" s="627"/>
    </row>
    <row r="2" spans="1:3" ht="21" customHeight="1">
      <c r="A2" s="579" t="s">
        <v>130</v>
      </c>
      <c r="B2" s="579" t="s">
        <v>131</v>
      </c>
      <c r="C2" s="579" t="s">
        <v>132</v>
      </c>
    </row>
    <row r="3" spans="1:3" ht="21" customHeight="1">
      <c r="A3" t="s">
        <v>936</v>
      </c>
      <c r="B3" t="s">
        <v>982</v>
      </c>
      <c r="C3" t="s">
        <v>945</v>
      </c>
    </row>
    <row r="4" spans="1:3" ht="21" customHeight="1">
      <c r="A4" t="s">
        <v>937</v>
      </c>
      <c r="B4" t="s">
        <v>965</v>
      </c>
      <c r="C4" t="s">
        <v>935</v>
      </c>
    </row>
    <row r="5" spans="1:3" ht="21" customHeight="1">
      <c r="A5" t="s">
        <v>938</v>
      </c>
      <c r="B5" t="s">
        <v>963</v>
      </c>
      <c r="C5" t="s">
        <v>962</v>
      </c>
    </row>
    <row r="6" spans="1:3" ht="21" customHeight="1">
      <c r="A6" t="s">
        <v>954</v>
      </c>
      <c r="B6" t="s">
        <v>942</v>
      </c>
      <c r="C6" t="s">
        <v>133</v>
      </c>
    </row>
    <row r="7" spans="1:3" ht="21" customHeight="1">
      <c r="A7" t="s">
        <v>939</v>
      </c>
      <c r="B7" t="s">
        <v>134</v>
      </c>
      <c r="C7" t="s">
        <v>946</v>
      </c>
    </row>
    <row r="8" spans="1:3" ht="21" customHeight="1">
      <c r="A8" t="s">
        <v>940</v>
      </c>
      <c r="B8" t="s">
        <v>1026</v>
      </c>
      <c r="C8" t="s">
        <v>1025</v>
      </c>
    </row>
    <row r="9" spans="1:3" ht="21" customHeight="1">
      <c r="A9" t="s">
        <v>941</v>
      </c>
      <c r="B9" t="s">
        <v>135</v>
      </c>
      <c r="C9" t="s">
        <v>136</v>
      </c>
    </row>
    <row r="10" spans="1:3" ht="21" customHeight="1">
      <c r="B10" t="s">
        <v>943</v>
      </c>
      <c r="C10" t="s">
        <v>947</v>
      </c>
    </row>
    <row r="11" spans="1:3" ht="21" customHeight="1">
      <c r="B11" t="s">
        <v>964</v>
      </c>
      <c r="C11" t="s">
        <v>948</v>
      </c>
    </row>
    <row r="12" spans="1:3" ht="21" customHeight="1">
      <c r="B12" t="s">
        <v>944</v>
      </c>
      <c r="C12" t="s">
        <v>949</v>
      </c>
    </row>
    <row r="13" spans="1:3" ht="21" customHeight="1">
      <c r="C13" t="s">
        <v>950</v>
      </c>
    </row>
    <row r="14" spans="1:3" ht="21" customHeight="1">
      <c r="C14" t="s">
        <v>137</v>
      </c>
    </row>
    <row r="15" spans="1:3" ht="21" customHeight="1">
      <c r="C15" t="s">
        <v>951</v>
      </c>
    </row>
    <row r="16" spans="1:3" ht="21" customHeight="1">
      <c r="C16" t="s">
        <v>952</v>
      </c>
    </row>
    <row r="17" spans="3:6" ht="21" customHeight="1">
      <c r="C17" t="s">
        <v>953</v>
      </c>
    </row>
    <row r="21" spans="3:6" ht="21" customHeight="1">
      <c r="F21" s="578"/>
    </row>
  </sheetData>
  <mergeCells count="1">
    <mergeCell ref="A1:C1"/>
  </mergeCells>
  <pageMargins left="0.7" right="0.7" top="0.75" bottom="0.75" header="0.3" footer="0.3"/>
  <pageSetup orientation="portrait" horizontalDpi="4294967292" verticalDpi="4294967292" r:id="rId1"/>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501BFA-EF03-314A-B5C5-D27EFADCAE4F}">
  <sheetPr>
    <tabColor rgb="FF66FFFF"/>
  </sheetPr>
  <dimension ref="A1:AO104"/>
  <sheetViews>
    <sheetView zoomScaleNormal="140" workbookViewId="0">
      <pane xSplit="1" ySplit="2" topLeftCell="B46" activePane="bottomRight" state="frozen"/>
      <selection pane="topRight" activeCell="B1" sqref="B1"/>
      <selection pane="bottomLeft" activeCell="A3" sqref="A3"/>
      <selection pane="bottomRight" activeCell="I53" sqref="I53"/>
    </sheetView>
  </sheetViews>
  <sheetFormatPr baseColWidth="10" defaultColWidth="11" defaultRowHeight="16"/>
  <cols>
    <col min="1" max="1" width="65.6640625" style="2" customWidth="1"/>
    <col min="2" max="2" width="13.33203125" style="2" bestFit="1" customWidth="1"/>
    <col min="3" max="7" width="12.1640625" style="2" bestFit="1" customWidth="1"/>
    <col min="8" max="8" width="19.6640625" style="2" bestFit="1" customWidth="1"/>
    <col min="9" max="9" width="26.6640625" style="2" customWidth="1"/>
    <col min="10" max="13" width="12.1640625" style="2" bestFit="1" customWidth="1"/>
    <col min="14" max="16384" width="11" style="2"/>
  </cols>
  <sheetData>
    <row r="1" spans="1:14" ht="34.25" customHeight="1">
      <c r="A1" s="658" t="s">
        <v>1127</v>
      </c>
      <c r="B1" s="658"/>
      <c r="C1" s="658"/>
      <c r="D1" s="658"/>
      <c r="E1" s="658"/>
      <c r="F1" s="658"/>
      <c r="G1" s="658"/>
    </row>
    <row r="2" spans="1:14" ht="24" customHeight="1">
      <c r="A2" s="252"/>
      <c r="B2" s="252">
        <v>2014</v>
      </c>
      <c r="C2" s="252">
        <v>2019</v>
      </c>
      <c r="D2" s="252">
        <v>2024</v>
      </c>
    </row>
    <row r="3" spans="1:14" ht="43" customHeight="1">
      <c r="A3" s="60" t="s">
        <v>91</v>
      </c>
      <c r="B3" s="255">
        <v>2082.5100000000002</v>
      </c>
      <c r="C3" s="255">
        <v>4919.82</v>
      </c>
      <c r="D3" s="6">
        <v>9980.9806489151488</v>
      </c>
      <c r="I3" s="241" t="s">
        <v>511</v>
      </c>
      <c r="J3" s="241" t="s">
        <v>511</v>
      </c>
    </row>
    <row r="4" spans="1:14" ht="32" customHeight="1">
      <c r="A4" s="60" t="s">
        <v>93</v>
      </c>
      <c r="B4" s="255">
        <v>483.3</v>
      </c>
      <c r="C4" s="255">
        <v>2614</v>
      </c>
      <c r="D4" s="6">
        <v>4762.7945999999993</v>
      </c>
      <c r="G4" s="659" t="s">
        <v>614</v>
      </c>
      <c r="H4" s="659"/>
      <c r="I4" s="8"/>
      <c r="J4" s="8"/>
      <c r="K4" s="8"/>
      <c r="L4" s="8"/>
      <c r="M4" s="8"/>
    </row>
    <row r="5" spans="1:14" ht="24" customHeight="1">
      <c r="A5" s="60" t="s">
        <v>94</v>
      </c>
      <c r="B5" s="11"/>
      <c r="C5" s="6">
        <v>687.82445264237776</v>
      </c>
      <c r="D5" s="6">
        <v>2901.9883349748307</v>
      </c>
      <c r="G5" s="8"/>
      <c r="H5" s="8"/>
      <c r="I5" s="8"/>
      <c r="J5" s="8"/>
      <c r="K5" s="8"/>
      <c r="L5" s="8"/>
      <c r="M5" s="8"/>
    </row>
    <row r="6" spans="1:14" ht="24" customHeight="1">
      <c r="A6" s="60" t="s">
        <v>97</v>
      </c>
      <c r="B6" s="255">
        <v>338.9</v>
      </c>
      <c r="C6" s="6">
        <v>968.22375539999996</v>
      </c>
      <c r="D6" s="6">
        <v>1756.5672</v>
      </c>
      <c r="G6" s="384"/>
      <c r="H6" s="395">
        <v>2011</v>
      </c>
      <c r="I6" s="395">
        <v>2012</v>
      </c>
      <c r="J6" s="395">
        <v>2013</v>
      </c>
      <c r="K6" s="395">
        <v>2019</v>
      </c>
      <c r="L6" s="395">
        <v>2022</v>
      </c>
      <c r="M6" s="395">
        <v>2023</v>
      </c>
      <c r="N6" s="2">
        <v>2024</v>
      </c>
    </row>
    <row r="7" spans="1:14" ht="24" customHeight="1">
      <c r="A7" s="60" t="s">
        <v>101</v>
      </c>
      <c r="B7" s="255">
        <v>383.27</v>
      </c>
      <c r="C7" s="6">
        <v>702.93934000000002</v>
      </c>
      <c r="D7" s="6">
        <v>1179.5130816149394</v>
      </c>
      <c r="G7" s="385" t="s">
        <v>278</v>
      </c>
      <c r="H7" s="386">
        <v>55.056681463292129</v>
      </c>
      <c r="I7" s="386">
        <v>52.980629079017596</v>
      </c>
      <c r="J7" s="386">
        <v>52.51273136410736</v>
      </c>
      <c r="K7" s="386">
        <v>75.653998954001722</v>
      </c>
      <c r="L7" s="386">
        <v>77.912266351872873</v>
      </c>
      <c r="M7" s="386">
        <v>81.035677879515774</v>
      </c>
      <c r="N7" s="2">
        <v>81.452666610475205</v>
      </c>
    </row>
    <row r="8" spans="1:14" ht="24" customHeight="1">
      <c r="A8" s="60" t="s">
        <v>99</v>
      </c>
      <c r="B8" s="255">
        <v>276.84423369374611</v>
      </c>
      <c r="C8" s="6">
        <v>850.00999440038959</v>
      </c>
      <c r="D8" s="6">
        <v>1256.7485678359287</v>
      </c>
      <c r="G8" s="385" t="s">
        <v>281</v>
      </c>
      <c r="H8" s="386">
        <v>1792.2060518642788</v>
      </c>
      <c r="I8" s="386">
        <v>1707.1331011027944</v>
      </c>
      <c r="J8" s="386">
        <v>1745.8935945549708</v>
      </c>
      <c r="K8" s="386">
        <v>2581.4974080243883</v>
      </c>
      <c r="L8" s="386">
        <v>2610.1733627869917</v>
      </c>
      <c r="M8" s="386">
        <v>2623.950806530459</v>
      </c>
      <c r="N8" s="2">
        <v>2639.258620108405</v>
      </c>
    </row>
    <row r="9" spans="1:14" ht="24" customHeight="1">
      <c r="A9" s="60" t="s">
        <v>103</v>
      </c>
      <c r="B9" s="255">
        <v>87.397864499999997</v>
      </c>
      <c r="C9" s="6">
        <v>553.99494660999994</v>
      </c>
      <c r="D9" s="6">
        <v>819.18132582502142</v>
      </c>
      <c r="G9" s="387" t="s">
        <v>523</v>
      </c>
      <c r="H9" s="386">
        <v>99.944875146094745</v>
      </c>
      <c r="I9" s="386">
        <v>83.159663971897984</v>
      </c>
      <c r="J9" s="386">
        <v>73.392456200234506</v>
      </c>
      <c r="K9" s="386">
        <v>63.236520132497205</v>
      </c>
      <c r="L9" s="386">
        <v>66.000823052749311</v>
      </c>
      <c r="M9" s="386">
        <v>68.449697728897718</v>
      </c>
      <c r="N9" s="2">
        <v>63.589368110133805</v>
      </c>
    </row>
    <row r="10" spans="1:14" ht="24" customHeight="1">
      <c r="A10" s="60" t="s">
        <v>105</v>
      </c>
      <c r="B10" s="11"/>
      <c r="C10" s="11"/>
      <c r="D10" s="6">
        <v>685.33</v>
      </c>
      <c r="G10" s="387" t="s">
        <v>615</v>
      </c>
      <c r="H10" s="386">
        <v>2831.0509176990372</v>
      </c>
      <c r="I10" s="386">
        <v>2041.9856603605908</v>
      </c>
      <c r="J10" s="386">
        <v>1658.7699915622911</v>
      </c>
      <c r="K10" s="386">
        <v>1647.6830666847291</v>
      </c>
      <c r="L10" s="386">
        <v>1800.6451673695319</v>
      </c>
      <c r="M10" s="386">
        <v>1875.2970728876326</v>
      </c>
      <c r="N10" s="2">
        <v>1496.9933742392045</v>
      </c>
    </row>
    <row r="11" spans="1:14" ht="24" customHeight="1">
      <c r="A11" s="60" t="s">
        <v>106</v>
      </c>
      <c r="B11" s="255">
        <v>6.09</v>
      </c>
      <c r="C11" s="6">
        <v>263.48</v>
      </c>
      <c r="D11" s="6">
        <v>819.18132582502142</v>
      </c>
    </row>
    <row r="12" spans="1:14" ht="24" customHeight="1">
      <c r="A12" s="60" t="s">
        <v>591</v>
      </c>
      <c r="B12" s="11"/>
      <c r="C12" s="11"/>
      <c r="D12" s="6">
        <v>539.36</v>
      </c>
    </row>
    <row r="13" spans="1:14">
      <c r="A13" s="60" t="s">
        <v>111</v>
      </c>
      <c r="B13" s="255">
        <v>99.09</v>
      </c>
      <c r="C13" s="6">
        <v>290.10000000000002</v>
      </c>
      <c r="D13" s="11"/>
    </row>
    <row r="14" spans="1:14">
      <c r="A14" s="60" t="s">
        <v>448</v>
      </c>
      <c r="B14" s="255">
        <v>99.9</v>
      </c>
      <c r="C14" s="6">
        <v>104.6</v>
      </c>
      <c r="D14" s="6">
        <v>61.6</v>
      </c>
    </row>
    <row r="15" spans="1:14">
      <c r="A15" s="60" t="s">
        <v>67</v>
      </c>
      <c r="B15" s="6">
        <f t="shared" ref="B15" si="0">SUM(B3:B14)</f>
        <v>3857.302098193747</v>
      </c>
      <c r="C15" s="326">
        <v>15667.065841091262</v>
      </c>
      <c r="D15" s="6">
        <f>SUM(D3:D14)</f>
        <v>24763.245084990896</v>
      </c>
      <c r="E15" s="2">
        <f>D15/C15</f>
        <v>1.5805923927403407</v>
      </c>
      <c r="F15" s="2">
        <f>D15/B15</f>
        <v>6.4198355364975805</v>
      </c>
    </row>
    <row r="16" spans="1:14" ht="24" customHeight="1">
      <c r="A16" s="53" t="s">
        <v>592</v>
      </c>
      <c r="B16" s="11"/>
      <c r="C16" s="11"/>
      <c r="D16" s="11"/>
    </row>
    <row r="17" spans="1:30" ht="24" customHeight="1">
      <c r="A17" s="11" t="s">
        <v>826</v>
      </c>
      <c r="B17" s="76">
        <f>B3/B52</f>
        <v>0.46626011852014265</v>
      </c>
      <c r="C17" s="76">
        <f>C3/C52</f>
        <v>0.38574789066363191</v>
      </c>
      <c r="D17" s="76">
        <f t="shared" ref="D17:D28" si="1">D3/D$52</f>
        <v>0.34306554704399045</v>
      </c>
    </row>
    <row r="18" spans="1:30" ht="24" customHeight="1">
      <c r="A18" s="11" t="s">
        <v>827</v>
      </c>
      <c r="B18" s="76">
        <f t="shared" ref="B18:B28" si="2">B4/$B$52</f>
        <v>0.10820765099845135</v>
      </c>
      <c r="C18" s="76">
        <f t="shared" ref="C18:C28" si="3">C4/$C$52</f>
        <v>0.20495566630379441</v>
      </c>
      <c r="D18" s="76">
        <f t="shared" si="1"/>
        <v>0.16370643250217709</v>
      </c>
    </row>
    <row r="19" spans="1:30" ht="24" customHeight="1">
      <c r="A19" s="28" t="s">
        <v>828</v>
      </c>
      <c r="B19" s="76">
        <f t="shared" si="2"/>
        <v>0</v>
      </c>
      <c r="C19" s="76">
        <f t="shared" si="3"/>
        <v>5.3930190891874986E-2</v>
      </c>
      <c r="D19" s="76">
        <f t="shared" si="1"/>
        <v>9.9746933760625003E-2</v>
      </c>
    </row>
    <row r="20" spans="1:30" ht="24" customHeight="1">
      <c r="A20" s="11" t="s">
        <v>829</v>
      </c>
      <c r="B20" s="76">
        <f t="shared" si="2"/>
        <v>7.5877452769243042E-2</v>
      </c>
      <c r="C20" s="76">
        <f t="shared" si="3"/>
        <v>7.591543416953675E-2</v>
      </c>
      <c r="D20" s="76">
        <f t="shared" si="1"/>
        <v>6.0376601116146865E-2</v>
      </c>
    </row>
    <row r="21" spans="1:30" ht="24" customHeight="1">
      <c r="A21" s="60" t="s">
        <v>830</v>
      </c>
      <c r="B21" s="76">
        <f t="shared" si="2"/>
        <v>8.5811600244519851E-2</v>
      </c>
      <c r="C21" s="76">
        <f t="shared" si="3"/>
        <v>5.5115302525191083E-2</v>
      </c>
      <c r="D21" s="76">
        <f t="shared" si="1"/>
        <v>4.0542138575707425E-2</v>
      </c>
      <c r="O21" s="8"/>
      <c r="P21" s="8"/>
      <c r="Q21" s="8"/>
      <c r="R21" s="8"/>
      <c r="S21" s="8"/>
      <c r="T21" s="8"/>
      <c r="U21" s="8"/>
    </row>
    <row r="22" spans="1:30" ht="24" customHeight="1">
      <c r="A22" s="28" t="s">
        <v>831</v>
      </c>
      <c r="B22" s="76">
        <f t="shared" si="2"/>
        <v>6.1983580013380064E-2</v>
      </c>
      <c r="C22" s="76">
        <f t="shared" si="3"/>
        <v>6.6646658288912169E-2</v>
      </c>
      <c r="D22" s="76">
        <f t="shared" si="1"/>
        <v>4.3196871137932386E-2</v>
      </c>
      <c r="O22" s="8"/>
      <c r="P22" s="8"/>
      <c r="Q22" s="8"/>
      <c r="R22" s="8"/>
      <c r="S22" s="8"/>
      <c r="T22" s="8"/>
      <c r="U22" s="8"/>
    </row>
    <row r="23" spans="1:30" ht="24" customHeight="1">
      <c r="A23" s="60" t="s">
        <v>832</v>
      </c>
      <c r="B23" s="76">
        <f t="shared" si="2"/>
        <v>1.9567799751346867E-2</v>
      </c>
      <c r="C23" s="76">
        <f t="shared" si="3"/>
        <v>4.3437032674593555E-2</v>
      </c>
      <c r="D23" s="76">
        <f t="shared" si="1"/>
        <v>2.8156841452540875E-2</v>
      </c>
      <c r="O23" s="108"/>
      <c r="P23" s="108"/>
      <c r="Q23" s="108"/>
      <c r="R23" s="108"/>
      <c r="S23" s="108"/>
      <c r="T23" s="108"/>
      <c r="U23" s="108"/>
      <c r="V23" s="108"/>
      <c r="W23" s="108"/>
      <c r="X23" s="108"/>
      <c r="Y23" s="108"/>
      <c r="Z23" s="108"/>
      <c r="AA23" s="108"/>
      <c r="AB23" s="108"/>
      <c r="AC23" s="108"/>
      <c r="AD23" s="108"/>
    </row>
    <row r="24" spans="1:30" ht="24" customHeight="1">
      <c r="A24" s="28" t="s">
        <v>833</v>
      </c>
      <c r="B24" s="76">
        <f t="shared" si="2"/>
        <v>0</v>
      </c>
      <c r="C24" s="76">
        <f t="shared" si="3"/>
        <v>0</v>
      </c>
      <c r="D24" s="76">
        <f t="shared" si="1"/>
        <v>2.3556113334536208E-2</v>
      </c>
      <c r="O24" s="236"/>
      <c r="P24" s="236"/>
      <c r="Q24" s="236"/>
      <c r="R24" s="236"/>
      <c r="S24" s="236"/>
      <c r="T24" s="236"/>
      <c r="U24" s="236"/>
      <c r="V24" s="236"/>
      <c r="W24" s="236"/>
      <c r="X24" s="236"/>
      <c r="Y24" s="236"/>
      <c r="Z24" s="236"/>
      <c r="AA24" s="236"/>
      <c r="AB24" s="236"/>
      <c r="AC24" s="236"/>
      <c r="AD24" s="236"/>
    </row>
    <row r="25" spans="1:30" ht="24" customHeight="1">
      <c r="A25" s="60" t="s">
        <v>834</v>
      </c>
      <c r="B25" s="76">
        <f t="shared" si="2"/>
        <v>1.3635104377830926E-3</v>
      </c>
      <c r="C25" s="76">
        <f t="shared" si="3"/>
        <v>2.0658653006015208E-2</v>
      </c>
      <c r="D25" s="76">
        <f t="shared" si="1"/>
        <v>2.8156841452540875E-2</v>
      </c>
      <c r="O25" s="236"/>
      <c r="P25" s="236"/>
      <c r="Q25" s="236"/>
      <c r="R25" s="236"/>
      <c r="S25" s="236"/>
      <c r="T25" s="236"/>
      <c r="U25" s="236"/>
      <c r="V25" s="236"/>
      <c r="W25" s="236"/>
      <c r="X25" s="236"/>
      <c r="Y25" s="236"/>
      <c r="Z25" s="236"/>
      <c r="AA25" s="236"/>
      <c r="AB25" s="236"/>
      <c r="AC25" s="236"/>
      <c r="AD25" s="236"/>
    </row>
    <row r="26" spans="1:30" ht="24" customHeight="1">
      <c r="A26" s="11" t="s">
        <v>835</v>
      </c>
      <c r="B26" s="76">
        <f t="shared" si="2"/>
        <v>0</v>
      </c>
      <c r="C26" s="76">
        <f t="shared" si="3"/>
        <v>0</v>
      </c>
      <c r="D26" s="76">
        <f t="shared" si="1"/>
        <v>1.8538843021778485E-2</v>
      </c>
      <c r="O26" s="236"/>
      <c r="P26" s="236"/>
      <c r="Q26" s="236"/>
      <c r="R26" s="236"/>
      <c r="S26" s="236"/>
      <c r="T26" s="236"/>
      <c r="U26" s="236"/>
      <c r="V26" s="236"/>
      <c r="W26" s="236"/>
      <c r="X26" s="236"/>
      <c r="Y26" s="236"/>
      <c r="Z26" s="236"/>
      <c r="AA26" s="236"/>
      <c r="AB26" s="236"/>
      <c r="AC26" s="236"/>
      <c r="AD26" s="236"/>
    </row>
    <row r="27" spans="1:30" ht="24" customHeight="1">
      <c r="A27" s="11" t="s">
        <v>836</v>
      </c>
      <c r="B27" s="76">
        <f t="shared" si="2"/>
        <v>2.2185591014766283E-2</v>
      </c>
      <c r="C27" s="76">
        <f t="shared" si="3"/>
        <v>2.2745844986507561E-2</v>
      </c>
      <c r="D27" s="76">
        <f t="shared" si="1"/>
        <v>0</v>
      </c>
      <c r="O27" s="236"/>
      <c r="P27" s="236"/>
      <c r="Q27" s="236"/>
      <c r="R27" s="236"/>
      <c r="S27" s="236"/>
      <c r="T27" s="236"/>
      <c r="U27" s="236"/>
      <c r="V27" s="236"/>
      <c r="W27" s="236"/>
      <c r="X27" s="236"/>
      <c r="Y27" s="236"/>
      <c r="Z27" s="236"/>
      <c r="AA27" s="236"/>
      <c r="AB27" s="236"/>
      <c r="AC27" s="236"/>
      <c r="AD27" s="236"/>
    </row>
    <row r="28" spans="1:30" ht="24" customHeight="1">
      <c r="A28" s="11" t="s">
        <v>837</v>
      </c>
      <c r="B28" s="76">
        <f t="shared" si="2"/>
        <v>2.2366944619791621E-2</v>
      </c>
      <c r="C28" s="76">
        <f t="shared" si="3"/>
        <v>8.2013629286063101E-3</v>
      </c>
      <c r="D28" s="76">
        <f t="shared" si="1"/>
        <v>2.1173107574561606E-3</v>
      </c>
    </row>
    <row r="29" spans="1:30" ht="24" customHeight="1">
      <c r="A29" s="1" t="s">
        <v>838</v>
      </c>
      <c r="B29" s="388">
        <v>4466.4124536528097</v>
      </c>
      <c r="C29" s="388">
        <v>12753.977712064876</v>
      </c>
      <c r="D29" s="388">
        <v>29093.509199381446</v>
      </c>
    </row>
    <row r="30" spans="1:30" ht="24" customHeight="1">
      <c r="A30" s="1" t="s">
        <v>605</v>
      </c>
      <c r="B30" s="256">
        <f>B17+B18+B20+B21</f>
        <v>0.73615682253235692</v>
      </c>
      <c r="C30" s="256">
        <f>C17+C18+C20+C22</f>
        <v>0.73326564942587524</v>
      </c>
      <c r="D30" s="256">
        <f>D17+D18+D20+D22</f>
        <v>0.6103454518002468</v>
      </c>
    </row>
    <row r="31" spans="1:30" ht="24" customHeight="1">
      <c r="A31" s="383" t="s">
        <v>278</v>
      </c>
      <c r="B31" s="2">
        <v>52.155125127494493</v>
      </c>
      <c r="C31" s="2">
        <v>70.782180695451544</v>
      </c>
      <c r="D31" s="2">
        <v>80.972462255818684</v>
      </c>
    </row>
    <row r="32" spans="1:30" ht="24" customHeight="1">
      <c r="A32" s="8" t="s">
        <v>615</v>
      </c>
      <c r="B32" s="2">
        <v>741.84182586265956</v>
      </c>
      <c r="C32" s="2">
        <v>1264.2407208619784</v>
      </c>
      <c r="D32" s="2">
        <v>1551.5680531122991</v>
      </c>
    </row>
    <row r="33" spans="1:5" ht="24" customHeight="1">
      <c r="A33" s="383" t="s">
        <v>281</v>
      </c>
      <c r="B33" s="2">
        <v>1727.5993993234201</v>
      </c>
      <c r="C33" s="2">
        <v>2464.1827214946934</v>
      </c>
      <c r="D33" s="2">
        <v>2632.250310576746</v>
      </c>
    </row>
    <row r="34" spans="1:5" ht="24" customHeight="1">
      <c r="A34" s="1" t="s">
        <v>1123</v>
      </c>
      <c r="B34" s="76">
        <f>SUM(B17:B28)</f>
        <v>0.86362424836942475</v>
      </c>
      <c r="C34" s="76">
        <f>SUM(C17:C28)</f>
        <v>0.93735403643866388</v>
      </c>
      <c r="D34" s="76">
        <f>SUM(D17:D28)</f>
        <v>0.85116047415543172</v>
      </c>
      <c r="E34" s="52">
        <f>D34-D28</f>
        <v>0.84904316339797559</v>
      </c>
    </row>
    <row r="35" spans="1:5" ht="24" customHeight="1">
      <c r="A35" s="1" t="s">
        <v>121</v>
      </c>
      <c r="B35" s="76">
        <f>1-B34</f>
        <v>0.13637575163057525</v>
      </c>
      <c r="C35" s="76">
        <f t="shared" ref="C35:D35" si="4">1-C34</f>
        <v>6.2645963561336115E-2</v>
      </c>
      <c r="D35" s="76">
        <f t="shared" si="4"/>
        <v>0.14883952584456828</v>
      </c>
    </row>
    <row r="36" spans="1:5" ht="24" customHeight="1">
      <c r="A36" s="11"/>
      <c r="B36" s="76"/>
      <c r="C36" s="76"/>
      <c r="D36" s="76"/>
    </row>
    <row r="37" spans="1:5" ht="24" customHeight="1">
      <c r="A37" s="11" t="s">
        <v>593</v>
      </c>
      <c r="B37" s="76">
        <f>B3/B53</f>
        <v>9.5344092402835215E-2</v>
      </c>
      <c r="C37" s="76">
        <f>C3/C53</f>
        <v>0.17963068521689021</v>
      </c>
      <c r="D37" s="76">
        <f t="shared" ref="D37:D48" si="5">D3/D$53</f>
        <v>0.23462587899223417</v>
      </c>
    </row>
    <row r="38" spans="1:5" ht="24" customHeight="1">
      <c r="A38" s="11" t="s">
        <v>594</v>
      </c>
      <c r="B38" s="76">
        <f>B4/B53</f>
        <v>2.2127048541562947E-2</v>
      </c>
      <c r="C38" s="76">
        <f>C4/C53</f>
        <v>9.5441420856240883E-2</v>
      </c>
      <c r="D38" s="76">
        <f t="shared" si="5"/>
        <v>0.11196042841801587</v>
      </c>
    </row>
    <row r="39" spans="1:5" ht="24" customHeight="1">
      <c r="A39" s="28" t="s">
        <v>595</v>
      </c>
      <c r="B39" s="76">
        <f>B5/B53</f>
        <v>0</v>
      </c>
      <c r="C39" s="76">
        <f>C5/C53</f>
        <v>2.5113597191987261E-2</v>
      </c>
      <c r="D39" s="76">
        <f t="shared" si="5"/>
        <v>6.8217902415499215E-2</v>
      </c>
    </row>
    <row r="40" spans="1:5" ht="37.25" customHeight="1">
      <c r="A40" s="11" t="s">
        <v>596</v>
      </c>
      <c r="B40" s="76">
        <f>B6/B53</f>
        <v>1.5515946101253222E-2</v>
      </c>
      <c r="C40" s="76">
        <f>C6/C53</f>
        <v>3.5351434935784784E-2</v>
      </c>
      <c r="D40" s="76">
        <f t="shared" si="5"/>
        <v>4.1292147315576989E-2</v>
      </c>
    </row>
    <row r="41" spans="1:5" ht="37.25" customHeight="1">
      <c r="A41" s="60" t="s">
        <v>597</v>
      </c>
      <c r="B41" s="76">
        <f>B7/B53</f>
        <v>1.7547349254137867E-2</v>
      </c>
      <c r="C41" s="76">
        <f>C7/C53</f>
        <v>2.5665466482535655E-2</v>
      </c>
      <c r="D41" s="76">
        <f t="shared" si="5"/>
        <v>2.7727164623530639E-2</v>
      </c>
    </row>
    <row r="42" spans="1:5" ht="24" customHeight="1">
      <c r="A42" s="28" t="s">
        <v>598</v>
      </c>
      <c r="B42" s="76">
        <f>B8/B53</f>
        <v>1.2674830948465377E-2</v>
      </c>
      <c r="C42" s="76">
        <f>C8/C53</f>
        <v>3.103525692715323E-2</v>
      </c>
      <c r="D42" s="76">
        <f t="shared" si="5"/>
        <v>2.9542762156620921E-2</v>
      </c>
    </row>
    <row r="43" spans="1:5" ht="16.25" customHeight="1">
      <c r="A43" s="60" t="s">
        <v>599</v>
      </c>
      <c r="B43" s="76">
        <f>B9/B53</f>
        <v>4.0013589700402261E-3</v>
      </c>
      <c r="C43" s="76">
        <f>C9/C53</f>
        <v>2.022726275885069E-2</v>
      </c>
      <c r="D43" s="76">
        <f t="shared" si="5"/>
        <v>1.9256738930418637E-2</v>
      </c>
    </row>
    <row r="44" spans="1:5">
      <c r="A44" s="28" t="s">
        <v>825</v>
      </c>
      <c r="B44" s="76">
        <f>B10/B53</f>
        <v>0</v>
      </c>
      <c r="C44" s="76">
        <f>C10/C53</f>
        <v>0</v>
      </c>
      <c r="D44" s="76">
        <f t="shared" si="5"/>
        <v>1.6110256026518305E-2</v>
      </c>
    </row>
    <row r="45" spans="1:5">
      <c r="A45" s="60" t="s">
        <v>600</v>
      </c>
      <c r="B45" s="76">
        <f>B11/B53</f>
        <v>2.7882004059200983E-4</v>
      </c>
      <c r="C45" s="76">
        <f>C11/C53</f>
        <v>9.6200862919672333E-3</v>
      </c>
      <c r="D45" s="76">
        <f t="shared" si="5"/>
        <v>1.9256738930418637E-2</v>
      </c>
    </row>
    <row r="46" spans="1:5">
      <c r="A46" s="11" t="s">
        <v>601</v>
      </c>
      <c r="B46" s="76">
        <f>B12/B53</f>
        <v>0</v>
      </c>
      <c r="C46" s="76">
        <f>C12/C53</f>
        <v>0</v>
      </c>
      <c r="D46" s="76">
        <f t="shared" si="5"/>
        <v>1.2678895846472374E-2</v>
      </c>
    </row>
    <row r="47" spans="1:5">
      <c r="A47" s="11" t="s">
        <v>602</v>
      </c>
      <c r="B47" s="76">
        <f>B13/B53</f>
        <v>4.5366630250020124E-3</v>
      </c>
      <c r="C47" s="76">
        <f>C13/C53</f>
        <v>1.059202608660883E-2</v>
      </c>
      <c r="D47" s="76">
        <f t="shared" si="5"/>
        <v>0</v>
      </c>
    </row>
    <row r="48" spans="1:5">
      <c r="A48" s="11" t="s">
        <v>603</v>
      </c>
      <c r="B48" s="76">
        <f>B14/B53</f>
        <v>4.5737474638984869E-3</v>
      </c>
      <c r="C48" s="76">
        <f>C14/C53</f>
        <v>3.8191172997562341E-3</v>
      </c>
      <c r="D48" s="76">
        <f t="shared" si="5"/>
        <v>1.4480495107955693E-3</v>
      </c>
    </row>
    <row r="49" spans="1:18" ht="24" customHeight="1">
      <c r="A49" s="1" t="s">
        <v>605</v>
      </c>
      <c r="B49" s="54">
        <f>B37+B38+B40+B41</f>
        <v>0.15053443629978924</v>
      </c>
      <c r="C49" s="54">
        <f t="shared" ref="C49:D49" si="6">C37+C38+C39+C40</f>
        <v>0.33553713820090314</v>
      </c>
      <c r="D49" s="54">
        <f t="shared" si="6"/>
        <v>0.45609635714132629</v>
      </c>
    </row>
    <row r="50" spans="1:18" ht="24" customHeight="1">
      <c r="A50" s="1" t="s">
        <v>1124</v>
      </c>
      <c r="B50" s="389">
        <f>SUM(B37:B48)</f>
        <v>0.17659985674778739</v>
      </c>
      <c r="C50" s="389">
        <f>SUM(C37:C48)</f>
        <v>0.43649635404777504</v>
      </c>
      <c r="D50" s="389">
        <f>SUM(D37:D48)</f>
        <v>0.58211696316610151</v>
      </c>
    </row>
    <row r="51" spans="1:18" ht="24" customHeight="1">
      <c r="A51" s="11"/>
      <c r="B51" s="11"/>
      <c r="C51" s="11"/>
      <c r="D51" s="11"/>
    </row>
    <row r="52" spans="1:18" ht="24" customHeight="1">
      <c r="A52" s="1" t="s">
        <v>838</v>
      </c>
      <c r="B52" s="388">
        <v>4466.4124536528097</v>
      </c>
      <c r="C52" s="388">
        <v>12753.977712064876</v>
      </c>
      <c r="D52" s="388">
        <v>29093.509199381399</v>
      </c>
    </row>
    <row r="53" spans="1:18" ht="24" customHeight="1">
      <c r="A53" s="1" t="s">
        <v>604</v>
      </c>
      <c r="B53" s="393">
        <v>21842.045453652809</v>
      </c>
      <c r="C53" s="390">
        <v>27388.527712064875</v>
      </c>
      <c r="D53" s="391">
        <v>42539.981914124262</v>
      </c>
    </row>
    <row r="54" spans="1:18">
      <c r="A54" s="1" t="s">
        <v>1125</v>
      </c>
      <c r="B54" s="394">
        <f>B34</f>
        <v>0.86362424836942475</v>
      </c>
      <c r="C54" s="394">
        <f>C34</f>
        <v>0.93735403643866388</v>
      </c>
      <c r="D54" s="394">
        <f>D34</f>
        <v>0.85116047415543172</v>
      </c>
    </row>
    <row r="55" spans="1:18">
      <c r="A55" s="1" t="s">
        <v>1126</v>
      </c>
      <c r="B55" s="392">
        <f>B50</f>
        <v>0.17659985674778739</v>
      </c>
      <c r="C55" s="392">
        <f t="shared" ref="C55:D55" si="7">C50</f>
        <v>0.43649635404777504</v>
      </c>
      <c r="D55" s="392">
        <f t="shared" si="7"/>
        <v>0.58211696316610151</v>
      </c>
    </row>
    <row r="56" spans="1:18">
      <c r="A56" s="1" t="s">
        <v>605</v>
      </c>
      <c r="B56" s="392">
        <f>B49</f>
        <v>0.15053443629978924</v>
      </c>
      <c r="C56" s="392">
        <f t="shared" ref="C56:D56" si="8">C49</f>
        <v>0.33553713820090314</v>
      </c>
      <c r="D56" s="392">
        <f t="shared" si="8"/>
        <v>0.45609635714132629</v>
      </c>
    </row>
    <row r="57" spans="1:18">
      <c r="A57" s="1" t="s">
        <v>606</v>
      </c>
      <c r="B57" s="236">
        <v>401.61124527441871</v>
      </c>
      <c r="C57" s="236">
        <v>538.3052366194396</v>
      </c>
      <c r="D57" s="236">
        <v>864.87052770731748</v>
      </c>
    </row>
    <row r="58" spans="1:18">
      <c r="A58" s="1" t="s">
        <v>607</v>
      </c>
      <c r="B58" s="236">
        <v>61.533156034596942</v>
      </c>
      <c r="C58" s="236">
        <v>70.517702515228009</v>
      </c>
      <c r="D58" s="236">
        <v>77.934510130944147</v>
      </c>
    </row>
    <row r="59" spans="1:18">
      <c r="A59" s="1" t="s">
        <v>129</v>
      </c>
      <c r="B59" s="236">
        <v>1435.7689295700206</v>
      </c>
      <c r="C59" s="236">
        <v>2035.1792943485207</v>
      </c>
      <c r="D59" s="236">
        <v>2363.7225632122991</v>
      </c>
    </row>
    <row r="60" spans="1:18">
      <c r="A60" s="11"/>
      <c r="B60" s="11"/>
      <c r="C60" s="11"/>
      <c r="D60" s="11"/>
    </row>
    <row r="61" spans="1:18">
      <c r="B61" s="11"/>
      <c r="C61" s="11"/>
      <c r="D61" s="11"/>
      <c r="E61" s="11"/>
    </row>
    <row r="62" spans="1:18">
      <c r="B62" s="31"/>
      <c r="C62" s="31"/>
      <c r="D62" s="31"/>
      <c r="E62" s="31"/>
    </row>
    <row r="63" spans="1:18">
      <c r="A63" s="31" t="s">
        <v>425</v>
      </c>
      <c r="B63" s="6"/>
      <c r="C63" s="6"/>
      <c r="D63" s="6"/>
      <c r="E63" s="6"/>
      <c r="L63" s="6"/>
      <c r="M63" s="6"/>
      <c r="N63" s="6"/>
      <c r="O63" s="6"/>
      <c r="P63" s="6"/>
      <c r="Q63" s="6"/>
      <c r="R63" s="6"/>
    </row>
    <row r="64" spans="1:18">
      <c r="A64" s="368" t="s">
        <v>252</v>
      </c>
      <c r="B64" s="369" t="s">
        <v>26</v>
      </c>
    </row>
    <row r="65" spans="1:17">
      <c r="A65" s="370"/>
      <c r="B65" s="369" t="s">
        <v>426</v>
      </c>
    </row>
    <row r="66" spans="1:17">
      <c r="A66" s="370"/>
      <c r="B66" s="369" t="s">
        <v>427</v>
      </c>
    </row>
    <row r="67" spans="1:17">
      <c r="A67" s="370"/>
      <c r="B67" s="369" t="s">
        <v>929</v>
      </c>
      <c r="Q67" s="242"/>
    </row>
    <row r="68" spans="1:17">
      <c r="A68" s="370"/>
      <c r="B68" s="369" t="s">
        <v>86</v>
      </c>
      <c r="M68" s="11"/>
    </row>
    <row r="69" spans="1:17">
      <c r="A69" s="370"/>
      <c r="B69" s="370" t="s">
        <v>428</v>
      </c>
      <c r="M69" s="11"/>
    </row>
    <row r="70" spans="1:17">
      <c r="B70" s="31"/>
      <c r="M70" s="11"/>
    </row>
    <row r="71" spans="1:17">
      <c r="A71" s="371" t="s">
        <v>253</v>
      </c>
      <c r="B71" s="18" t="s">
        <v>429</v>
      </c>
      <c r="M71" s="11"/>
    </row>
    <row r="72" spans="1:17">
      <c r="B72" s="18" t="s">
        <v>245</v>
      </c>
      <c r="M72" s="11"/>
    </row>
    <row r="73" spans="1:17">
      <c r="B73" s="18" t="s">
        <v>930</v>
      </c>
      <c r="M73" s="11"/>
    </row>
    <row r="74" spans="1:17">
      <c r="B74" s="19" t="s">
        <v>430</v>
      </c>
      <c r="M74" s="11"/>
    </row>
    <row r="75" spans="1:17">
      <c r="B75" s="19" t="s">
        <v>431</v>
      </c>
      <c r="M75" s="11"/>
    </row>
    <row r="76" spans="1:17">
      <c r="B76" s="372" t="s">
        <v>931</v>
      </c>
      <c r="M76" s="11"/>
    </row>
    <row r="77" spans="1:17">
      <c r="B77" s="25"/>
    </row>
    <row r="89" spans="1:41">
      <c r="C89" s="2">
        <v>1988</v>
      </c>
      <c r="D89" s="2">
        <v>1992</v>
      </c>
      <c r="E89" s="2">
        <v>1996</v>
      </c>
      <c r="F89" s="2">
        <v>2000</v>
      </c>
      <c r="G89" s="2">
        <v>2004</v>
      </c>
      <c r="H89" s="2">
        <v>2008</v>
      </c>
      <c r="I89" s="2">
        <v>2010</v>
      </c>
      <c r="J89" s="2">
        <v>2011</v>
      </c>
      <c r="K89" s="2">
        <v>2012</v>
      </c>
      <c r="L89" s="2">
        <v>2013</v>
      </c>
      <c r="M89" s="2">
        <v>2014</v>
      </c>
      <c r="N89" s="2">
        <v>2015</v>
      </c>
      <c r="O89" s="2">
        <v>2016</v>
      </c>
      <c r="P89" s="2">
        <v>2017</v>
      </c>
      <c r="Q89" s="2">
        <v>2018</v>
      </c>
      <c r="R89" s="2">
        <v>2019</v>
      </c>
      <c r="S89" s="2">
        <v>2020</v>
      </c>
      <c r="T89" s="2">
        <v>2021</v>
      </c>
      <c r="U89" s="2">
        <v>2022</v>
      </c>
      <c r="V89" s="2">
        <v>2023</v>
      </c>
      <c r="W89" s="2">
        <v>2024</v>
      </c>
      <c r="Z89" s="2">
        <v>146.69</v>
      </c>
      <c r="AA89" s="2">
        <v>182.82</v>
      </c>
      <c r="AB89" s="2">
        <v>771</v>
      </c>
      <c r="AC89" s="2">
        <v>232.98000000000002</v>
      </c>
      <c r="AD89" s="2">
        <v>273.58</v>
      </c>
      <c r="AE89" s="2">
        <v>280.42</v>
      </c>
      <c r="AF89" s="2">
        <v>354.67</v>
      </c>
      <c r="AG89" s="2">
        <v>421.75</v>
      </c>
      <c r="AH89" s="2">
        <v>518.16999999999996</v>
      </c>
      <c r="AI89" s="2">
        <v>698.57</v>
      </c>
      <c r="AJ89" s="2">
        <v>817.55000000000007</v>
      </c>
      <c r="AK89" s="2">
        <v>904.72</v>
      </c>
      <c r="AL89" s="2">
        <v>1032.1399999999999</v>
      </c>
      <c r="AM89" s="2">
        <v>1114</v>
      </c>
      <c r="AN89" s="2">
        <v>1194.8900000000001</v>
      </c>
      <c r="AO89" s="2">
        <v>1277.7799999999997</v>
      </c>
    </row>
    <row r="90" spans="1:41">
      <c r="A90" s="18" t="s">
        <v>80</v>
      </c>
      <c r="B90" s="18">
        <v>1984</v>
      </c>
      <c r="C90" s="18">
        <v>1956.7870000000003</v>
      </c>
      <c r="D90" s="18">
        <v>2346.9160000000002</v>
      </c>
      <c r="E90" s="18">
        <v>2471.192</v>
      </c>
      <c r="F90" s="18">
        <v>2989.9110000000001</v>
      </c>
      <c r="G90" s="18">
        <v>2927.9520000000002</v>
      </c>
      <c r="H90" s="18">
        <v>3187.317</v>
      </c>
      <c r="I90" s="18">
        <v>3354.5639999999999</v>
      </c>
      <c r="J90" s="18">
        <v>3359.634</v>
      </c>
      <c r="K90" s="18">
        <v>3272.2000000000003</v>
      </c>
      <c r="L90" s="18">
        <v>3113.12</v>
      </c>
      <c r="M90" s="18">
        <v>3067.53</v>
      </c>
      <c r="N90" s="18">
        <v>2742.82</v>
      </c>
      <c r="O90" s="18">
        <v>2756.17</v>
      </c>
      <c r="P90" s="18">
        <v>2559.31</v>
      </c>
      <c r="Q90" s="18">
        <v>2623.1</v>
      </c>
      <c r="R90" s="18">
        <v>2564.12</v>
      </c>
      <c r="S90" s="18">
        <v>2315.7900000000004</v>
      </c>
      <c r="T90" s="18">
        <v>2526.6999999999998</v>
      </c>
      <c r="U90" s="18">
        <v>2571.4299999999998</v>
      </c>
      <c r="V90" s="18">
        <v>2404.3799999999997</v>
      </c>
      <c r="W90" s="18">
        <v>2510.9</v>
      </c>
      <c r="Z90" s="2">
        <v>142.4</v>
      </c>
      <c r="AB90" s="2">
        <v>775</v>
      </c>
    </row>
    <row r="91" spans="1:41">
      <c r="A91" s="18" t="s">
        <v>81</v>
      </c>
      <c r="B91" s="18">
        <v>1459.3229999999999</v>
      </c>
      <c r="C91" s="18">
        <v>142.4</v>
      </c>
      <c r="D91" s="18">
        <v>395.18400000000003</v>
      </c>
      <c r="E91" s="18">
        <v>664.48</v>
      </c>
      <c r="F91" s="18">
        <v>1270.431</v>
      </c>
      <c r="G91" s="18">
        <v>2065.201</v>
      </c>
      <c r="H91" s="18">
        <v>2931.1410000000001</v>
      </c>
      <c r="I91" s="18">
        <v>3474.62</v>
      </c>
      <c r="J91" s="18">
        <v>3748.0920000000001</v>
      </c>
      <c r="K91" s="18">
        <v>3967.587</v>
      </c>
      <c r="L91" s="18">
        <v>4090.9940000000001</v>
      </c>
      <c r="M91" s="18">
        <v>4235.6000000000004</v>
      </c>
      <c r="N91" s="18">
        <v>4254.6000000000004</v>
      </c>
      <c r="O91" s="18">
        <v>4415.6000000000004</v>
      </c>
      <c r="P91" s="18">
        <v>4365</v>
      </c>
      <c r="Q91" s="18">
        <v>4247.16</v>
      </c>
      <c r="R91" s="18">
        <v>4233.1289999999999</v>
      </c>
      <c r="S91" s="18">
        <v>3929.1</v>
      </c>
      <c r="T91" s="18">
        <v>3960</v>
      </c>
      <c r="U91" s="18">
        <v>4091.87</v>
      </c>
      <c r="V91" s="18">
        <v>3833.65</v>
      </c>
      <c r="W91" s="18">
        <v>3764.067</v>
      </c>
      <c r="AB91" s="2">
        <v>993.9</v>
      </c>
    </row>
    <row r="92" spans="1:41">
      <c r="A92" s="18" t="s">
        <v>84</v>
      </c>
      <c r="B92" s="18">
        <v>93.8</v>
      </c>
      <c r="C92" s="18">
        <v>894.9</v>
      </c>
      <c r="D92" s="18">
        <v>985.9</v>
      </c>
      <c r="E92" s="18">
        <v>1043.4000000000001</v>
      </c>
      <c r="F92" s="18">
        <v>1256.2</v>
      </c>
      <c r="G92" s="18">
        <v>1513.8999999999999</v>
      </c>
      <c r="H92" s="18">
        <v>2078.64</v>
      </c>
      <c r="I92" s="18">
        <v>2211.9900000000002</v>
      </c>
      <c r="J92" s="18">
        <v>2301.3000000000002</v>
      </c>
      <c r="K92" s="18">
        <v>2295.7400000000002</v>
      </c>
      <c r="L92" s="18">
        <v>2261.13</v>
      </c>
      <c r="M92" s="18">
        <v>2169.7999999999997</v>
      </c>
      <c r="N92" s="18">
        <v>2175.66</v>
      </c>
      <c r="O92" s="18">
        <v>2119.19</v>
      </c>
      <c r="P92" s="18">
        <v>2257.0700000000002</v>
      </c>
      <c r="Q92" s="18">
        <v>2327.8199999999997</v>
      </c>
      <c r="R92" s="18">
        <v>2301.9100000000003</v>
      </c>
      <c r="S92" s="18">
        <v>2009.3899999999999</v>
      </c>
      <c r="T92" s="18">
        <v>1936.6100000000001</v>
      </c>
      <c r="U92" s="18">
        <v>2000.16</v>
      </c>
      <c r="V92" s="18">
        <v>1999.48</v>
      </c>
      <c r="W92" s="18">
        <v>2017.0687558415841</v>
      </c>
      <c r="AB92" s="2">
        <v>1011.2</v>
      </c>
    </row>
    <row r="93" spans="1:41">
      <c r="A93" s="18" t="s">
        <v>927</v>
      </c>
      <c r="B93" s="18">
        <v>769.2</v>
      </c>
      <c r="C93" s="18"/>
      <c r="D93" s="18"/>
      <c r="E93" s="18"/>
      <c r="F93" s="18"/>
      <c r="G93" s="18"/>
      <c r="H93" s="18"/>
      <c r="I93" s="18">
        <v>451.47</v>
      </c>
      <c r="J93" s="18">
        <v>437.53</v>
      </c>
      <c r="K93" s="18">
        <v>446.37</v>
      </c>
      <c r="L93" s="18">
        <v>464.27</v>
      </c>
      <c r="M93" s="18">
        <v>500.57</v>
      </c>
      <c r="N93" s="18">
        <v>597.20000000000005</v>
      </c>
      <c r="O93" s="18">
        <v>625.89</v>
      </c>
      <c r="P93" s="18">
        <v>634.79999999999995</v>
      </c>
      <c r="Q93" s="18">
        <v>936.53</v>
      </c>
      <c r="R93" s="18">
        <v>1072.57</v>
      </c>
      <c r="S93" s="18">
        <v>959.35</v>
      </c>
      <c r="T93" s="18">
        <v>1011.55</v>
      </c>
      <c r="U93" s="18">
        <v>1126.6400000000001</v>
      </c>
      <c r="V93" s="18">
        <v>1144.8599999999999</v>
      </c>
      <c r="W93" s="18">
        <v>1000.9315029311925</v>
      </c>
    </row>
    <row r="94" spans="1:41">
      <c r="A94" s="18" t="s">
        <v>242</v>
      </c>
      <c r="B94" s="18"/>
      <c r="C94" s="18">
        <v>874.9899999999999</v>
      </c>
      <c r="D94" s="18">
        <v>1234.28</v>
      </c>
      <c r="E94" s="18">
        <v>1626.73</v>
      </c>
      <c r="F94" s="18">
        <v>1742.6289999999999</v>
      </c>
      <c r="G94" s="18">
        <v>1478.049</v>
      </c>
      <c r="H94" s="18">
        <v>1242.742</v>
      </c>
      <c r="I94" s="18">
        <v>1179.6780000000001</v>
      </c>
      <c r="J94" s="18">
        <v>1146.9880000000001</v>
      </c>
      <c r="K94" s="18">
        <v>1135.96</v>
      </c>
      <c r="L94" s="18">
        <v>1131.453</v>
      </c>
      <c r="M94" s="18">
        <v>1123.405</v>
      </c>
      <c r="N94" s="18">
        <v>1145.72</v>
      </c>
      <c r="O94" s="18">
        <v>1195.8580000000002</v>
      </c>
      <c r="P94" s="18">
        <v>1221.2613460000002</v>
      </c>
      <c r="Q94" s="18">
        <v>1218.8</v>
      </c>
      <c r="R94" s="18">
        <v>1288.5100000000002</v>
      </c>
      <c r="S94" s="18">
        <v>655.97</v>
      </c>
      <c r="T94" s="18">
        <v>849.18</v>
      </c>
      <c r="U94" s="18">
        <v>1510.0173</v>
      </c>
      <c r="V94" s="18">
        <v>1822.7048</v>
      </c>
      <c r="W94" s="18">
        <v>1878.81</v>
      </c>
      <c r="AB94" s="2">
        <v>1300</v>
      </c>
    </row>
    <row r="95" spans="1:41">
      <c r="A95" s="18" t="s">
        <v>423</v>
      </c>
      <c r="B95" s="18">
        <v>666.69</v>
      </c>
      <c r="C95" s="18">
        <v>2925</v>
      </c>
      <c r="D95" s="18">
        <v>2790</v>
      </c>
      <c r="E95" s="18">
        <v>3310</v>
      </c>
      <c r="F95" s="18">
        <v>3999.960626</v>
      </c>
      <c r="G95" s="18">
        <v>4317.2183897396471</v>
      </c>
      <c r="H95" s="18">
        <v>4688.822254460445</v>
      </c>
      <c r="I95" s="18">
        <v>4358.1679999999997</v>
      </c>
      <c r="J95" s="18">
        <v>4263.8649999999998</v>
      </c>
      <c r="K95" s="18">
        <v>4335.7759999999998</v>
      </c>
      <c r="L95" s="18">
        <v>3726.8670000000002</v>
      </c>
      <c r="M95" s="18">
        <v>3430.2</v>
      </c>
      <c r="N95" s="18">
        <v>3031.2759999999998</v>
      </c>
      <c r="O95" s="18">
        <v>2807.19</v>
      </c>
      <c r="P95" s="18">
        <v>2469.5190000000002</v>
      </c>
      <c r="Q95" s="18">
        <v>2305.09</v>
      </c>
      <c r="R95" s="18">
        <v>2088.7919999999999</v>
      </c>
      <c r="S95" s="18">
        <v>1695.5</v>
      </c>
      <c r="T95" s="18">
        <v>1709.7324666666666</v>
      </c>
      <c r="U95" s="18">
        <v>1708.1324666666669</v>
      </c>
      <c r="V95" s="18">
        <v>1687.7727067232095</v>
      </c>
      <c r="W95" s="18">
        <v>1498.7351119700429</v>
      </c>
      <c r="AB95" s="2">
        <v>1847.1</v>
      </c>
    </row>
    <row r="96" spans="1:41">
      <c r="A96" s="18" t="s">
        <v>28</v>
      </c>
      <c r="B96" s="18">
        <v>2190</v>
      </c>
      <c r="C96" s="18">
        <v>775</v>
      </c>
      <c r="D96" s="18">
        <v>993.9</v>
      </c>
      <c r="E96" s="18">
        <v>1011.2</v>
      </c>
      <c r="F96" s="18">
        <v>1300</v>
      </c>
      <c r="G96" s="18">
        <v>1847.1</v>
      </c>
      <c r="H96" s="18">
        <v>2394.4</v>
      </c>
      <c r="I96" s="18">
        <v>2134.5</v>
      </c>
      <c r="J96" s="18">
        <v>2088</v>
      </c>
      <c r="K96" s="18">
        <v>1922</v>
      </c>
      <c r="L96" s="18">
        <v>1555.7</v>
      </c>
      <c r="M96" s="18">
        <v>1384.55</v>
      </c>
      <c r="N96" s="18">
        <v>1213.4000000000001</v>
      </c>
      <c r="O96" s="18">
        <v>1119.5</v>
      </c>
      <c r="P96" s="18">
        <v>1025.5999999999999</v>
      </c>
      <c r="Q96" s="18">
        <v>976.05</v>
      </c>
      <c r="R96" s="18">
        <v>926.5</v>
      </c>
      <c r="S96" s="18">
        <v>844.35</v>
      </c>
      <c r="T96" s="18">
        <v>762.2</v>
      </c>
      <c r="U96" s="18">
        <v>766.65</v>
      </c>
      <c r="V96" s="18">
        <v>771.1</v>
      </c>
      <c r="W96" s="18">
        <v>775.96034399999996</v>
      </c>
      <c r="AB96" s="2">
        <v>2394.4</v>
      </c>
    </row>
    <row r="97" spans="1:28">
      <c r="A97" s="370" t="s">
        <v>26</v>
      </c>
      <c r="B97" s="370">
        <v>771</v>
      </c>
      <c r="C97" s="370"/>
      <c r="D97" s="370"/>
      <c r="E97" s="370"/>
      <c r="F97" s="373">
        <v>141.4</v>
      </c>
      <c r="G97" s="373">
        <v>364</v>
      </c>
      <c r="H97" s="373">
        <v>1609</v>
      </c>
      <c r="I97" s="373">
        <v>2279</v>
      </c>
      <c r="J97" s="373">
        <v>2674</v>
      </c>
      <c r="K97" s="373">
        <v>3085</v>
      </c>
      <c r="L97" s="373">
        <v>3418</v>
      </c>
      <c r="M97" s="373">
        <v>3793</v>
      </c>
      <c r="N97" s="373">
        <v>4604</v>
      </c>
      <c r="O97" s="373">
        <v>5485</v>
      </c>
      <c r="P97" s="373">
        <v>6771</v>
      </c>
      <c r="Q97" s="373">
        <v>7592</v>
      </c>
      <c r="R97" s="373">
        <v>8760</v>
      </c>
      <c r="S97" s="373">
        <v>9624</v>
      </c>
      <c r="T97" s="373">
        <v>12966.974416273639</v>
      </c>
      <c r="U97" s="373">
        <v>14670.258851878738</v>
      </c>
      <c r="V97" s="373">
        <v>16680.144172375414</v>
      </c>
      <c r="W97" s="373">
        <v>18437.693735673252</v>
      </c>
      <c r="AB97" s="2">
        <v>2134.5</v>
      </c>
    </row>
    <row r="98" spans="1:28">
      <c r="A98" s="370" t="s">
        <v>86</v>
      </c>
      <c r="B98" s="370"/>
      <c r="C98" s="370"/>
      <c r="D98" s="370"/>
      <c r="E98" s="370"/>
      <c r="F98" s="370"/>
      <c r="G98" s="370"/>
      <c r="H98" s="370"/>
      <c r="I98" s="370"/>
      <c r="J98" s="374">
        <v>5.1933298736168823</v>
      </c>
      <c r="K98" s="374">
        <v>9.5976579528095112</v>
      </c>
      <c r="L98" s="374">
        <v>19.852041251946979</v>
      </c>
      <c r="M98" s="374">
        <v>44.194236519092023</v>
      </c>
      <c r="N98" s="374">
        <v>76.640801487162676</v>
      </c>
      <c r="O98" s="374">
        <v>101.67275848523336</v>
      </c>
      <c r="P98" s="374">
        <v>162.12189333470445</v>
      </c>
      <c r="Q98" s="374">
        <v>199.91768053941746</v>
      </c>
      <c r="R98" s="374">
        <v>271.16006352490928</v>
      </c>
      <c r="S98" s="374">
        <v>339.68130813528984</v>
      </c>
      <c r="T98" s="374">
        <v>465.17406811700585</v>
      </c>
      <c r="U98" s="374">
        <v>405.53730454671211</v>
      </c>
      <c r="V98" s="374">
        <v>485.78705644420342</v>
      </c>
      <c r="W98" s="374">
        <v>547.52676032008821</v>
      </c>
      <c r="AB98" s="2">
        <v>2088</v>
      </c>
    </row>
    <row r="99" spans="1:28">
      <c r="A99" s="370" t="s">
        <v>241</v>
      </c>
      <c r="B99" s="370"/>
      <c r="C99" s="370"/>
      <c r="D99" s="370"/>
      <c r="E99" s="370"/>
      <c r="F99" s="370"/>
      <c r="G99" s="370"/>
      <c r="H99" s="370"/>
      <c r="I99" s="370"/>
      <c r="J99" s="375">
        <v>82.91</v>
      </c>
      <c r="K99" s="375">
        <v>182.95000000000002</v>
      </c>
      <c r="L99" s="375">
        <v>290.96000000000004</v>
      </c>
      <c r="M99" s="375">
        <v>436.86999999999995</v>
      </c>
      <c r="N99" s="375">
        <v>609.26</v>
      </c>
      <c r="O99" s="375">
        <v>821.1400000000001</v>
      </c>
      <c r="P99" s="375">
        <v>976.6849010050305</v>
      </c>
      <c r="Q99" s="375">
        <v>1367.7638915254599</v>
      </c>
      <c r="R99" s="375">
        <v>1950.4656765968634</v>
      </c>
      <c r="S99" s="375">
        <v>2579.9124582667914</v>
      </c>
      <c r="T99" s="375">
        <v>3053.2058856066988</v>
      </c>
      <c r="U99" s="375">
        <v>3633.4</v>
      </c>
      <c r="V99" s="375">
        <v>4091.8574704618518</v>
      </c>
      <c r="W99" s="375">
        <v>4814.7927980109298</v>
      </c>
      <c r="AB99" s="2">
        <v>1922</v>
      </c>
    </row>
    <row r="100" spans="1:28">
      <c r="A100" s="370" t="s">
        <v>83</v>
      </c>
      <c r="B100" s="370"/>
      <c r="C100" s="370"/>
      <c r="D100" s="370"/>
      <c r="E100" s="370"/>
      <c r="F100" s="370"/>
      <c r="G100" s="370"/>
      <c r="H100" s="370"/>
      <c r="I100" s="370">
        <v>463.79551179999999</v>
      </c>
      <c r="J100" s="370">
        <v>551.80585559999997</v>
      </c>
      <c r="K100" s="370">
        <v>678.5697957000001</v>
      </c>
      <c r="L100" s="370">
        <v>838.828035</v>
      </c>
      <c r="M100" s="370">
        <v>1063.3180479999999</v>
      </c>
      <c r="N100" s="370">
        <v>1479.0889260000001</v>
      </c>
      <c r="O100" s="370">
        <v>1618.4116520000007</v>
      </c>
      <c r="P100" s="370">
        <v>1736.6710879999998</v>
      </c>
      <c r="Q100" s="370">
        <v>2570.7261400000007</v>
      </c>
      <c r="R100" s="370">
        <v>2520.3169699999999</v>
      </c>
      <c r="S100" s="370">
        <v>2528.8843600000005</v>
      </c>
      <c r="T100" s="370">
        <v>2920.9696899999999</v>
      </c>
      <c r="U100" s="370">
        <v>3168.0038799999993</v>
      </c>
      <c r="V100" s="370">
        <v>3187.2670000000007</v>
      </c>
      <c r="W100" s="370">
        <v>3614.0427954462662</v>
      </c>
      <c r="AB100" s="2">
        <v>1555.7</v>
      </c>
    </row>
    <row r="101" spans="1:28">
      <c r="A101" s="370" t="s">
        <v>243</v>
      </c>
      <c r="B101" s="370"/>
      <c r="C101" s="370">
        <v>0</v>
      </c>
      <c r="D101" s="370">
        <v>0</v>
      </c>
      <c r="E101" s="370">
        <v>0</v>
      </c>
      <c r="F101" s="370">
        <v>0</v>
      </c>
      <c r="G101" s="370">
        <v>0</v>
      </c>
      <c r="H101" s="370">
        <v>146.69</v>
      </c>
      <c r="I101" s="370">
        <v>182.82</v>
      </c>
      <c r="J101" s="370">
        <v>209.72000000000003</v>
      </c>
      <c r="K101" s="370">
        <v>232.98000000000002</v>
      </c>
      <c r="L101" s="370">
        <v>273.58</v>
      </c>
      <c r="M101" s="370">
        <v>280.42</v>
      </c>
      <c r="N101" s="370">
        <v>354.67</v>
      </c>
      <c r="O101" s="370">
        <v>421.75</v>
      </c>
      <c r="P101" s="370">
        <v>518.16999999999996</v>
      </c>
      <c r="Q101" s="370">
        <v>698.57</v>
      </c>
      <c r="R101" s="370">
        <v>817.55000000000007</v>
      </c>
      <c r="S101" s="370">
        <v>904.72</v>
      </c>
      <c r="T101" s="370">
        <v>1032.1399999999999</v>
      </c>
      <c r="U101" s="370">
        <v>1114</v>
      </c>
      <c r="V101" s="370">
        <v>1194.8900000000001</v>
      </c>
      <c r="W101" s="370">
        <v>1277.7799999999997</v>
      </c>
      <c r="AB101" s="2">
        <v>1384.55</v>
      </c>
    </row>
    <row r="102" spans="1:28">
      <c r="A102" s="370" t="s">
        <v>424</v>
      </c>
      <c r="B102" s="370">
        <v>0</v>
      </c>
      <c r="C102" s="370"/>
      <c r="D102" s="370"/>
      <c r="E102" s="370"/>
      <c r="F102" s="370"/>
      <c r="G102" s="370"/>
      <c r="H102" s="370">
        <v>180.749</v>
      </c>
      <c r="I102" s="370">
        <v>245.709</v>
      </c>
      <c r="J102" s="370">
        <v>289.572</v>
      </c>
      <c r="K102" s="370">
        <v>277.315</v>
      </c>
      <c r="L102" s="370">
        <v>261.495</v>
      </c>
      <c r="M102" s="370">
        <v>274.38499999999999</v>
      </c>
      <c r="N102" s="370">
        <v>282.21100000000001</v>
      </c>
      <c r="O102" s="370">
        <v>275</v>
      </c>
      <c r="P102" s="370">
        <v>301</v>
      </c>
      <c r="Q102" s="370">
        <v>325</v>
      </c>
      <c r="R102" s="370">
        <v>275</v>
      </c>
      <c r="S102" s="370">
        <v>245</v>
      </c>
      <c r="T102" s="370">
        <v>275</v>
      </c>
      <c r="U102" s="370">
        <v>337.4</v>
      </c>
      <c r="V102" s="370">
        <v>378.24852173913041</v>
      </c>
      <c r="W102" s="370">
        <v>401.67310993090751</v>
      </c>
      <c r="AB102" s="2">
        <v>1213.4000000000001</v>
      </c>
    </row>
    <row r="103" spans="1:28">
      <c r="B103" s="2">
        <f t="shared" ref="B103:V104" si="9">SUM(B90:B102)</f>
        <v>7934.0130000000008</v>
      </c>
      <c r="C103" s="2">
        <f t="shared" si="9"/>
        <v>7569.0770000000002</v>
      </c>
      <c r="D103" s="2">
        <f t="shared" si="9"/>
        <v>8746.18</v>
      </c>
      <c r="E103" s="2">
        <f t="shared" si="9"/>
        <v>10127.002</v>
      </c>
      <c r="F103" s="2">
        <f t="shared" si="9"/>
        <v>12700.531626</v>
      </c>
      <c r="G103" s="2">
        <f t="shared" si="9"/>
        <v>14513.420389739647</v>
      </c>
      <c r="H103" s="2">
        <f t="shared" si="9"/>
        <v>18459.501254460443</v>
      </c>
      <c r="I103" s="2">
        <f t="shared" si="9"/>
        <v>20336.314511799996</v>
      </c>
      <c r="J103" s="2">
        <f t="shared" si="9"/>
        <v>21158.610185473619</v>
      </c>
      <c r="K103" s="2">
        <f t="shared" si="9"/>
        <v>21842.045453652812</v>
      </c>
      <c r="L103" s="2">
        <f t="shared" si="9"/>
        <v>21446.249076251945</v>
      </c>
      <c r="M103" s="2">
        <f t="shared" si="9"/>
        <v>21803.842284519087</v>
      </c>
      <c r="N103" s="2">
        <f t="shared" si="9"/>
        <v>22566.546727487159</v>
      </c>
      <c r="O103" s="2">
        <f t="shared" si="9"/>
        <v>23762.372410485237</v>
      </c>
      <c r="P103" s="2">
        <f t="shared" si="9"/>
        <v>24998.208228339732</v>
      </c>
      <c r="Q103" s="2">
        <f t="shared" si="9"/>
        <v>27388.527712064875</v>
      </c>
      <c r="R103" s="2">
        <f t="shared" si="9"/>
        <v>29070.023710121772</v>
      </c>
      <c r="S103" s="2">
        <f t="shared" si="9"/>
        <v>28631.64812640208</v>
      </c>
      <c r="T103" s="2">
        <f t="shared" si="9"/>
        <v>33469.436526664009</v>
      </c>
      <c r="U103" s="2">
        <f t="shared" si="9"/>
        <v>37103.499803092112</v>
      </c>
      <c r="V103" s="2">
        <f t="shared" si="9"/>
        <v>39682.141727743809</v>
      </c>
      <c r="W103" s="2">
        <f>SUM(W90:W102)</f>
        <v>42539.981914124262</v>
      </c>
      <c r="AB103" s="2">
        <v>1119.5</v>
      </c>
    </row>
    <row r="104" spans="1:28">
      <c r="B104" s="18">
        <f t="shared" si="9"/>
        <v>13884.026000000002</v>
      </c>
      <c r="C104" s="18">
        <f t="shared" ref="C104:W104" si="10">C90+C91+C92+C93+C94+C95+C96</f>
        <v>7569.0770000000002</v>
      </c>
      <c r="D104" s="18">
        <f t="shared" si="10"/>
        <v>8746.18</v>
      </c>
      <c r="E104" s="18">
        <f t="shared" si="10"/>
        <v>10127.002</v>
      </c>
      <c r="F104" s="18">
        <f t="shared" si="10"/>
        <v>12559.131626</v>
      </c>
      <c r="G104" s="18">
        <f t="shared" si="10"/>
        <v>14149.420389739647</v>
      </c>
      <c r="H104" s="18">
        <f t="shared" si="10"/>
        <v>16523.062254460445</v>
      </c>
      <c r="I104" s="18">
        <f t="shared" si="10"/>
        <v>17164.989999999998</v>
      </c>
      <c r="J104" s="18">
        <f t="shared" si="10"/>
        <v>17345.409</v>
      </c>
      <c r="K104" s="18">
        <f t="shared" si="10"/>
        <v>17375.633000000002</v>
      </c>
      <c r="L104" s="18">
        <f t="shared" si="10"/>
        <v>16343.534</v>
      </c>
      <c r="M104" s="18">
        <f t="shared" si="10"/>
        <v>15911.654999999999</v>
      </c>
      <c r="N104" s="18">
        <f t="shared" si="10"/>
        <v>15160.675999999999</v>
      </c>
      <c r="O104" s="18">
        <f t="shared" si="10"/>
        <v>15039.398000000001</v>
      </c>
      <c r="P104" s="18">
        <f t="shared" si="10"/>
        <v>14532.560346</v>
      </c>
      <c r="Q104" s="18">
        <f t="shared" si="10"/>
        <v>14634.55</v>
      </c>
      <c r="R104" s="18">
        <f t="shared" si="10"/>
        <v>14475.530999999999</v>
      </c>
      <c r="S104" s="18">
        <f t="shared" si="10"/>
        <v>12409.45</v>
      </c>
      <c r="T104" s="18">
        <f t="shared" si="10"/>
        <v>12755.972466666666</v>
      </c>
      <c r="U104" s="18">
        <f t="shared" si="10"/>
        <v>13774.899766666664</v>
      </c>
      <c r="V104" s="18">
        <f t="shared" si="10"/>
        <v>13663.947506723211</v>
      </c>
      <c r="W104" s="18">
        <f t="shared" si="10"/>
        <v>13446.47271474282</v>
      </c>
      <c r="AB104" s="2">
        <v>1025.5999999999999</v>
      </c>
    </row>
  </sheetData>
  <mergeCells count="2">
    <mergeCell ref="A1:G1"/>
    <mergeCell ref="G4:H4"/>
  </mergeCells>
  <pageMargins left="0.7" right="0.7" top="0.75" bottom="0.75" header="0.3" footer="0.3"/>
  <pageSetup orientation="portrait" r:id="rId1"/>
  <drawing r:id="rId2"/>
  <legacyDrawing r:id="rId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EB92B-A0D2-4F4A-88A8-72F766B0DA85}">
  <sheetPr>
    <tabColor rgb="FFFFC000"/>
  </sheetPr>
  <dimension ref="A1:N29"/>
  <sheetViews>
    <sheetView zoomScale="130" zoomScaleNormal="130" workbookViewId="0">
      <pane xSplit="1" ySplit="2" topLeftCell="B3" activePane="bottomRight" state="frozen"/>
      <selection pane="topRight" activeCell="B1" sqref="B1"/>
      <selection pane="bottomLeft" activeCell="A3" sqref="A3"/>
      <selection pane="bottomRight" sqref="A1:G1"/>
    </sheetView>
  </sheetViews>
  <sheetFormatPr baseColWidth="10" defaultColWidth="11" defaultRowHeight="16"/>
  <cols>
    <col min="1" max="1" width="11" style="2"/>
    <col min="2" max="2" width="11.6640625" style="2" bestFit="1" customWidth="1"/>
    <col min="3" max="5" width="11" style="2"/>
    <col min="6" max="6" width="13.83203125" style="2" customWidth="1"/>
    <col min="7" max="16384" width="11" style="2"/>
  </cols>
  <sheetData>
    <row r="1" spans="1:13" ht="40.5" customHeight="1">
      <c r="A1" s="640" t="s">
        <v>1128</v>
      </c>
      <c r="B1" s="641"/>
      <c r="C1" s="641"/>
      <c r="D1" s="641"/>
      <c r="E1" s="641"/>
      <c r="F1" s="641"/>
      <c r="G1" s="641"/>
    </row>
    <row r="2" spans="1:13" ht="51">
      <c r="A2" s="11"/>
      <c r="B2" s="253" t="s">
        <v>241</v>
      </c>
      <c r="C2" s="253" t="s">
        <v>83</v>
      </c>
      <c r="D2" s="253" t="s">
        <v>608</v>
      </c>
      <c r="E2" s="253" t="s">
        <v>26</v>
      </c>
      <c r="F2" s="253" t="s">
        <v>86</v>
      </c>
      <c r="G2" s="253" t="s">
        <v>67</v>
      </c>
      <c r="H2" s="254"/>
    </row>
    <row r="3" spans="1:13">
      <c r="A3" s="25" t="s">
        <v>91</v>
      </c>
      <c r="B3" s="236">
        <v>301.6400000000001</v>
      </c>
      <c r="C3" s="236">
        <v>217.18</v>
      </c>
      <c r="D3" s="236">
        <v>179.09</v>
      </c>
      <c r="E3" s="236">
        <v>9034.5706489151489</v>
      </c>
      <c r="F3" s="236">
        <v>248.5</v>
      </c>
      <c r="G3" s="256">
        <f>SUM(B3:F3)</f>
        <v>9980.9806489151488</v>
      </c>
    </row>
    <row r="4" spans="1:13">
      <c r="A4" s="25" t="s">
        <v>93</v>
      </c>
      <c r="B4" s="236"/>
      <c r="C4" s="236"/>
      <c r="D4" s="236"/>
      <c r="E4" s="236">
        <v>4762.7945999999993</v>
      </c>
      <c r="F4" s="236"/>
      <c r="G4" s="256">
        <f>SUM(B4:E4)</f>
        <v>4762.7945999999993</v>
      </c>
    </row>
    <row r="5" spans="1:13">
      <c r="A5" s="25" t="s">
        <v>94</v>
      </c>
      <c r="B5" s="236">
        <v>78.128598010928826</v>
      </c>
      <c r="C5" s="236"/>
      <c r="D5" s="236">
        <v>132.84765107234495</v>
      </c>
      <c r="E5" s="236">
        <v>2691.012085891557</v>
      </c>
      <c r="F5" s="236"/>
      <c r="G5" s="256">
        <f>SUM(B5:E5)</f>
        <v>2901.9883349748307</v>
      </c>
    </row>
    <row r="6" spans="1:13">
      <c r="A6" s="25" t="s">
        <v>97</v>
      </c>
      <c r="B6" s="236">
        <v>1756.5672</v>
      </c>
      <c r="C6" s="236"/>
      <c r="D6" s="236"/>
      <c r="E6" s="236"/>
      <c r="F6" s="236"/>
      <c r="G6" s="256">
        <f>SUM(B6:E6)</f>
        <v>1756.5672</v>
      </c>
    </row>
    <row r="7" spans="1:13" ht="17" customHeight="1">
      <c r="A7" s="25" t="s">
        <v>99</v>
      </c>
      <c r="B7" s="236">
        <v>229.1</v>
      </c>
      <c r="C7" s="236">
        <v>575.59408527642495</v>
      </c>
      <c r="D7" s="236">
        <v>153.03015356076983</v>
      </c>
      <c r="E7" s="236"/>
      <c r="F7" s="236">
        <v>299.02432899873406</v>
      </c>
      <c r="G7" s="256">
        <f>SUM(B7:F7)</f>
        <v>1256.748567835929</v>
      </c>
    </row>
    <row r="8" spans="1:13">
      <c r="A8" s="25" t="s">
        <v>101</v>
      </c>
      <c r="B8" s="236"/>
      <c r="C8" s="236">
        <v>766.66561869999759</v>
      </c>
      <c r="D8" s="236"/>
      <c r="E8" s="236">
        <v>412.84746291494173</v>
      </c>
      <c r="F8" s="236"/>
      <c r="G8" s="256">
        <f>SUM(B8:E8)</f>
        <v>1179.5130816149394</v>
      </c>
    </row>
    <row r="9" spans="1:13">
      <c r="A9" s="25" t="s">
        <v>105</v>
      </c>
      <c r="B9" s="236">
        <v>685.33</v>
      </c>
      <c r="C9" s="236"/>
      <c r="D9" s="236"/>
      <c r="E9" s="236"/>
      <c r="F9" s="236"/>
      <c r="G9" s="256">
        <f>SUM(B9:E9)</f>
        <v>685.33</v>
      </c>
    </row>
    <row r="10" spans="1:13">
      <c r="A10" s="25" t="s">
        <v>106</v>
      </c>
      <c r="B10" s="236"/>
      <c r="C10" s="236"/>
      <c r="D10" s="236">
        <v>569.68030503652665</v>
      </c>
      <c r="E10" s="236">
        <v>67.39</v>
      </c>
      <c r="F10" s="236"/>
      <c r="G10" s="236">
        <v>524.29</v>
      </c>
    </row>
    <row r="11" spans="1:13" ht="15" customHeight="1">
      <c r="A11" s="25" t="s">
        <v>108</v>
      </c>
      <c r="B11" s="236"/>
      <c r="C11" s="236"/>
      <c r="D11" s="236"/>
      <c r="E11" s="236">
        <v>539.36</v>
      </c>
      <c r="F11" s="236"/>
      <c r="G11" s="256">
        <f>SUM(B11:E11)</f>
        <v>539.36</v>
      </c>
    </row>
    <row r="12" spans="1:13">
      <c r="A12" s="25" t="s">
        <v>512</v>
      </c>
      <c r="B12" s="236">
        <v>352.87700000000001</v>
      </c>
      <c r="C12" s="236"/>
      <c r="D12" s="236"/>
      <c r="E12" s="236"/>
      <c r="F12" s="236"/>
      <c r="G12" s="256">
        <f>SUM(B12:E12)</f>
        <v>352.87700000000001</v>
      </c>
      <c r="H12" s="21"/>
      <c r="I12" s="21"/>
      <c r="J12" s="21"/>
      <c r="K12" s="21"/>
      <c r="L12" s="21"/>
      <c r="M12" s="21"/>
    </row>
    <row r="13" spans="1:13">
      <c r="A13" s="25" t="s">
        <v>956</v>
      </c>
      <c r="B13" s="236"/>
      <c r="C13" s="236"/>
      <c r="D13" s="236"/>
      <c r="E13" s="236">
        <v>206.49</v>
      </c>
      <c r="F13" s="236"/>
      <c r="G13" s="256">
        <f>SUM(B13:E13)</f>
        <v>206.49</v>
      </c>
    </row>
    <row r="14" spans="1:13">
      <c r="A14" s="25" t="s">
        <v>109</v>
      </c>
      <c r="B14" s="236"/>
      <c r="C14" s="236"/>
      <c r="D14" s="236"/>
      <c r="E14" s="236">
        <v>61.6</v>
      </c>
      <c r="F14" s="236"/>
      <c r="G14" s="256">
        <f>SUM(B14:E14)</f>
        <v>61.6</v>
      </c>
    </row>
    <row r="15" spans="1:13">
      <c r="A15" s="25"/>
      <c r="B15" s="236"/>
      <c r="C15" s="236"/>
      <c r="D15" s="236"/>
      <c r="E15" s="236"/>
      <c r="F15" s="236"/>
      <c r="G15" s="256"/>
    </row>
    <row r="16" spans="1:13">
      <c r="A16" s="2" t="s">
        <v>609</v>
      </c>
      <c r="B16" s="236">
        <v>4814.7927980109298</v>
      </c>
      <c r="C16" s="236">
        <v>4614.9742983774595</v>
      </c>
      <c r="D16" s="236">
        <v>1105.1877100099985</v>
      </c>
      <c r="E16" s="236">
        <v>18437.693735673252</v>
      </c>
      <c r="F16" s="236">
        <v>547.52432899873406</v>
      </c>
      <c r="G16" s="236">
        <f>SUM(B16:F16)</f>
        <v>29520.172871070376</v>
      </c>
    </row>
    <row r="24" spans="12:14">
      <c r="L24" s="21"/>
      <c r="M24" s="21"/>
      <c r="N24" s="21"/>
    </row>
    <row r="25" spans="12:14">
      <c r="L25" s="21"/>
      <c r="M25" s="21"/>
      <c r="N25" s="21"/>
    </row>
    <row r="26" spans="12:14">
      <c r="L26" s="21"/>
      <c r="M26" s="21"/>
      <c r="N26" s="21"/>
    </row>
    <row r="27" spans="12:14">
      <c r="L27" s="21"/>
      <c r="M27" s="21"/>
      <c r="N27" s="21"/>
    </row>
    <row r="28" spans="12:14">
      <c r="L28" s="21"/>
      <c r="M28" s="21"/>
      <c r="N28" s="21"/>
    </row>
    <row r="29" spans="12:14">
      <c r="L29" s="21"/>
      <c r="M29" s="21"/>
      <c r="N29" s="21"/>
    </row>
  </sheetData>
  <mergeCells count="1">
    <mergeCell ref="A1:G1"/>
  </mergeCells>
  <pageMargins left="0.7" right="0.7" top="0.75" bottom="0.75" header="0.3" footer="0.3"/>
  <pageSetup paperSize="9" orientation="portrait" verticalDpi="0" r:id="rId1"/>
  <ignoredErrors>
    <ignoredError sqref="G7" formula="1"/>
  </ignoredError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9AE17-648D-FA47-AB1E-9FD230F90CBF}">
  <sheetPr>
    <tabColor rgb="FFFFC000"/>
  </sheetPr>
  <dimension ref="A1:AA139"/>
  <sheetViews>
    <sheetView zoomScale="130" zoomScaleNormal="130" workbookViewId="0">
      <pane xSplit="1" ySplit="2" topLeftCell="B3" activePane="bottomRight" state="frozen"/>
      <selection pane="topRight" activeCell="B1" sqref="B1"/>
      <selection pane="bottomLeft" activeCell="A3" sqref="A3"/>
      <selection pane="bottomRight" activeCell="A31" sqref="A31"/>
    </sheetView>
  </sheetViews>
  <sheetFormatPr baseColWidth="10" defaultColWidth="11" defaultRowHeight="16"/>
  <cols>
    <col min="1" max="1" width="17.5" style="2" customWidth="1"/>
    <col min="2" max="2" width="31.5" style="2" customWidth="1"/>
    <col min="3" max="3" width="13.6640625" style="2" customWidth="1"/>
    <col min="4" max="4" width="13" style="2" customWidth="1"/>
    <col min="5" max="5" width="18.33203125" style="2" customWidth="1"/>
    <col min="6" max="6" width="12.1640625" style="2" customWidth="1"/>
    <col min="7" max="7" width="15.1640625" style="2" customWidth="1"/>
    <col min="8" max="8" width="14.6640625" style="2" customWidth="1"/>
    <col min="9" max="9" width="12" style="2" customWidth="1"/>
    <col min="10" max="10" width="18.6640625" style="2" customWidth="1"/>
    <col min="11" max="11" width="24.6640625" style="2" customWidth="1"/>
    <col min="12" max="12" width="22.5" style="2" customWidth="1"/>
    <col min="13" max="13" width="12.33203125" style="2" customWidth="1"/>
    <col min="14" max="14" width="15.1640625" style="2" customWidth="1"/>
    <col min="15" max="16" width="11.1640625" style="2" bestFit="1" customWidth="1"/>
    <col min="17" max="17" width="11" style="2"/>
    <col min="18" max="19" width="15.1640625" style="2" bestFit="1" customWidth="1"/>
    <col min="20" max="16384" width="11" style="2"/>
  </cols>
  <sheetData>
    <row r="1" spans="1:27">
      <c r="A1" s="660" t="s">
        <v>1119</v>
      </c>
      <c r="B1" s="660"/>
      <c r="C1" s="660"/>
      <c r="D1" s="660"/>
      <c r="E1" s="660"/>
      <c r="F1" s="660"/>
      <c r="G1" s="660"/>
      <c r="H1" s="660"/>
      <c r="I1" s="660"/>
      <c r="J1" s="660"/>
    </row>
    <row r="2" spans="1:27" s="237" customFormat="1" ht="33.5" customHeight="1">
      <c r="A2" s="108" t="s">
        <v>510</v>
      </c>
      <c r="B2" s="108" t="s">
        <v>79</v>
      </c>
      <c r="C2" s="108" t="s">
        <v>80</v>
      </c>
      <c r="D2" s="108" t="s">
        <v>81</v>
      </c>
      <c r="E2" s="108" t="s">
        <v>241</v>
      </c>
      <c r="F2" s="108" t="s">
        <v>83</v>
      </c>
      <c r="G2" s="108" t="s">
        <v>84</v>
      </c>
      <c r="H2" s="108" t="s">
        <v>85</v>
      </c>
      <c r="I2" s="108" t="s">
        <v>21</v>
      </c>
      <c r="J2" s="108" t="s">
        <v>28</v>
      </c>
      <c r="K2" s="108" t="s">
        <v>26</v>
      </c>
      <c r="L2" s="108" t="s">
        <v>86</v>
      </c>
      <c r="M2" s="472" t="s">
        <v>67</v>
      </c>
      <c r="N2" s="209" t="s">
        <v>87</v>
      </c>
      <c r="R2" s="237" t="s">
        <v>610</v>
      </c>
      <c r="S2" s="237" t="s">
        <v>611</v>
      </c>
    </row>
    <row r="3" spans="1:27">
      <c r="A3" s="25" t="s">
        <v>91</v>
      </c>
      <c r="B3" s="6"/>
      <c r="C3" s="6"/>
      <c r="D3" s="6"/>
      <c r="E3" s="6">
        <v>301.6400000000001</v>
      </c>
      <c r="F3" s="6">
        <v>217.18</v>
      </c>
      <c r="G3" s="6"/>
      <c r="H3" s="6">
        <v>179.09</v>
      </c>
      <c r="I3" s="6"/>
      <c r="J3" s="6"/>
      <c r="K3" s="6">
        <v>9034.5706489151489</v>
      </c>
      <c r="L3" s="6">
        <v>248.5</v>
      </c>
      <c r="M3" s="21">
        <f t="shared" ref="M3:M22" si="0">SUM(B3:L3)</f>
        <v>9980.9806489151488</v>
      </c>
      <c r="N3" s="29">
        <f t="shared" ref="N3:N22" si="1">(M3/$M$23)*100</f>
        <v>20.376048819832342</v>
      </c>
      <c r="O3" s="237"/>
      <c r="P3" s="237"/>
    </row>
    <row r="4" spans="1:27">
      <c r="A4" s="25" t="s">
        <v>88</v>
      </c>
      <c r="B4" s="6">
        <v>1833.37</v>
      </c>
      <c r="C4" s="6">
        <v>524.66399999999999</v>
      </c>
      <c r="D4" s="6">
        <v>1390.1467600000001</v>
      </c>
      <c r="E4" s="6">
        <v>712.34</v>
      </c>
      <c r="F4" s="6"/>
      <c r="G4" s="6">
        <v>213.82100000000003</v>
      </c>
      <c r="H4" s="6"/>
      <c r="I4" s="6"/>
      <c r="J4" s="6">
        <v>4.6091520796679344</v>
      </c>
      <c r="K4" s="6">
        <v>113.43883269867213</v>
      </c>
      <c r="L4" s="6"/>
      <c r="M4" s="21">
        <f t="shared" si="0"/>
        <v>4792.3897447783393</v>
      </c>
      <c r="N4" s="29">
        <f t="shared" si="1"/>
        <v>9.7836045212532348</v>
      </c>
      <c r="O4" s="237"/>
      <c r="P4" s="237"/>
    </row>
    <row r="5" spans="1:27">
      <c r="A5" s="25" t="s">
        <v>93</v>
      </c>
      <c r="B5" s="6"/>
      <c r="C5" s="6"/>
      <c r="D5" s="6"/>
      <c r="E5" s="6"/>
      <c r="F5" s="6"/>
      <c r="G5" s="6"/>
      <c r="H5" s="6"/>
      <c r="I5" s="6"/>
      <c r="J5" s="6"/>
      <c r="K5" s="6">
        <v>4762.7945999999993</v>
      </c>
      <c r="L5" s="6"/>
      <c r="M5" s="21">
        <f t="shared" si="0"/>
        <v>4762.7945999999993</v>
      </c>
      <c r="N5" s="29">
        <f t="shared" si="1"/>
        <v>9.7231863984208839</v>
      </c>
      <c r="O5" s="237"/>
      <c r="P5" s="237"/>
    </row>
    <row r="6" spans="1:27">
      <c r="A6" s="25" t="s">
        <v>89</v>
      </c>
      <c r="B6" s="6">
        <v>2049.1990000000001</v>
      </c>
      <c r="C6" s="6">
        <v>183.91800000000001</v>
      </c>
      <c r="D6" s="6">
        <v>942.29114271239996</v>
      </c>
      <c r="E6" s="6">
        <v>421.08</v>
      </c>
      <c r="F6" s="6"/>
      <c r="G6" s="6">
        <v>133.08000000000001</v>
      </c>
      <c r="H6" s="6"/>
      <c r="I6" s="6"/>
      <c r="J6" s="6"/>
      <c r="K6" s="6">
        <v>64.319999999999993</v>
      </c>
      <c r="L6" s="6"/>
      <c r="M6" s="21">
        <f t="shared" si="0"/>
        <v>3793.8881427124002</v>
      </c>
      <c r="N6" s="29">
        <f t="shared" si="1"/>
        <v>7.7451758231084504</v>
      </c>
      <c r="O6" s="237"/>
      <c r="P6" s="237"/>
    </row>
    <row r="7" spans="1:27">
      <c r="A7" s="25" t="s">
        <v>94</v>
      </c>
      <c r="B7" s="6"/>
      <c r="C7" s="6"/>
      <c r="D7" s="6"/>
      <c r="E7" s="6">
        <v>78.128598010928826</v>
      </c>
      <c r="F7" s="6"/>
      <c r="G7" s="6"/>
      <c r="H7" s="6">
        <v>132.84765107234495</v>
      </c>
      <c r="I7" s="6"/>
      <c r="J7" s="6"/>
      <c r="K7" s="6">
        <v>2691.012085891557</v>
      </c>
      <c r="L7" s="6"/>
      <c r="M7" s="21">
        <f t="shared" si="0"/>
        <v>2901.9883349748307</v>
      </c>
      <c r="N7" s="29">
        <f t="shared" si="1"/>
        <v>5.9243733725160741</v>
      </c>
      <c r="O7" s="237"/>
      <c r="P7" s="237"/>
    </row>
    <row r="8" spans="1:27">
      <c r="A8" s="25" t="s">
        <v>95</v>
      </c>
      <c r="B8" s="6"/>
      <c r="C8" s="6">
        <v>1165.57</v>
      </c>
      <c r="D8" s="6">
        <v>156.5</v>
      </c>
      <c r="E8" s="6">
        <v>24.6</v>
      </c>
      <c r="F8" s="6"/>
      <c r="G8" s="6">
        <v>415.3</v>
      </c>
      <c r="H8" s="6"/>
      <c r="I8" s="6"/>
      <c r="J8" s="6"/>
      <c r="K8" s="6">
        <v>75.3</v>
      </c>
      <c r="L8" s="6"/>
      <c r="M8" s="21">
        <f t="shared" si="0"/>
        <v>1837.2699999999998</v>
      </c>
      <c r="N8" s="29">
        <f t="shared" si="1"/>
        <v>3.7507640313161392</v>
      </c>
      <c r="O8" s="237"/>
      <c r="P8" s="237"/>
    </row>
    <row r="9" spans="1:27">
      <c r="A9" s="25" t="s">
        <v>97</v>
      </c>
      <c r="B9" s="6"/>
      <c r="C9" s="6"/>
      <c r="D9" s="6"/>
      <c r="E9" s="6">
        <v>1756.5672</v>
      </c>
      <c r="F9" s="6"/>
      <c r="G9" s="6"/>
      <c r="H9" s="6"/>
      <c r="I9" s="6"/>
      <c r="J9" s="6"/>
      <c r="K9" s="6"/>
      <c r="L9" s="6"/>
      <c r="M9" s="21">
        <f t="shared" si="0"/>
        <v>1756.5672</v>
      </c>
      <c r="N9" s="29">
        <f t="shared" si="1"/>
        <v>3.5860102610665301</v>
      </c>
      <c r="O9" s="237"/>
      <c r="P9" s="237"/>
      <c r="S9" s="2" t="s">
        <v>511</v>
      </c>
    </row>
    <row r="10" spans="1:27">
      <c r="A10" s="25" t="s">
        <v>92</v>
      </c>
      <c r="B10" s="6">
        <v>779.4</v>
      </c>
      <c r="C10" s="6">
        <v>159.99700000000001</v>
      </c>
      <c r="D10" s="6">
        <v>199.46</v>
      </c>
      <c r="E10" s="6">
        <v>71.3</v>
      </c>
      <c r="F10" s="6"/>
      <c r="G10" s="6"/>
      <c r="H10" s="6"/>
      <c r="I10" s="6">
        <v>135.08500000000001</v>
      </c>
      <c r="J10" s="6">
        <v>33.286000000000001</v>
      </c>
      <c r="K10" s="6">
        <v>73.209999999999994</v>
      </c>
      <c r="L10" s="6"/>
      <c r="M10" s="21">
        <f t="shared" si="0"/>
        <v>1451.7380000000001</v>
      </c>
      <c r="N10" s="29">
        <f t="shared" si="1"/>
        <v>2.9637052111528681</v>
      </c>
      <c r="O10" s="237"/>
      <c r="P10" s="237"/>
    </row>
    <row r="11" spans="1:27" ht="15" customHeight="1">
      <c r="A11" s="25" t="s">
        <v>99</v>
      </c>
      <c r="B11" s="6"/>
      <c r="C11" s="6"/>
      <c r="D11" s="6"/>
      <c r="E11" s="6">
        <v>229.1</v>
      </c>
      <c r="F11" s="6">
        <v>575.59408527642495</v>
      </c>
      <c r="G11" s="6"/>
      <c r="H11" s="6">
        <v>153.03015356076983</v>
      </c>
      <c r="I11" s="6"/>
      <c r="J11" s="6"/>
      <c r="K11" s="6"/>
      <c r="L11" s="6">
        <v>299.02432899873406</v>
      </c>
      <c r="M11" s="21">
        <f t="shared" si="0"/>
        <v>1256.748567835929</v>
      </c>
      <c r="N11" s="29">
        <f t="shared" si="1"/>
        <v>2.5656366917475788</v>
      </c>
      <c r="O11" s="237"/>
      <c r="P11" s="237"/>
    </row>
    <row r="12" spans="1:27">
      <c r="A12" s="25" t="s">
        <v>101</v>
      </c>
      <c r="B12" s="6"/>
      <c r="C12" s="6"/>
      <c r="D12" s="6"/>
      <c r="E12" s="6"/>
      <c r="F12" s="6">
        <v>766.66561869999759</v>
      </c>
      <c r="G12" s="6"/>
      <c r="H12" s="6"/>
      <c r="I12" s="6"/>
      <c r="J12" s="6"/>
      <c r="K12" s="6">
        <v>412.84746291494173</v>
      </c>
      <c r="L12" s="6"/>
      <c r="M12" s="21">
        <f t="shared" si="0"/>
        <v>1179.5130816149394</v>
      </c>
      <c r="N12" s="29">
        <f t="shared" si="1"/>
        <v>2.4079613997878226</v>
      </c>
      <c r="O12" s="237"/>
      <c r="P12" s="237"/>
    </row>
    <row r="13" spans="1:27">
      <c r="A13" s="25" t="s">
        <v>168</v>
      </c>
      <c r="B13" s="6"/>
      <c r="C13" s="6">
        <v>258.25799999999998</v>
      </c>
      <c r="D13" s="6">
        <v>565.08000000000004</v>
      </c>
      <c r="E13" s="6">
        <v>137.1</v>
      </c>
      <c r="F13" s="6"/>
      <c r="G13" s="6">
        <v>69.757999999999996</v>
      </c>
      <c r="H13" s="6"/>
      <c r="I13" s="6"/>
      <c r="J13" s="6"/>
      <c r="K13" s="6">
        <v>55.23</v>
      </c>
      <c r="L13" s="6"/>
      <c r="M13" s="21">
        <f t="shared" si="0"/>
        <v>1085.4259999999999</v>
      </c>
      <c r="N13" s="29">
        <f t="shared" si="1"/>
        <v>2.2158837837962584</v>
      </c>
      <c r="O13" s="237"/>
      <c r="P13" s="237"/>
    </row>
    <row r="14" spans="1:27">
      <c r="A14" s="25" t="s">
        <v>102</v>
      </c>
      <c r="B14" s="6"/>
      <c r="C14" s="6"/>
      <c r="D14" s="6"/>
      <c r="E14" s="6"/>
      <c r="F14" s="6"/>
      <c r="G14" s="6"/>
      <c r="H14" s="6">
        <v>1055.7221290000314</v>
      </c>
      <c r="I14" s="6"/>
      <c r="J14" s="6"/>
      <c r="K14" s="6"/>
      <c r="L14" s="6"/>
      <c r="M14" s="21">
        <f t="shared" si="0"/>
        <v>1055.7221290000314</v>
      </c>
      <c r="N14" s="29">
        <f t="shared" si="1"/>
        <v>2.1552436977242406</v>
      </c>
      <c r="O14" s="237"/>
      <c r="P14" s="237"/>
      <c r="AA14" s="11"/>
    </row>
    <row r="15" spans="1:27" ht="18" customHeight="1">
      <c r="A15" s="25" t="s">
        <v>90</v>
      </c>
      <c r="B15" s="6">
        <v>838.50199999999995</v>
      </c>
      <c r="C15" s="6"/>
      <c r="D15" s="6"/>
      <c r="E15" s="6"/>
      <c r="F15" s="6"/>
      <c r="G15" s="6"/>
      <c r="H15" s="6"/>
      <c r="I15" s="6"/>
      <c r="J15" s="6"/>
      <c r="K15" s="6"/>
      <c r="L15" s="6"/>
      <c r="M15" s="21">
        <f t="shared" si="0"/>
        <v>838.50199999999995</v>
      </c>
      <c r="N15" s="29">
        <f t="shared" si="1"/>
        <v>1.7117914850765785</v>
      </c>
      <c r="O15" s="237"/>
      <c r="P15" s="237"/>
    </row>
    <row r="16" spans="1:27">
      <c r="A16" s="25" t="s">
        <v>103</v>
      </c>
      <c r="B16" s="6"/>
      <c r="C16" s="6"/>
      <c r="D16" s="6"/>
      <c r="E16" s="6"/>
      <c r="F16" s="6">
        <v>559.68132582502142</v>
      </c>
      <c r="G16" s="6"/>
      <c r="H16" s="6">
        <v>259.5</v>
      </c>
      <c r="I16" s="6"/>
      <c r="J16" s="6"/>
      <c r="K16" s="6"/>
      <c r="L16" s="6"/>
      <c r="M16" s="21">
        <f t="shared" si="0"/>
        <v>819.18132582502142</v>
      </c>
      <c r="N16" s="29">
        <f t="shared" si="1"/>
        <v>1.6723485671841141</v>
      </c>
      <c r="O16" s="237"/>
      <c r="P16" s="237"/>
      <c r="T16" s="11"/>
      <c r="U16" s="45"/>
    </row>
    <row r="17" spans="1:19">
      <c r="A17" s="25" t="s">
        <v>105</v>
      </c>
      <c r="B17" s="6"/>
      <c r="C17" s="6"/>
      <c r="D17" s="6"/>
      <c r="E17" s="6">
        <v>685.33</v>
      </c>
      <c r="F17" s="6"/>
      <c r="G17" s="6"/>
      <c r="H17" s="6"/>
      <c r="I17" s="6"/>
      <c r="J17" s="6"/>
      <c r="K17" s="6"/>
      <c r="L17" s="6"/>
      <c r="M17" s="21">
        <f t="shared" si="0"/>
        <v>685.33</v>
      </c>
      <c r="N17" s="29">
        <f t="shared" si="1"/>
        <v>1.3990927373667943</v>
      </c>
      <c r="O17" s="237"/>
      <c r="P17" s="237"/>
    </row>
    <row r="18" spans="1:19">
      <c r="A18" s="25" t="s">
        <v>106</v>
      </c>
      <c r="B18" s="6"/>
      <c r="C18" s="6"/>
      <c r="D18" s="6"/>
      <c r="E18" s="6"/>
      <c r="F18" s="6"/>
      <c r="G18" s="6"/>
      <c r="H18" s="6">
        <v>569.68030503652665</v>
      </c>
      <c r="I18" s="6"/>
      <c r="J18" s="6"/>
      <c r="K18" s="6">
        <v>67.39</v>
      </c>
      <c r="L18" s="6"/>
      <c r="M18" s="21">
        <f t="shared" si="0"/>
        <v>637.07030503652663</v>
      </c>
      <c r="N18" s="29">
        <f t="shared" si="1"/>
        <v>1.300571165670046</v>
      </c>
      <c r="O18" s="237"/>
      <c r="P18" s="237"/>
    </row>
    <row r="19" spans="1:19">
      <c r="A19" s="25" t="s">
        <v>108</v>
      </c>
      <c r="B19" s="6"/>
      <c r="C19" s="6"/>
      <c r="D19" s="6"/>
      <c r="E19" s="6"/>
      <c r="F19" s="6"/>
      <c r="G19" s="6"/>
      <c r="H19" s="6"/>
      <c r="I19" s="6"/>
      <c r="J19" s="6"/>
      <c r="K19" s="6">
        <v>539.36</v>
      </c>
      <c r="L19" s="6"/>
      <c r="M19" s="21">
        <f t="shared" si="0"/>
        <v>539.36</v>
      </c>
      <c r="N19" s="29">
        <f t="shared" si="1"/>
        <v>1.1010967837773835</v>
      </c>
      <c r="O19" s="237"/>
      <c r="P19" s="237"/>
    </row>
    <row r="20" spans="1:19">
      <c r="A20" s="25" t="s">
        <v>96</v>
      </c>
      <c r="B20" s="6">
        <v>451.43099999999998</v>
      </c>
      <c r="C20" s="6"/>
      <c r="D20" s="6"/>
      <c r="E20" s="6"/>
      <c r="F20" s="6"/>
      <c r="G20" s="6">
        <v>82.948999999999998</v>
      </c>
      <c r="H20" s="6"/>
      <c r="I20" s="6"/>
      <c r="J20" s="6"/>
      <c r="K20" s="6"/>
      <c r="L20" s="6"/>
      <c r="M20" s="21">
        <f t="shared" si="0"/>
        <v>534.38</v>
      </c>
      <c r="N20" s="29">
        <f t="shared" si="1"/>
        <v>1.0909301752353866</v>
      </c>
      <c r="O20" s="237"/>
      <c r="P20" s="237"/>
    </row>
    <row r="21" spans="1:19">
      <c r="A21" s="25" t="s">
        <v>107</v>
      </c>
      <c r="B21" s="6"/>
      <c r="C21" s="6"/>
      <c r="D21" s="6"/>
      <c r="E21" s="6"/>
      <c r="F21" s="6"/>
      <c r="G21" s="6">
        <v>452.08</v>
      </c>
      <c r="H21" s="6"/>
      <c r="I21" s="6"/>
      <c r="J21" s="6"/>
      <c r="K21" s="6"/>
      <c r="L21" s="6"/>
      <c r="M21" s="21">
        <f t="shared" si="0"/>
        <v>452.08</v>
      </c>
      <c r="N21" s="29">
        <f t="shared" si="1"/>
        <v>0.92291574089676554</v>
      </c>
      <c r="O21" s="21"/>
      <c r="P21" s="237"/>
    </row>
    <row r="22" spans="1:19" ht="15" customHeight="1">
      <c r="A22" s="25" t="s">
        <v>104</v>
      </c>
      <c r="B22" s="6"/>
      <c r="C22" s="6"/>
      <c r="D22" s="6"/>
      <c r="E22" s="6"/>
      <c r="F22" s="6"/>
      <c r="G22" s="6"/>
      <c r="H22" s="6"/>
      <c r="I22" s="6">
        <v>344.91</v>
      </c>
      <c r="J22" s="6">
        <v>1.8164982411626227</v>
      </c>
      <c r="K22" s="6">
        <v>63.5</v>
      </c>
      <c r="L22" s="6"/>
      <c r="M22" s="21">
        <f t="shared" si="0"/>
        <v>410.22649824116263</v>
      </c>
      <c r="N22" s="29">
        <f t="shared" si="1"/>
        <v>0.83747233356867878</v>
      </c>
      <c r="O22" s="21"/>
      <c r="P22" s="237"/>
    </row>
    <row r="23" spans="1:19">
      <c r="A23" s="23" t="s">
        <v>612</v>
      </c>
      <c r="B23" s="6">
        <v>6443.8580000000002</v>
      </c>
      <c r="C23" s="6">
        <v>2510.9</v>
      </c>
      <c r="D23" s="6">
        <v>3764.067</v>
      </c>
      <c r="E23" s="6">
        <v>4814.7927980109298</v>
      </c>
      <c r="F23" s="6">
        <v>4614.9742983774595</v>
      </c>
      <c r="G23" s="6">
        <v>2017.0687558415841</v>
      </c>
      <c r="H23" s="6">
        <v>3156.59</v>
      </c>
      <c r="I23" s="6">
        <v>1900.457346203619</v>
      </c>
      <c r="J23" s="6">
        <v>775.96034399999996</v>
      </c>
      <c r="K23" s="6">
        <v>18437.693735673252</v>
      </c>
      <c r="L23" s="6">
        <v>547.52432899873406</v>
      </c>
      <c r="M23" s="118">
        <f>SUM(B23:L23)</f>
        <v>48983.886607105582</v>
      </c>
      <c r="N23" s="29"/>
      <c r="O23" s="21"/>
      <c r="R23" s="6">
        <f>B23+F23+G23+L23+1100</f>
        <v>14723.425383217778</v>
      </c>
      <c r="S23" s="6">
        <f>C23+D23+E23+H23+I23+J23+K23-1100</f>
        <v>34260.461223887803</v>
      </c>
    </row>
    <row r="24" spans="1:19">
      <c r="A24" s="565" t="s">
        <v>523</v>
      </c>
      <c r="B24" s="565"/>
      <c r="C24" s="565"/>
      <c r="D24" s="565"/>
      <c r="E24" s="565"/>
      <c r="F24" s="565"/>
      <c r="G24" s="565"/>
      <c r="H24" s="565"/>
      <c r="I24" s="565"/>
      <c r="J24" s="565"/>
      <c r="K24" s="565"/>
      <c r="L24" s="565"/>
      <c r="M24" s="566"/>
      <c r="N24" s="566">
        <v>47.62801556261492</v>
      </c>
      <c r="R24" s="2">
        <f>R25/M23*100</f>
        <v>0.37236734900807389</v>
      </c>
    </row>
    <row r="25" spans="1:19">
      <c r="A25" s="308" t="s">
        <v>128</v>
      </c>
      <c r="B25" s="308"/>
      <c r="C25" s="308"/>
      <c r="D25" s="308"/>
      <c r="E25" s="308"/>
      <c r="F25" s="308"/>
      <c r="G25" s="105"/>
      <c r="H25" s="308"/>
      <c r="I25" s="308"/>
      <c r="J25" s="308"/>
      <c r="K25" s="308"/>
      <c r="L25" s="308"/>
      <c r="M25" s="308"/>
      <c r="N25" s="105">
        <v>776.59409598351101</v>
      </c>
      <c r="O25" s="21"/>
      <c r="R25" s="12">
        <v>182.4</v>
      </c>
    </row>
    <row r="26" spans="1:19">
      <c r="A26" s="308" t="s">
        <v>607</v>
      </c>
      <c r="B26" s="567"/>
      <c r="C26" s="353"/>
      <c r="D26" s="353"/>
      <c r="E26" s="353"/>
      <c r="F26" s="568"/>
      <c r="G26" s="298"/>
      <c r="H26" s="353"/>
      <c r="I26" s="567"/>
      <c r="J26" s="569"/>
      <c r="K26" s="353"/>
      <c r="L26" s="353"/>
      <c r="M26" s="570"/>
      <c r="N26" s="566">
        <v>79.163239685092833</v>
      </c>
      <c r="R26" s="12">
        <v>182.4</v>
      </c>
    </row>
    <row r="27" spans="1:19">
      <c r="A27" s="308" t="s">
        <v>129</v>
      </c>
      <c r="B27" s="308"/>
      <c r="C27" s="308"/>
      <c r="D27" s="308"/>
      <c r="E27" s="308"/>
      <c r="F27" s="308"/>
      <c r="G27" s="308"/>
      <c r="H27" s="308"/>
      <c r="I27" s="308"/>
      <c r="J27" s="308"/>
      <c r="K27" s="308"/>
      <c r="L27" s="308"/>
      <c r="M27" s="308"/>
      <c r="N27" s="105">
        <v>2372.4134791157035</v>
      </c>
      <c r="O27" s="21"/>
    </row>
    <row r="28" spans="1:19">
      <c r="A28" s="571" t="s">
        <v>613</v>
      </c>
      <c r="B28" s="567"/>
      <c r="C28" s="353"/>
      <c r="D28" s="353"/>
      <c r="E28" s="353"/>
      <c r="F28" s="568"/>
      <c r="G28" s="298"/>
      <c r="H28" s="545"/>
      <c r="I28" s="567"/>
      <c r="J28" s="121"/>
      <c r="K28" s="353"/>
      <c r="L28" s="353"/>
      <c r="M28" s="570"/>
      <c r="N28" s="566">
        <f>SUM(N3,N5,N7,N9,N11,N12,N16,N17,N18,N19)</f>
        <v>50.056326197369572</v>
      </c>
      <c r="O28" s="21"/>
      <c r="R28" s="6"/>
      <c r="S28" s="6"/>
    </row>
    <row r="29" spans="1:19">
      <c r="O29" s="21"/>
    </row>
    <row r="30" spans="1:19">
      <c r="O30" s="21"/>
    </row>
    <row r="31" spans="1:19">
      <c r="A31" s="53"/>
      <c r="O31" s="21"/>
    </row>
    <row r="32" spans="1:19">
      <c r="A32" s="11"/>
    </row>
    <row r="33" spans="18:18">
      <c r="R33" s="30">
        <v>4075.15</v>
      </c>
    </row>
    <row r="57" spans="1:15">
      <c r="A57" s="108">
        <v>2017</v>
      </c>
      <c r="B57" s="108"/>
      <c r="C57" s="108"/>
      <c r="D57" s="108"/>
      <c r="E57" s="108"/>
      <c r="F57" s="108"/>
      <c r="G57" s="108"/>
      <c r="H57" s="108"/>
      <c r="I57" s="108"/>
      <c r="J57" s="108"/>
      <c r="K57" s="108"/>
      <c r="L57" s="108"/>
      <c r="M57" s="108"/>
      <c r="N57" s="108"/>
    </row>
    <row r="58" spans="1:15" ht="64.25" customHeight="1">
      <c r="A58" s="473"/>
      <c r="B58" s="473" t="s">
        <v>79</v>
      </c>
      <c r="C58" s="473" t="s">
        <v>80</v>
      </c>
      <c r="D58" s="473" t="s">
        <v>81</v>
      </c>
      <c r="E58" s="473" t="s">
        <v>241</v>
      </c>
      <c r="F58" s="473" t="s">
        <v>83</v>
      </c>
      <c r="G58" s="473" t="s">
        <v>84</v>
      </c>
      <c r="H58" s="473" t="s">
        <v>85</v>
      </c>
      <c r="I58" s="473" t="s">
        <v>21</v>
      </c>
      <c r="J58" s="473" t="s">
        <v>28</v>
      </c>
      <c r="K58" s="473" t="s">
        <v>26</v>
      </c>
      <c r="L58" s="473" t="s">
        <v>86</v>
      </c>
      <c r="M58" s="209" t="s">
        <v>67</v>
      </c>
      <c r="N58" s="209" t="s">
        <v>87</v>
      </c>
    </row>
    <row r="59" spans="1:15">
      <c r="A59" s="25" t="s">
        <v>88</v>
      </c>
      <c r="B59" s="6">
        <v>2492.4</v>
      </c>
      <c r="C59" s="6">
        <v>675.4</v>
      </c>
      <c r="D59" s="6">
        <v>1556.1489999999999</v>
      </c>
      <c r="E59" s="6">
        <v>167.26</v>
      </c>
      <c r="F59" s="6"/>
      <c r="G59" s="6">
        <v>372.6</v>
      </c>
      <c r="H59" s="6"/>
      <c r="I59" s="6"/>
      <c r="J59" s="6">
        <v>6.6235211058263994</v>
      </c>
      <c r="K59" s="6">
        <v>68.89</v>
      </c>
      <c r="L59" s="6"/>
      <c r="M59" s="474">
        <f t="shared" ref="M59:M74" si="2">SUM(B59:L59)</f>
        <v>5339.3225211058279</v>
      </c>
      <c r="N59" s="21">
        <f t="shared" ref="N59:N79" si="3">(M59/$M$79)*100</f>
        <v>16.012146092052173</v>
      </c>
      <c r="O59" s="21">
        <f>SUM(N60,N64,N69,N71,N72)</f>
        <v>21.08436907176954</v>
      </c>
    </row>
    <row r="60" spans="1:15">
      <c r="A60" s="25" t="s">
        <v>91</v>
      </c>
      <c r="B60" s="6"/>
      <c r="C60" s="6"/>
      <c r="D60" s="6"/>
      <c r="E60" s="6"/>
      <c r="F60" s="6">
        <v>122.23</v>
      </c>
      <c r="G60" s="6"/>
      <c r="H60" s="6">
        <v>19.13</v>
      </c>
      <c r="I60" s="6"/>
      <c r="J60" s="6"/>
      <c r="K60" s="6">
        <v>3438.89</v>
      </c>
      <c r="L60" s="6">
        <v>40.340000000000003</v>
      </c>
      <c r="M60" s="474">
        <f t="shared" si="2"/>
        <v>3620.59</v>
      </c>
      <c r="N60" s="21">
        <f t="shared" si="3"/>
        <v>10.857822465352083</v>
      </c>
    </row>
    <row r="61" spans="1:15">
      <c r="A61" s="25" t="s">
        <v>168</v>
      </c>
      <c r="B61" s="6">
        <v>1921.5</v>
      </c>
      <c r="C61" s="6">
        <v>345.6</v>
      </c>
      <c r="D61" s="6">
        <v>858.29</v>
      </c>
      <c r="E61" s="6"/>
      <c r="F61" s="6"/>
      <c r="G61" s="6">
        <v>149.19999999999999</v>
      </c>
      <c r="H61" s="6"/>
      <c r="I61" s="6"/>
      <c r="J61" s="6"/>
      <c r="K61" s="6">
        <v>36.031657586179456</v>
      </c>
      <c r="L61" s="6"/>
      <c r="M61" s="474">
        <f t="shared" si="2"/>
        <v>3310.621657586179</v>
      </c>
      <c r="N61" s="21">
        <f t="shared" si="3"/>
        <v>9.9282553970541727</v>
      </c>
    </row>
    <row r="62" spans="1:15">
      <c r="A62" s="25" t="s">
        <v>89</v>
      </c>
      <c r="B62" s="6">
        <v>1501</v>
      </c>
      <c r="C62" s="6">
        <v>205.5</v>
      </c>
      <c r="D62" s="6">
        <v>771.49199999999996</v>
      </c>
      <c r="E62" s="6">
        <v>81.63</v>
      </c>
      <c r="F62" s="6"/>
      <c r="G62" s="6">
        <v>219.6</v>
      </c>
      <c r="H62" s="6"/>
      <c r="I62" s="6"/>
      <c r="J62" s="6">
        <v>110</v>
      </c>
      <c r="K62" s="6">
        <v>42.25</v>
      </c>
      <c r="L62" s="6"/>
      <c r="M62" s="474">
        <f t="shared" si="2"/>
        <v>2931.4720000000002</v>
      </c>
      <c r="N62" s="21">
        <f t="shared" si="3"/>
        <v>8.7912198117297482</v>
      </c>
    </row>
    <row r="63" spans="1:15">
      <c r="A63" s="25" t="s">
        <v>92</v>
      </c>
      <c r="B63" s="6">
        <v>1010</v>
      </c>
      <c r="C63" s="6">
        <v>219.2</v>
      </c>
      <c r="D63" s="6">
        <v>234.42</v>
      </c>
      <c r="E63" s="6">
        <v>39.700000000000003</v>
      </c>
      <c r="F63" s="6"/>
      <c r="G63" s="6"/>
      <c r="H63" s="6"/>
      <c r="I63" s="6">
        <v>183.5</v>
      </c>
      <c r="J63" s="6">
        <v>94.58</v>
      </c>
      <c r="K63" s="6">
        <v>54.208993279828007</v>
      </c>
      <c r="L63" s="6"/>
      <c r="M63" s="474">
        <f t="shared" si="2"/>
        <v>1835.6089932798282</v>
      </c>
      <c r="N63" s="21">
        <f t="shared" si="3"/>
        <v>5.5048256126311017</v>
      </c>
    </row>
    <row r="64" spans="1:15">
      <c r="A64" s="25" t="s">
        <v>444</v>
      </c>
      <c r="B64" s="6"/>
      <c r="C64" s="6"/>
      <c r="D64" s="6"/>
      <c r="E64" s="6"/>
      <c r="F64" s="6"/>
      <c r="G64" s="6"/>
      <c r="H64" s="6"/>
      <c r="I64" s="6"/>
      <c r="J64" s="6"/>
      <c r="K64" s="6">
        <v>1750.1</v>
      </c>
      <c r="L64" s="6"/>
      <c r="M64" s="474">
        <f t="shared" si="2"/>
        <v>1750.1</v>
      </c>
      <c r="N64" s="21">
        <f t="shared" si="3"/>
        <v>5.2483918633738371</v>
      </c>
    </row>
    <row r="65" spans="1:15">
      <c r="A65" s="25" t="s">
        <v>95</v>
      </c>
      <c r="B65" s="6"/>
      <c r="C65" s="6">
        <v>996.2</v>
      </c>
      <c r="D65" s="6">
        <v>176.6</v>
      </c>
      <c r="E65" s="6"/>
      <c r="F65" s="6"/>
      <c r="G65" s="6">
        <v>314.8</v>
      </c>
      <c r="H65" s="6"/>
      <c r="I65" s="6"/>
      <c r="J65" s="6"/>
      <c r="K65" s="6">
        <v>36.6</v>
      </c>
      <c r="L65" s="6"/>
      <c r="M65" s="474">
        <f t="shared" si="2"/>
        <v>1524.1999999999998</v>
      </c>
      <c r="N65" s="21">
        <f t="shared" si="3"/>
        <v>4.5709381624789449</v>
      </c>
    </row>
    <row r="66" spans="1:15">
      <c r="A66" s="25" t="s">
        <v>104</v>
      </c>
      <c r="B66" s="6"/>
      <c r="C66" s="6"/>
      <c r="D66" s="6"/>
      <c r="E66" s="6"/>
      <c r="F66" s="6"/>
      <c r="G66" s="6"/>
      <c r="H66" s="6"/>
      <c r="I66" s="6">
        <v>754.3</v>
      </c>
      <c r="J66" s="6">
        <v>2.6071306480380505</v>
      </c>
      <c r="K66" s="6">
        <v>61.27</v>
      </c>
      <c r="L66" s="6"/>
      <c r="M66" s="474">
        <f t="shared" si="2"/>
        <v>818.17713064803797</v>
      </c>
      <c r="N66" s="21">
        <f t="shared" si="3"/>
        <v>2.4536393322048546</v>
      </c>
    </row>
    <row r="67" spans="1:15">
      <c r="A67" s="25" t="s">
        <v>152</v>
      </c>
      <c r="B67" s="6"/>
      <c r="C67" s="6"/>
      <c r="D67" s="6"/>
      <c r="E67" s="6"/>
      <c r="F67" s="6"/>
      <c r="G67" s="6"/>
      <c r="H67" s="6"/>
      <c r="I67" s="6">
        <v>619.29999999999995</v>
      </c>
      <c r="J67" s="6"/>
      <c r="K67" s="6">
        <v>128.5</v>
      </c>
      <c r="L67" s="6"/>
      <c r="M67" s="474">
        <f t="shared" si="2"/>
        <v>747.8</v>
      </c>
      <c r="N67" s="21">
        <f t="shared" si="3"/>
        <v>2.2425846725506857</v>
      </c>
    </row>
    <row r="68" spans="1:15">
      <c r="A68" s="25" t="s">
        <v>90</v>
      </c>
      <c r="B68" s="6">
        <v>706.81299999999999</v>
      </c>
      <c r="C68" s="6"/>
      <c r="D68" s="6"/>
      <c r="E68" s="6"/>
      <c r="F68" s="6"/>
      <c r="G68" s="6"/>
      <c r="H68" s="6"/>
      <c r="I68" s="6"/>
      <c r="J68" s="6"/>
      <c r="K68" s="6"/>
      <c r="L68" s="6"/>
      <c r="M68" s="474">
        <f t="shared" si="2"/>
        <v>706.81299999999999</v>
      </c>
      <c r="N68" s="21">
        <f t="shared" si="3"/>
        <v>2.1196683607375877</v>
      </c>
    </row>
    <row r="69" spans="1:15">
      <c r="A69" s="25" t="s">
        <v>96</v>
      </c>
      <c r="B69" s="6">
        <v>495.8</v>
      </c>
      <c r="C69" s="6"/>
      <c r="D69" s="6">
        <v>11</v>
      </c>
      <c r="E69" s="6"/>
      <c r="F69" s="6"/>
      <c r="G69" s="6">
        <v>104.7</v>
      </c>
      <c r="H69" s="6"/>
      <c r="I69" s="6"/>
      <c r="J69" s="6"/>
      <c r="K69" s="6"/>
      <c r="L69" s="6"/>
      <c r="M69" s="474">
        <f t="shared" si="2"/>
        <v>611.5</v>
      </c>
      <c r="N69" s="21">
        <f t="shared" si="3"/>
        <v>1.8338332806428783</v>
      </c>
    </row>
    <row r="70" spans="1:15">
      <c r="A70" s="25" t="s">
        <v>97</v>
      </c>
      <c r="B70" s="6"/>
      <c r="C70" s="6"/>
      <c r="D70" s="6"/>
      <c r="E70" s="6">
        <v>602.58900000000006</v>
      </c>
      <c r="F70" s="6"/>
      <c r="G70" s="6"/>
      <c r="H70" s="6"/>
      <c r="I70" s="6"/>
      <c r="J70" s="6"/>
      <c r="K70" s="6"/>
      <c r="L70" s="6"/>
      <c r="M70" s="474">
        <f t="shared" si="2"/>
        <v>602.58900000000006</v>
      </c>
      <c r="N70" s="21">
        <f t="shared" si="3"/>
        <v>1.8071099963193977</v>
      </c>
    </row>
    <row r="71" spans="1:15">
      <c r="A71" s="25" t="s">
        <v>99</v>
      </c>
      <c r="B71" s="6"/>
      <c r="C71" s="6"/>
      <c r="D71" s="6"/>
      <c r="E71" s="6">
        <v>82.91</v>
      </c>
      <c r="F71" s="6">
        <v>312.10922635199995</v>
      </c>
      <c r="G71" s="6"/>
      <c r="H71" s="6">
        <v>47.168880204236444</v>
      </c>
      <c r="I71" s="6"/>
      <c r="J71" s="6"/>
      <c r="K71" s="6"/>
      <c r="L71" s="6">
        <v>121.78586366099996</v>
      </c>
      <c r="M71" s="474">
        <f t="shared" si="2"/>
        <v>563.97397021723634</v>
      </c>
      <c r="N71" s="21">
        <f t="shared" si="3"/>
        <v>1.6913070089953612</v>
      </c>
      <c r="O71" s="21"/>
    </row>
    <row r="72" spans="1:15">
      <c r="A72" s="25" t="s">
        <v>101</v>
      </c>
      <c r="B72" s="6"/>
      <c r="C72" s="6"/>
      <c r="D72" s="6"/>
      <c r="E72" s="6"/>
      <c r="F72" s="6">
        <v>331.1</v>
      </c>
      <c r="G72" s="6"/>
      <c r="H72" s="6"/>
      <c r="I72" s="6"/>
      <c r="J72" s="6"/>
      <c r="K72" s="6">
        <v>153.41424000000001</v>
      </c>
      <c r="L72" s="6"/>
      <c r="M72" s="474">
        <f t="shared" si="2"/>
        <v>484.51424000000003</v>
      </c>
      <c r="N72" s="21">
        <f t="shared" si="3"/>
        <v>1.4530144534053819</v>
      </c>
    </row>
    <row r="73" spans="1:15">
      <c r="A73" s="25" t="s">
        <v>102</v>
      </c>
      <c r="B73" s="6"/>
      <c r="C73" s="6"/>
      <c r="D73" s="6"/>
      <c r="E73" s="6"/>
      <c r="F73" s="6"/>
      <c r="G73" s="6"/>
      <c r="H73" s="6">
        <v>442.44</v>
      </c>
      <c r="I73" s="6"/>
      <c r="J73" s="6"/>
      <c r="K73" s="6"/>
      <c r="L73" s="6"/>
      <c r="M73" s="474">
        <f t="shared" si="2"/>
        <v>442.44</v>
      </c>
      <c r="N73" s="21">
        <f t="shared" si="3"/>
        <v>1.3268376070116681</v>
      </c>
    </row>
    <row r="74" spans="1:15">
      <c r="A74" s="25" t="s">
        <v>452</v>
      </c>
      <c r="B74" s="6"/>
      <c r="C74" s="6"/>
      <c r="D74" s="6"/>
      <c r="E74" s="6"/>
      <c r="F74" s="6"/>
      <c r="G74" s="6"/>
      <c r="H74" s="6"/>
      <c r="I74" s="6">
        <v>240.86</v>
      </c>
      <c r="J74" s="6">
        <v>135.19999999999999</v>
      </c>
      <c r="K74" s="6">
        <v>26.5</v>
      </c>
      <c r="L74" s="6"/>
      <c r="M74" s="474">
        <f t="shared" si="2"/>
        <v>402.56</v>
      </c>
      <c r="N74" s="21">
        <f t="shared" si="3"/>
        <v>1.2072410882348277</v>
      </c>
    </row>
    <row r="75" spans="1:15">
      <c r="A75" s="25" t="s">
        <v>107</v>
      </c>
      <c r="B75" s="6"/>
      <c r="C75" s="6"/>
      <c r="D75" s="6"/>
      <c r="E75" s="6"/>
      <c r="F75" s="6"/>
      <c r="G75" s="6">
        <v>370.83</v>
      </c>
      <c r="H75" s="6"/>
      <c r="I75" s="6"/>
      <c r="J75" s="6"/>
      <c r="K75" s="6"/>
      <c r="L75" s="6"/>
      <c r="M75" s="21">
        <v>346.03</v>
      </c>
      <c r="N75" s="21">
        <f t="shared" si="3"/>
        <v>1.0377127229776861</v>
      </c>
    </row>
    <row r="76" spans="1:15">
      <c r="A76" s="25" t="s">
        <v>111</v>
      </c>
      <c r="B76" s="6"/>
      <c r="C76" s="6"/>
      <c r="D76" s="6"/>
      <c r="E76" s="6"/>
      <c r="F76" s="6">
        <v>293.02999999999997</v>
      </c>
      <c r="G76" s="6"/>
      <c r="H76" s="6"/>
      <c r="I76" s="6"/>
      <c r="J76" s="6"/>
      <c r="K76" s="6"/>
      <c r="L76" s="6"/>
      <c r="M76" s="474">
        <f>SUM(B76:L76)</f>
        <v>293.02999999999997</v>
      </c>
      <c r="N76" s="21">
        <f t="shared" si="3"/>
        <v>0.87877050895630837</v>
      </c>
    </row>
    <row r="77" spans="1:15">
      <c r="A77" s="25" t="s">
        <v>100</v>
      </c>
      <c r="B77" s="6">
        <v>290.95</v>
      </c>
      <c r="C77" s="6"/>
      <c r="D77" s="6"/>
      <c r="E77" s="6"/>
      <c r="F77" s="6"/>
      <c r="G77" s="6"/>
      <c r="H77" s="6"/>
      <c r="I77" s="6"/>
      <c r="J77" s="6"/>
      <c r="K77" s="6"/>
      <c r="L77" s="6"/>
      <c r="M77" s="474">
        <f>SUM(B77:L77)</f>
        <v>290.95</v>
      </c>
      <c r="N77" s="21">
        <f t="shared" si="3"/>
        <v>0.87253277678339403</v>
      </c>
    </row>
    <row r="78" spans="1:15">
      <c r="A78" s="25" t="s">
        <v>103</v>
      </c>
      <c r="B78" s="6"/>
      <c r="C78" s="6"/>
      <c r="D78" s="6"/>
      <c r="E78" s="6"/>
      <c r="F78" s="6">
        <v>184.69028650000001</v>
      </c>
      <c r="G78" s="6"/>
      <c r="H78" s="6">
        <v>73.649999999999991</v>
      </c>
      <c r="I78" s="6"/>
      <c r="J78" s="6"/>
      <c r="K78" s="6"/>
      <c r="L78" s="6"/>
      <c r="M78" s="474">
        <f>SUM(B78:L78)</f>
        <v>258.34028649999999</v>
      </c>
      <c r="N78" s="21">
        <f t="shared" si="3"/>
        <v>0.7747391907023975</v>
      </c>
    </row>
    <row r="79" spans="1:15">
      <c r="A79" s="25" t="s">
        <v>612</v>
      </c>
      <c r="B79" s="6">
        <v>8581.1</v>
      </c>
      <c r="C79" s="6">
        <v>2559.31</v>
      </c>
      <c r="D79" s="6">
        <v>4365</v>
      </c>
      <c r="E79" s="6">
        <v>976.6849010050305</v>
      </c>
      <c r="F79" s="6">
        <v>2371.4710879999998</v>
      </c>
      <c r="G79" s="6">
        <v>2257.0700000000002</v>
      </c>
      <c r="H79" s="6">
        <v>1739.4313460000003</v>
      </c>
      <c r="I79" s="6">
        <v>2830.5190000000002</v>
      </c>
      <c r="J79" s="6">
        <v>1025.5999999999999</v>
      </c>
      <c r="K79" s="6">
        <v>6771</v>
      </c>
      <c r="L79" s="6">
        <v>162.12586366099998</v>
      </c>
      <c r="M79" s="474">
        <f>SUM(B79:L79)-293.86</f>
        <v>33345.452198666026</v>
      </c>
      <c r="N79" s="21">
        <f t="shared" si="3"/>
        <v>100</v>
      </c>
    </row>
    <row r="80" spans="1:15">
      <c r="A80" s="25" t="s">
        <v>124</v>
      </c>
      <c r="N80" s="21">
        <f>SUM(N59:N62)</f>
        <v>45.589443766188175</v>
      </c>
    </row>
    <row r="81" spans="1:14">
      <c r="A81" s="2" t="s">
        <v>125</v>
      </c>
      <c r="N81" s="21">
        <f>SUM(N59:N68)</f>
        <v>67.729491770165197</v>
      </c>
    </row>
    <row r="82" spans="1:14">
      <c r="A82" s="2" t="s">
        <v>359</v>
      </c>
      <c r="N82" s="2">
        <f>SUMSQ(N59:N78)</f>
        <v>662.45056606142759</v>
      </c>
    </row>
    <row r="83" spans="1:14">
      <c r="A83" s="2" t="s">
        <v>607</v>
      </c>
      <c r="N83" s="21">
        <v>68.400000000000006</v>
      </c>
    </row>
    <row r="84" spans="1:14">
      <c r="A84" s="2" t="s">
        <v>129</v>
      </c>
      <c r="N84" s="21">
        <v>1967.5</v>
      </c>
    </row>
    <row r="112" spans="1:14">
      <c r="A112" s="108">
        <v>2013</v>
      </c>
      <c r="B112" s="108"/>
      <c r="C112" s="108"/>
      <c r="D112" s="108"/>
      <c r="E112" s="108"/>
      <c r="F112" s="108"/>
      <c r="G112" s="108"/>
      <c r="H112" s="108"/>
      <c r="I112" s="108"/>
      <c r="J112" s="108"/>
      <c r="K112" s="108"/>
      <c r="L112" s="108"/>
      <c r="M112" s="108"/>
      <c r="N112" s="108"/>
    </row>
    <row r="113" spans="1:15">
      <c r="A113" s="108"/>
      <c r="B113" s="108" t="s">
        <v>79</v>
      </c>
      <c r="C113" s="108" t="s">
        <v>80</v>
      </c>
      <c r="D113" s="108" t="s">
        <v>81</v>
      </c>
      <c r="E113" s="108" t="s">
        <v>241</v>
      </c>
      <c r="F113" s="108" t="s">
        <v>83</v>
      </c>
      <c r="G113" s="108" t="s">
        <v>84</v>
      </c>
      <c r="H113" s="108" t="s">
        <v>85</v>
      </c>
      <c r="I113" s="108" t="s">
        <v>21</v>
      </c>
      <c r="J113" s="108" t="s">
        <v>28</v>
      </c>
      <c r="K113" s="108" t="s">
        <v>26</v>
      </c>
      <c r="L113" s="108" t="s">
        <v>86</v>
      </c>
      <c r="M113" s="209" t="s">
        <v>67</v>
      </c>
      <c r="N113" s="209" t="s">
        <v>87</v>
      </c>
    </row>
    <row r="114" spans="1:15">
      <c r="A114" s="25" t="s">
        <v>88</v>
      </c>
      <c r="B114" s="6">
        <v>2244.1</v>
      </c>
      <c r="C114" s="6">
        <v>776.1</v>
      </c>
      <c r="D114" s="6">
        <v>1480.1000000000001</v>
      </c>
      <c r="E114" s="6"/>
      <c r="F114" s="6"/>
      <c r="G114" s="6">
        <v>422.7</v>
      </c>
      <c r="H114" s="6"/>
      <c r="I114" s="6"/>
      <c r="J114" s="6"/>
      <c r="K114" s="6">
        <v>48.75333556990492</v>
      </c>
      <c r="L114" s="6"/>
      <c r="M114" s="474">
        <f t="shared" ref="M114:M132" si="4">SUM(B114:L114)</f>
        <v>4971.7533355699052</v>
      </c>
      <c r="N114" s="21">
        <f t="shared" ref="N114:N134" si="5">(M114/$M$134)*100</f>
        <v>16.519303395042819</v>
      </c>
    </row>
    <row r="115" spans="1:15">
      <c r="A115" s="25" t="s">
        <v>168</v>
      </c>
      <c r="B115" s="6">
        <v>2124.1</v>
      </c>
      <c r="C115" s="6">
        <v>445.57254799999998</v>
      </c>
      <c r="D115" s="6">
        <v>1105.8000000000002</v>
      </c>
      <c r="E115" s="6"/>
      <c r="F115" s="6"/>
      <c r="G115" s="6">
        <v>183.7</v>
      </c>
      <c r="H115" s="6"/>
      <c r="I115" s="6"/>
      <c r="J115" s="6"/>
      <c r="K115" s="6">
        <v>30.460955466352711</v>
      </c>
      <c r="L115" s="6"/>
      <c r="M115" s="474">
        <f t="shared" si="4"/>
        <v>3889.6335034663525</v>
      </c>
      <c r="N115" s="21">
        <f t="shared" si="5"/>
        <v>12.923818138680579</v>
      </c>
    </row>
    <row r="116" spans="1:15">
      <c r="A116" s="25" t="s">
        <v>89</v>
      </c>
      <c r="B116" s="6">
        <v>1771.6</v>
      </c>
      <c r="C116" s="6">
        <v>273.3</v>
      </c>
      <c r="D116" s="6">
        <v>512.70000000000005</v>
      </c>
      <c r="E116" s="6"/>
      <c r="F116" s="6"/>
      <c r="G116" s="6">
        <v>224.5</v>
      </c>
      <c r="H116" s="6"/>
      <c r="I116" s="6"/>
      <c r="J116" s="6">
        <v>238.6</v>
      </c>
      <c r="K116" s="6">
        <v>35.19</v>
      </c>
      <c r="L116" s="6"/>
      <c r="M116" s="474">
        <f t="shared" si="4"/>
        <v>3055.89</v>
      </c>
      <c r="N116" s="21">
        <f t="shared" si="5"/>
        <v>10.153595853341105</v>
      </c>
    </row>
    <row r="117" spans="1:15">
      <c r="A117" s="25" t="s">
        <v>92</v>
      </c>
      <c r="B117" s="6">
        <v>1090</v>
      </c>
      <c r="C117" s="6">
        <v>236.50000000000003</v>
      </c>
      <c r="D117" s="6">
        <v>158.69999999999999</v>
      </c>
      <c r="E117" s="6"/>
      <c r="F117" s="6"/>
      <c r="G117" s="6"/>
      <c r="H117" s="6"/>
      <c r="I117" s="6">
        <v>859.88806396344955</v>
      </c>
      <c r="J117" s="6">
        <v>61.963999999999999</v>
      </c>
      <c r="K117" s="6">
        <v>74.580731689155783</v>
      </c>
      <c r="L117" s="6"/>
      <c r="M117" s="474">
        <f t="shared" si="4"/>
        <v>2481.6327956526056</v>
      </c>
      <c r="N117" s="21">
        <f t="shared" si="5"/>
        <v>8.2455508750163116</v>
      </c>
    </row>
    <row r="118" spans="1:15">
      <c r="A118" s="25" t="s">
        <v>95</v>
      </c>
      <c r="B118" s="6"/>
      <c r="C118" s="6">
        <v>1203.8</v>
      </c>
      <c r="D118" s="6">
        <v>178.2</v>
      </c>
      <c r="E118" s="6"/>
      <c r="F118" s="6"/>
      <c r="G118" s="6">
        <v>309.5</v>
      </c>
      <c r="H118" s="6"/>
      <c r="I118" s="6"/>
      <c r="J118" s="6"/>
      <c r="K118" s="6"/>
      <c r="L118" s="6"/>
      <c r="M118" s="474">
        <f t="shared" si="4"/>
        <v>1691.5</v>
      </c>
      <c r="N118" s="21">
        <f t="shared" si="5"/>
        <v>5.620230893758114</v>
      </c>
    </row>
    <row r="119" spans="1:15">
      <c r="A119" s="25" t="s">
        <v>91</v>
      </c>
      <c r="B119" s="6"/>
      <c r="C119" s="6"/>
      <c r="D119" s="6"/>
      <c r="E119" s="6"/>
      <c r="F119" s="6">
        <v>19.32</v>
      </c>
      <c r="G119" s="6"/>
      <c r="H119" s="6"/>
      <c r="I119" s="6"/>
      <c r="J119" s="6"/>
      <c r="K119" s="6">
        <v>1416.06</v>
      </c>
      <c r="L119" s="6">
        <v>1.2</v>
      </c>
      <c r="M119" s="474">
        <f t="shared" si="4"/>
        <v>1436.58</v>
      </c>
      <c r="N119" s="21">
        <f t="shared" si="5"/>
        <v>4.7732257152557089</v>
      </c>
    </row>
    <row r="120" spans="1:15">
      <c r="A120" s="25" t="s">
        <v>152</v>
      </c>
      <c r="B120" s="6"/>
      <c r="C120" s="6"/>
      <c r="D120" s="6"/>
      <c r="E120" s="6"/>
      <c r="F120" s="6"/>
      <c r="G120" s="6"/>
      <c r="H120" s="6"/>
      <c r="I120" s="6">
        <v>930.47047206032653</v>
      </c>
      <c r="J120" s="6"/>
      <c r="K120" s="6">
        <v>60.21</v>
      </c>
      <c r="L120" s="6"/>
      <c r="M120" s="474">
        <f t="shared" si="4"/>
        <v>990.68047206032657</v>
      </c>
      <c r="N120" s="21">
        <f t="shared" si="5"/>
        <v>3.2916659739381133</v>
      </c>
    </row>
    <row r="121" spans="1:15">
      <c r="A121" s="25" t="s">
        <v>104</v>
      </c>
      <c r="B121" s="6"/>
      <c r="C121" s="6"/>
      <c r="D121" s="6"/>
      <c r="E121" s="6"/>
      <c r="F121" s="6"/>
      <c r="G121" s="6"/>
      <c r="H121" s="6"/>
      <c r="I121" s="6">
        <v>751.6</v>
      </c>
      <c r="J121" s="6">
        <v>3.4</v>
      </c>
      <c r="K121" s="6">
        <v>45.88</v>
      </c>
      <c r="L121" s="6"/>
      <c r="M121" s="474">
        <f t="shared" si="4"/>
        <v>800.88</v>
      </c>
      <c r="N121" s="21">
        <f t="shared" si="5"/>
        <v>2.6610289791268094</v>
      </c>
    </row>
    <row r="122" spans="1:15">
      <c r="A122" s="25" t="s">
        <v>96</v>
      </c>
      <c r="B122" s="6">
        <v>631.5</v>
      </c>
      <c r="C122" s="6"/>
      <c r="D122" s="6">
        <v>19.7</v>
      </c>
      <c r="E122" s="6"/>
      <c r="F122" s="6"/>
      <c r="G122" s="6">
        <v>94.7</v>
      </c>
      <c r="H122" s="6"/>
      <c r="I122" s="6"/>
      <c r="J122" s="6"/>
      <c r="K122" s="6"/>
      <c r="L122" s="6"/>
      <c r="M122" s="474">
        <f t="shared" si="4"/>
        <v>745.90000000000009</v>
      </c>
      <c r="N122" s="21">
        <f t="shared" si="5"/>
        <v>2.4783507086338621</v>
      </c>
    </row>
    <row r="123" spans="1:15">
      <c r="A123" s="25" t="s">
        <v>90</v>
      </c>
      <c r="B123" s="6">
        <v>431.584</v>
      </c>
      <c r="C123" s="6"/>
      <c r="D123" s="6"/>
      <c r="E123" s="6"/>
      <c r="F123" s="6"/>
      <c r="G123" s="6"/>
      <c r="H123" s="6"/>
      <c r="I123" s="6"/>
      <c r="J123" s="6"/>
      <c r="K123" s="6"/>
      <c r="L123" s="6"/>
      <c r="M123" s="474">
        <f t="shared" si="4"/>
        <v>431.584</v>
      </c>
      <c r="N123" s="21">
        <f t="shared" si="5"/>
        <v>1.4339945196876747</v>
      </c>
      <c r="O123" s="21">
        <f>SUM(N119,N128,N130,N132)</f>
        <v>7.1272103332284029</v>
      </c>
    </row>
    <row r="124" spans="1:15">
      <c r="A124" s="25" t="s">
        <v>452</v>
      </c>
      <c r="B124" s="6"/>
      <c r="C124" s="6"/>
      <c r="D124" s="6"/>
      <c r="E124" s="6"/>
      <c r="F124" s="6"/>
      <c r="G124" s="6"/>
      <c r="H124" s="6"/>
      <c r="I124" s="6">
        <v>256.17599999999999</v>
      </c>
      <c r="J124" s="6">
        <v>146.4</v>
      </c>
      <c r="K124" s="6"/>
      <c r="L124" s="6"/>
      <c r="M124" s="474">
        <f t="shared" si="4"/>
        <v>402.57600000000002</v>
      </c>
      <c r="N124" s="21">
        <f t="shared" si="5"/>
        <v>1.3376116300831016</v>
      </c>
    </row>
    <row r="125" spans="1:15">
      <c r="A125" s="25" t="s">
        <v>154</v>
      </c>
      <c r="B125" s="6"/>
      <c r="C125" s="6"/>
      <c r="D125" s="6"/>
      <c r="E125" s="6"/>
      <c r="F125" s="6"/>
      <c r="G125" s="6"/>
      <c r="H125" s="6"/>
      <c r="I125" s="6">
        <v>337.93735558999998</v>
      </c>
      <c r="J125" s="6"/>
      <c r="K125" s="6">
        <v>29.162415743873293</v>
      </c>
      <c r="L125" s="6"/>
      <c r="M125" s="474">
        <f t="shared" si="4"/>
        <v>367.09977133387326</v>
      </c>
      <c r="N125" s="21">
        <f t="shared" si="5"/>
        <v>1.2197372012664343</v>
      </c>
    </row>
    <row r="126" spans="1:15">
      <c r="A126" s="25" t="s">
        <v>100</v>
      </c>
      <c r="B126" s="6">
        <v>332.7</v>
      </c>
      <c r="C126" s="6"/>
      <c r="D126" s="6"/>
      <c r="E126" s="6"/>
      <c r="F126" s="6"/>
      <c r="G126" s="6"/>
      <c r="H126" s="6"/>
      <c r="I126" s="6"/>
      <c r="J126" s="6"/>
      <c r="K126" s="6"/>
      <c r="L126" s="6"/>
      <c r="M126" s="474">
        <f t="shared" si="4"/>
        <v>332.7</v>
      </c>
      <c r="N126" s="21">
        <f t="shared" si="5"/>
        <v>1.1054394433067243</v>
      </c>
    </row>
    <row r="127" spans="1:15">
      <c r="A127" s="25" t="s">
        <v>117</v>
      </c>
      <c r="B127" s="6"/>
      <c r="C127" s="6"/>
      <c r="D127" s="6"/>
      <c r="E127" s="6"/>
      <c r="F127" s="6"/>
      <c r="G127" s="6"/>
      <c r="H127" s="6"/>
      <c r="I127" s="6">
        <v>272.10000000000002</v>
      </c>
      <c r="J127" s="6">
        <v>6.7</v>
      </c>
      <c r="K127" s="6">
        <v>19.72</v>
      </c>
      <c r="L127" s="6"/>
      <c r="M127" s="474">
        <f t="shared" si="4"/>
        <v>298.52</v>
      </c>
      <c r="N127" s="21">
        <f t="shared" si="5"/>
        <v>0.99187190446625595</v>
      </c>
    </row>
    <row r="128" spans="1:15">
      <c r="A128" s="25" t="s">
        <v>444</v>
      </c>
      <c r="B128" s="6"/>
      <c r="C128" s="6"/>
      <c r="D128" s="6"/>
      <c r="E128" s="6"/>
      <c r="F128" s="6"/>
      <c r="G128" s="6"/>
      <c r="H128" s="6"/>
      <c r="I128" s="6"/>
      <c r="J128" s="6"/>
      <c r="K128" s="6">
        <v>269.39999999999998</v>
      </c>
      <c r="L128" s="6"/>
      <c r="M128" s="474">
        <f t="shared" si="4"/>
        <v>269.39999999999998</v>
      </c>
      <c r="N128" s="21">
        <f t="shared" si="5"/>
        <v>0.89511688015278501</v>
      </c>
    </row>
    <row r="129" spans="1:14">
      <c r="A129" s="25" t="s">
        <v>107</v>
      </c>
      <c r="B129" s="6"/>
      <c r="C129" s="6"/>
      <c r="D129" s="6"/>
      <c r="E129" s="6"/>
      <c r="F129" s="6"/>
      <c r="G129" s="6">
        <v>232.35</v>
      </c>
      <c r="H129" s="6"/>
      <c r="I129" s="6"/>
      <c r="J129" s="6"/>
      <c r="K129" s="6"/>
      <c r="L129" s="6"/>
      <c r="M129" s="474">
        <f t="shared" si="4"/>
        <v>232.35</v>
      </c>
      <c r="N129" s="21">
        <f t="shared" si="5"/>
        <v>0.77201338939680619</v>
      </c>
    </row>
    <row r="130" spans="1:14">
      <c r="A130" s="25" t="s">
        <v>97</v>
      </c>
      <c r="B130" s="6"/>
      <c r="C130" s="6"/>
      <c r="D130" s="6"/>
      <c r="E130" s="6">
        <v>229.02</v>
      </c>
      <c r="F130" s="6"/>
      <c r="G130" s="6"/>
      <c r="H130" s="6"/>
      <c r="I130" s="6"/>
      <c r="J130" s="6"/>
      <c r="K130" s="6"/>
      <c r="L130" s="6"/>
      <c r="M130" s="474">
        <f t="shared" si="4"/>
        <v>229.02</v>
      </c>
      <c r="N130" s="21">
        <f t="shared" si="5"/>
        <v>0.76094902706975065</v>
      </c>
    </row>
    <row r="131" spans="1:14">
      <c r="A131" s="25" t="s">
        <v>453</v>
      </c>
      <c r="B131" s="6"/>
      <c r="C131" s="6"/>
      <c r="D131" s="6"/>
      <c r="E131" s="6"/>
      <c r="F131" s="6"/>
      <c r="G131" s="6"/>
      <c r="H131" s="6"/>
      <c r="I131" s="6">
        <v>218.73713861469901</v>
      </c>
      <c r="J131" s="6"/>
      <c r="K131" s="6"/>
      <c r="L131" s="6"/>
      <c r="M131" s="474">
        <f t="shared" si="4"/>
        <v>218.73713861469901</v>
      </c>
      <c r="N131" s="21">
        <f t="shared" si="5"/>
        <v>0.72678286967459782</v>
      </c>
    </row>
    <row r="132" spans="1:14">
      <c r="A132" s="25" t="s">
        <v>101</v>
      </c>
      <c r="B132" s="6"/>
      <c r="C132" s="6"/>
      <c r="D132" s="6"/>
      <c r="E132" s="6"/>
      <c r="F132" s="6">
        <v>210.05</v>
      </c>
      <c r="G132" s="6"/>
      <c r="H132" s="6"/>
      <c r="I132" s="6"/>
      <c r="J132" s="6"/>
      <c r="K132" s="6"/>
      <c r="L132" s="6"/>
      <c r="M132" s="474">
        <f t="shared" si="4"/>
        <v>210.05</v>
      </c>
      <c r="N132" s="21">
        <f t="shared" si="5"/>
        <v>0.69791871075015777</v>
      </c>
    </row>
    <row r="133" spans="1:14">
      <c r="A133" s="25" t="s">
        <v>102</v>
      </c>
      <c r="B133" s="6"/>
      <c r="C133" s="6"/>
      <c r="D133" s="6"/>
      <c r="E133" s="6"/>
      <c r="F133" s="6"/>
      <c r="G133" s="6"/>
      <c r="H133" s="6">
        <v>193.76</v>
      </c>
      <c r="I133" s="6"/>
      <c r="J133" s="6"/>
      <c r="K133" s="6"/>
      <c r="L133" s="6"/>
      <c r="M133" s="21">
        <v>188.13</v>
      </c>
      <c r="N133" s="21">
        <f t="shared" si="5"/>
        <v>0.62508663200869874</v>
      </c>
    </row>
    <row r="134" spans="1:14">
      <c r="A134" s="25" t="s">
        <v>612</v>
      </c>
      <c r="B134" s="6">
        <v>8793.9</v>
      </c>
      <c r="C134" s="6">
        <v>3113.12</v>
      </c>
      <c r="D134" s="6">
        <v>4090.9940000000001</v>
      </c>
      <c r="E134" s="6">
        <v>290.96000000000004</v>
      </c>
      <c r="F134" s="6">
        <v>1303.0980349999998</v>
      </c>
      <c r="G134" s="6">
        <v>2261.13</v>
      </c>
      <c r="H134" s="6">
        <v>1405.0329999999999</v>
      </c>
      <c r="I134" s="6">
        <v>3988.3620000000001</v>
      </c>
      <c r="J134" s="6">
        <v>1555.7</v>
      </c>
      <c r="K134" s="6">
        <v>3418</v>
      </c>
      <c r="L134" s="6">
        <v>19.851234820679995</v>
      </c>
      <c r="M134" s="474">
        <f>SUM(B134:L134)-143.52</f>
        <v>30096.628269820681</v>
      </c>
      <c r="N134" s="2">
        <f t="shared" si="5"/>
        <v>100</v>
      </c>
    </row>
    <row r="135" spans="1:14">
      <c r="A135" s="25" t="s">
        <v>124</v>
      </c>
      <c r="N135" s="2">
        <f>SUM(N114:N117)</f>
        <v>47.842268262080815</v>
      </c>
    </row>
    <row r="136" spans="1:14">
      <c r="A136" s="2" t="s">
        <v>125</v>
      </c>
      <c r="N136" s="2">
        <f>SUM(N114:N123)</f>
        <v>68.100765052481094</v>
      </c>
    </row>
    <row r="137" spans="1:14">
      <c r="A137" s="2" t="s">
        <v>359</v>
      </c>
      <c r="N137" s="2">
        <f>SUMSQ(N114:N132)</f>
        <v>699.95681572335957</v>
      </c>
    </row>
    <row r="138" spans="1:14">
      <c r="A138" s="2" t="s">
        <v>607</v>
      </c>
      <c r="N138" s="21">
        <v>61</v>
      </c>
    </row>
    <row r="139" spans="1:14">
      <c r="A139" s="2" t="s">
        <v>129</v>
      </c>
      <c r="N139" s="21">
        <v>1505.4</v>
      </c>
    </row>
  </sheetData>
  <mergeCells count="1">
    <mergeCell ref="A1:J1"/>
  </mergeCells>
  <pageMargins left="0.7" right="0.7" top="0.75" bottom="0.75" header="0.3" footer="0.3"/>
  <pageSetup orientation="portrait" verticalDpi="0"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8DDED-205B-6144-9EAD-D285B93EF833}">
  <sheetPr>
    <tabColor rgb="FF66FFFF"/>
  </sheetPr>
  <dimension ref="A1:M10"/>
  <sheetViews>
    <sheetView zoomScaleNormal="100" workbookViewId="0">
      <pane xSplit="1" ySplit="2" topLeftCell="B3" activePane="bottomRight" state="frozen"/>
      <selection pane="topRight" activeCell="B1" sqref="B1"/>
      <selection pane="bottomLeft" activeCell="A3" sqref="A3"/>
      <selection pane="bottomRight" sqref="A1:E1"/>
    </sheetView>
  </sheetViews>
  <sheetFormatPr baseColWidth="10" defaultColWidth="10" defaultRowHeight="16"/>
  <cols>
    <col min="1" max="1" width="36.1640625" style="8" customWidth="1"/>
    <col min="2" max="11" width="11" style="8" bestFit="1" customWidth="1"/>
    <col min="12" max="12" width="13.83203125" style="8" bestFit="1" customWidth="1"/>
    <col min="13" max="14" width="11" style="8" bestFit="1" customWidth="1"/>
    <col min="15" max="16384" width="10" style="8"/>
  </cols>
  <sheetData>
    <row r="1" spans="1:13" ht="20" customHeight="1">
      <c r="A1" s="661" t="s">
        <v>1130</v>
      </c>
      <c r="B1" s="661"/>
      <c r="C1" s="661"/>
      <c r="D1" s="661"/>
      <c r="E1" s="661"/>
    </row>
    <row r="2" spans="1:13" customFormat="1">
      <c r="B2" s="206">
        <v>2013</v>
      </c>
      <c r="C2" s="206">
        <v>2014</v>
      </c>
      <c r="D2" s="206">
        <v>2015</v>
      </c>
      <c r="E2" s="206">
        <v>2016</v>
      </c>
      <c r="F2" s="206">
        <v>2017</v>
      </c>
      <c r="G2" s="206">
        <v>2018</v>
      </c>
      <c r="H2" s="206">
        <v>2019</v>
      </c>
      <c r="I2" s="206">
        <v>2020</v>
      </c>
      <c r="J2" s="206">
        <v>2021</v>
      </c>
      <c r="K2" s="206">
        <v>2022</v>
      </c>
      <c r="L2" s="206">
        <v>2023</v>
      </c>
      <c r="M2" s="206">
        <v>2024</v>
      </c>
    </row>
    <row r="3" spans="1:13" customFormat="1">
      <c r="A3" s="396" t="s">
        <v>129</v>
      </c>
      <c r="B3" s="326">
        <v>2628.8949545179589</v>
      </c>
      <c r="C3" s="326">
        <v>2628.8949545179589</v>
      </c>
      <c r="D3" s="326">
        <v>2499.3088317311017</v>
      </c>
      <c r="E3" s="326">
        <v>2522.456738309761</v>
      </c>
      <c r="F3" s="326">
        <v>2745.4123051010279</v>
      </c>
      <c r="G3" s="326">
        <v>2464.1827214946934</v>
      </c>
      <c r="H3" s="326">
        <v>2631.6800638722302</v>
      </c>
      <c r="I3" s="326">
        <v>2639.7048179602712</v>
      </c>
      <c r="J3" s="326">
        <v>2675.6827558639484</v>
      </c>
      <c r="K3" s="326">
        <v>2561.2579984800291</v>
      </c>
      <c r="L3" s="326">
        <v>2584.4869040316648</v>
      </c>
      <c r="M3" s="326">
        <v>2632.250310576746</v>
      </c>
    </row>
    <row r="4" spans="1:13" customFormat="1">
      <c r="A4" s="397" t="s">
        <v>606</v>
      </c>
      <c r="B4" s="326">
        <v>1234.4901653917166</v>
      </c>
      <c r="C4" s="326">
        <v>1234.4901653917166</v>
      </c>
      <c r="D4" s="326">
        <v>1203.8907554671537</v>
      </c>
      <c r="E4" s="326">
        <v>1223.3355419889347</v>
      </c>
      <c r="F4" s="326">
        <v>1427.3651233562989</v>
      </c>
      <c r="G4" s="326">
        <v>1264.2407208619784</v>
      </c>
      <c r="H4" s="326">
        <v>1416.4844726396877</v>
      </c>
      <c r="I4" s="326">
        <v>1442.2874728980948</v>
      </c>
      <c r="J4" s="326">
        <v>1555.0413936848104</v>
      </c>
      <c r="K4" s="326">
        <v>1495.3124873988488</v>
      </c>
      <c r="L4" s="326">
        <v>1553.6948255077384</v>
      </c>
      <c r="M4" s="326">
        <v>1551.5680531122991</v>
      </c>
    </row>
    <row r="5" spans="1:13">
      <c r="B5" s="245"/>
      <c r="C5" s="245"/>
      <c r="D5" s="245"/>
      <c r="E5" s="245"/>
      <c r="F5" s="245"/>
      <c r="G5" s="245"/>
      <c r="H5" s="245"/>
      <c r="I5" s="245"/>
      <c r="J5" s="245"/>
      <c r="K5" s="245"/>
      <c r="L5" s="245"/>
      <c r="M5" s="245"/>
    </row>
    <row r="6" spans="1:13" customFormat="1">
      <c r="A6" s="396" t="s">
        <v>607</v>
      </c>
      <c r="B6" s="326">
        <v>63.463876873428923</v>
      </c>
      <c r="C6" s="326">
        <v>63.463876873428923</v>
      </c>
      <c r="D6" s="326">
        <v>63.866701704687905</v>
      </c>
      <c r="E6" s="326">
        <v>68.060169104801673</v>
      </c>
      <c r="F6" s="326">
        <v>73.492355531356736</v>
      </c>
      <c r="G6" s="326">
        <v>70.782180695451544</v>
      </c>
      <c r="H6" s="326">
        <v>75.849158905910315</v>
      </c>
      <c r="I6" s="326">
        <v>77.386368381302717</v>
      </c>
      <c r="J6" s="326">
        <v>78.734359878304573</v>
      </c>
      <c r="K6" s="326">
        <v>76.777889277480952</v>
      </c>
      <c r="L6" s="326">
        <v>78.817318294592809</v>
      </c>
      <c r="M6" s="326">
        <v>80.972462255818684</v>
      </c>
    </row>
    <row r="7" spans="1:13" customFormat="1">
      <c r="A7" s="397" t="s">
        <v>605</v>
      </c>
      <c r="B7" s="326">
        <v>51.432924101209643</v>
      </c>
      <c r="C7" s="326">
        <v>51.432924101209643</v>
      </c>
      <c r="D7" s="326">
        <v>51.097518573163008</v>
      </c>
      <c r="E7" s="326">
        <v>53.668958333788765</v>
      </c>
      <c r="F7" s="326">
        <v>58.891773569083711</v>
      </c>
      <c r="G7" s="326">
        <v>55.907547988917358</v>
      </c>
      <c r="H7" s="326">
        <v>59.692439188402545</v>
      </c>
      <c r="I7" s="326">
        <v>60.840615712314005</v>
      </c>
      <c r="J7" s="326">
        <v>63.602966319190855</v>
      </c>
      <c r="K7" s="326">
        <v>62.398768014231592</v>
      </c>
      <c r="L7" s="326">
        <v>64.033534487222241</v>
      </c>
      <c r="M7" s="326">
        <v>64.471483432180662</v>
      </c>
    </row>
    <row r="10" spans="1:13">
      <c r="A10" s="8" t="s">
        <v>1129</v>
      </c>
    </row>
  </sheetData>
  <mergeCells count="1">
    <mergeCell ref="A1:E1"/>
  </mergeCells>
  <pageMargins left="0.7" right="0.7" top="0.75" bottom="0.75" header="0.3" footer="0.3"/>
  <pageSetup orientation="portrait" horizontalDpi="0" verticalDpi="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151A5-DDDE-9843-9EC3-F718E8EE758C}">
  <sheetPr>
    <tabColor rgb="FFFFC000"/>
  </sheetPr>
  <dimension ref="A1:W12"/>
  <sheetViews>
    <sheetView zoomScale="140" zoomScaleNormal="140" workbookViewId="0">
      <pane xSplit="1" ySplit="2" topLeftCell="B3" activePane="bottomRight" state="frozen"/>
      <selection pane="topRight" activeCell="B1" sqref="B1"/>
      <selection pane="bottomLeft" activeCell="A3" sqref="A3"/>
      <selection pane="bottomRight" activeCell="M3" sqref="M3"/>
    </sheetView>
  </sheetViews>
  <sheetFormatPr baseColWidth="10" defaultColWidth="9.33203125" defaultRowHeight="16"/>
  <cols>
    <col min="1" max="1" width="54.1640625" style="8" customWidth="1"/>
    <col min="2" max="16" width="10" style="8" bestFit="1" customWidth="1"/>
    <col min="17" max="22" width="10.1640625" style="8" bestFit="1" customWidth="1"/>
    <col min="23" max="23" width="16.1640625" style="8" customWidth="1"/>
    <col min="24" max="16384" width="9.33203125" style="8"/>
  </cols>
  <sheetData>
    <row r="1" spans="1:23" ht="20">
      <c r="A1" s="662" t="s">
        <v>1131</v>
      </c>
      <c r="B1" s="662"/>
      <c r="C1" s="662"/>
      <c r="D1" s="662"/>
      <c r="E1" s="662"/>
      <c r="F1" s="662"/>
      <c r="G1" s="662"/>
      <c r="H1" s="662"/>
      <c r="I1" s="662"/>
      <c r="J1" s="662"/>
    </row>
    <row r="2" spans="1:23" s="136" customFormat="1">
      <c r="A2" s="248"/>
      <c r="B2" s="249">
        <v>1984</v>
      </c>
      <c r="C2" s="249">
        <v>1988</v>
      </c>
      <c r="D2" s="249">
        <v>1992</v>
      </c>
      <c r="E2" s="249">
        <v>1996</v>
      </c>
      <c r="F2" s="249">
        <v>2000</v>
      </c>
      <c r="G2" s="249">
        <v>2004</v>
      </c>
      <c r="H2" s="249">
        <v>2008</v>
      </c>
      <c r="I2" s="249">
        <v>2010</v>
      </c>
      <c r="J2" s="249">
        <v>2011</v>
      </c>
      <c r="K2" s="249">
        <v>2012</v>
      </c>
      <c r="L2" s="249">
        <v>2013</v>
      </c>
      <c r="M2" s="249">
        <v>2014</v>
      </c>
      <c r="N2" s="249">
        <v>2015</v>
      </c>
      <c r="O2" s="249">
        <v>2016</v>
      </c>
      <c r="P2" s="249">
        <v>2017</v>
      </c>
      <c r="Q2" s="249">
        <v>2018</v>
      </c>
      <c r="R2" s="249">
        <v>2019</v>
      </c>
      <c r="S2" s="249">
        <v>2020</v>
      </c>
      <c r="T2" s="249">
        <v>2021</v>
      </c>
      <c r="U2" s="249">
        <v>2022</v>
      </c>
      <c r="V2" s="249">
        <v>2023</v>
      </c>
      <c r="W2" s="136">
        <v>2024</v>
      </c>
    </row>
    <row r="3" spans="1:23">
      <c r="A3" s="250" t="s">
        <v>281</v>
      </c>
      <c r="B3" s="245">
        <v>1682.1667762539032</v>
      </c>
      <c r="C3" s="245">
        <v>1657.9580121822569</v>
      </c>
      <c r="D3" s="245">
        <v>1484.0881580021553</v>
      </c>
      <c r="E3" s="245">
        <v>1347.1837403507027</v>
      </c>
      <c r="F3" s="245">
        <v>1407.4568861200814</v>
      </c>
      <c r="G3" s="245">
        <v>1388.5779257795257</v>
      </c>
      <c r="H3" s="245">
        <v>1541.0992498094402</v>
      </c>
      <c r="I3" s="245">
        <v>1409.1883895684111</v>
      </c>
      <c r="J3" s="245">
        <v>1467.6486490829855</v>
      </c>
      <c r="K3" s="245">
        <v>1435.7689295700206</v>
      </c>
      <c r="L3" s="245">
        <v>1636.5615535457105</v>
      </c>
      <c r="M3" s="245">
        <v>1882.599989234368</v>
      </c>
      <c r="N3" s="245">
        <v>1893.3529739186838</v>
      </c>
      <c r="O3" s="245">
        <v>1942.8564562759184</v>
      </c>
      <c r="P3" s="245">
        <v>2088.9395612114081</v>
      </c>
      <c r="Q3" s="245">
        <v>2035.1792943485207</v>
      </c>
      <c r="R3" s="245">
        <v>2161.3443244074651</v>
      </c>
      <c r="S3" s="245">
        <v>2254.4579251473697</v>
      </c>
      <c r="T3" s="245">
        <v>2324.0866959368163</v>
      </c>
      <c r="U3" s="245">
        <v>2266.1950265214978</v>
      </c>
      <c r="V3" s="245">
        <v>2331.372862481538</v>
      </c>
      <c r="W3" s="245">
        <v>2363.7225632122991</v>
      </c>
    </row>
    <row r="4" spans="1:23">
      <c r="A4" s="251" t="s">
        <v>128</v>
      </c>
      <c r="B4" s="245">
        <v>551.45166801782887</v>
      </c>
      <c r="C4" s="245">
        <v>582.87256488357468</v>
      </c>
      <c r="D4" s="245">
        <v>495.96085329292225</v>
      </c>
      <c r="E4" s="245">
        <v>461.57429644195463</v>
      </c>
      <c r="F4" s="245">
        <v>485.16318721538011</v>
      </c>
      <c r="G4" s="245">
        <v>568.74135760963316</v>
      </c>
      <c r="H4" s="245">
        <v>542.08370483677959</v>
      </c>
      <c r="I4" s="245">
        <v>433.13976040362161</v>
      </c>
      <c r="J4" s="245">
        <v>425.78472349884822</v>
      </c>
      <c r="K4" s="245">
        <v>401.61124527441871</v>
      </c>
      <c r="L4" s="245">
        <v>469.41769958333163</v>
      </c>
      <c r="M4" s="245">
        <v>493.57208501707555</v>
      </c>
      <c r="N4" s="245">
        <v>480.29376770934817</v>
      </c>
      <c r="O4" s="245">
        <v>501.26435013118817</v>
      </c>
      <c r="P4" s="245">
        <v>550.1342585068162</v>
      </c>
      <c r="Q4" s="245">
        <v>538.3052366194396</v>
      </c>
      <c r="R4" s="245">
        <v>615.09774685487798</v>
      </c>
      <c r="S4" s="245">
        <v>693.59233255061588</v>
      </c>
      <c r="T4" s="377">
        <v>786.94628365811229</v>
      </c>
      <c r="U4" s="377">
        <v>773.68993003786613</v>
      </c>
      <c r="V4" s="245">
        <v>831.43341623326955</v>
      </c>
      <c r="W4" s="245">
        <v>864.87052770731748</v>
      </c>
    </row>
    <row r="5" spans="1:23">
      <c r="A5" s="32"/>
      <c r="B5" s="245"/>
      <c r="C5" s="245"/>
      <c r="D5" s="245"/>
      <c r="E5" s="245"/>
      <c r="F5" s="245"/>
      <c r="G5" s="245"/>
      <c r="H5" s="245"/>
      <c r="I5" s="245"/>
      <c r="J5" s="245"/>
      <c r="K5" s="245"/>
      <c r="L5" s="245"/>
      <c r="M5" s="245"/>
      <c r="N5" s="245"/>
      <c r="O5" s="245"/>
      <c r="P5" s="245"/>
      <c r="Q5" s="245"/>
      <c r="R5" s="245"/>
      <c r="S5" s="245"/>
      <c r="T5" s="245"/>
      <c r="U5" s="245"/>
      <c r="V5" s="245"/>
      <c r="W5" s="245"/>
    </row>
    <row r="6" spans="1:23">
      <c r="A6" s="32"/>
      <c r="B6" s="245"/>
      <c r="C6" s="245"/>
      <c r="D6" s="245"/>
      <c r="E6" s="245"/>
      <c r="F6" s="245"/>
      <c r="G6" s="245"/>
      <c r="H6" s="245"/>
      <c r="I6" s="245"/>
      <c r="J6" s="245"/>
      <c r="K6" s="245"/>
      <c r="L6" s="245"/>
      <c r="M6" s="245"/>
      <c r="N6" s="245"/>
      <c r="O6" s="245"/>
      <c r="P6" s="245"/>
      <c r="Q6" s="245"/>
      <c r="R6" s="245"/>
      <c r="S6" s="245"/>
      <c r="T6" s="245"/>
      <c r="U6" s="245"/>
      <c r="V6" s="245"/>
      <c r="W6" s="245"/>
    </row>
    <row r="7" spans="1:23">
      <c r="A7" s="32" t="s">
        <v>278</v>
      </c>
      <c r="B7" s="245">
        <v>55.879479856593306</v>
      </c>
      <c r="C7" s="245">
        <v>60.150047808170136</v>
      </c>
      <c r="D7" s="245">
        <v>57.320245823706699</v>
      </c>
      <c r="E7" s="245">
        <v>54.416825433627835</v>
      </c>
      <c r="F7" s="245">
        <v>60.384007739488304</v>
      </c>
      <c r="G7" s="245">
        <v>60.657895505641797</v>
      </c>
      <c r="H7" s="245">
        <v>62.901124005698478</v>
      </c>
      <c r="I7" s="245">
        <v>58.902543329869189</v>
      </c>
      <c r="J7" s="245">
        <v>63.521562363540731</v>
      </c>
      <c r="K7" s="245">
        <v>61.533156034596942</v>
      </c>
      <c r="L7" s="245">
        <v>63.922147755080708</v>
      </c>
      <c r="M7" s="245">
        <v>66.783595898439444</v>
      </c>
      <c r="N7" s="245">
        <v>67.287719292039426</v>
      </c>
      <c r="O7" s="245">
        <v>68.449653860479714</v>
      </c>
      <c r="P7" s="245">
        <v>71.248733900275496</v>
      </c>
      <c r="Q7" s="245">
        <v>70.517702515228009</v>
      </c>
      <c r="R7" s="245">
        <v>73.149000919947042</v>
      </c>
      <c r="S7" s="245">
        <v>75.137749383475239</v>
      </c>
      <c r="T7" s="245">
        <v>76.392605277408649</v>
      </c>
      <c r="U7" s="245">
        <v>75.198842874370683</v>
      </c>
      <c r="V7" s="245">
        <v>76.703845457307736</v>
      </c>
      <c r="W7" s="245">
        <v>77.934510130944147</v>
      </c>
    </row>
    <row r="8" spans="1:23">
      <c r="A8" s="8" t="s">
        <v>523</v>
      </c>
      <c r="B8" s="245">
        <v>39.070872618261504</v>
      </c>
      <c r="C8" s="245">
        <v>42.549246096981186</v>
      </c>
      <c r="D8" s="245">
        <v>38.108970746865054</v>
      </c>
      <c r="E8" s="245">
        <v>36.186415816706884</v>
      </c>
      <c r="F8" s="245">
        <v>36.540911330824628</v>
      </c>
      <c r="G8" s="245">
        <v>41.811990812931029</v>
      </c>
      <c r="H8" s="245">
        <v>39.953370535113102</v>
      </c>
      <c r="I8" s="245">
        <v>33.983993825848231</v>
      </c>
      <c r="J8" s="245">
        <v>33.187595400391416</v>
      </c>
      <c r="K8" s="245">
        <v>32.400325050234642</v>
      </c>
      <c r="L8" s="245">
        <v>35.473751497372348</v>
      </c>
      <c r="M8" s="245">
        <v>37.788609051798758</v>
      </c>
      <c r="N8" s="245">
        <v>36.627200037991173</v>
      </c>
      <c r="O8" s="245">
        <v>37.205621353548835</v>
      </c>
      <c r="P8" s="245">
        <v>32.845614411322998</v>
      </c>
      <c r="Q8" s="245">
        <v>32.995575837174535</v>
      </c>
      <c r="R8" s="245">
        <v>36.446085017899584</v>
      </c>
      <c r="S8" s="245">
        <v>44.499250673768692</v>
      </c>
      <c r="T8" s="377">
        <v>46.84579251718467</v>
      </c>
      <c r="U8" s="377">
        <v>45.595251861641792</v>
      </c>
      <c r="V8" s="245">
        <v>47.672123329925228</v>
      </c>
      <c r="W8" s="245">
        <v>48.475992748261135</v>
      </c>
    </row>
    <row r="12" spans="1:23">
      <c r="M12" s="46"/>
    </row>
  </sheetData>
  <mergeCells count="1">
    <mergeCell ref="A1:J1"/>
  </mergeCells>
  <pageMargins left="0.7" right="0.7" top="0.75" bottom="0.75" header="0.3" footer="0.3"/>
  <pageSetup orientation="portrait" horizontalDpi="0" verticalDpi="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B07E8D-1915-6C4F-AAE5-AC05B5CBB14E}">
  <sheetPr>
    <tabColor rgb="FFFFC000"/>
  </sheetPr>
  <dimension ref="A1:AE30"/>
  <sheetViews>
    <sheetView zoomScale="110" zoomScaleNormal="110" workbookViewId="0">
      <pane xSplit="1" ySplit="2" topLeftCell="B7" activePane="bottomRight" state="frozen"/>
      <selection pane="topRight" activeCell="AB34" sqref="AB34"/>
      <selection pane="bottomLeft" activeCell="AB34" sqref="AB34"/>
      <selection pane="bottomRight" activeCell="E13" sqref="E13"/>
    </sheetView>
  </sheetViews>
  <sheetFormatPr baseColWidth="10" defaultColWidth="11.83203125" defaultRowHeight="16"/>
  <cols>
    <col min="1" max="1" width="39.5" style="2" customWidth="1"/>
    <col min="2" max="2" width="10.33203125" style="2" customWidth="1"/>
    <col min="3" max="22" width="8.83203125" style="2" customWidth="1"/>
    <col min="23" max="24" width="11.83203125" style="2"/>
    <col min="25" max="25" width="12.1640625" style="2" bestFit="1" customWidth="1"/>
    <col min="26" max="16384" width="11.83203125" style="2"/>
  </cols>
  <sheetData>
    <row r="1" spans="1:25" ht="43.25" customHeight="1">
      <c r="A1" s="645" t="s">
        <v>1120</v>
      </c>
      <c r="B1" s="645"/>
      <c r="C1" s="645"/>
      <c r="D1" s="645"/>
      <c r="E1" s="645"/>
      <c r="F1" s="645"/>
      <c r="G1" s="645"/>
      <c r="H1" s="645"/>
      <c r="I1" s="645"/>
      <c r="J1" s="645"/>
    </row>
    <row r="2" spans="1:25">
      <c r="A2" s="32"/>
      <c r="B2" s="46">
        <v>1984</v>
      </c>
      <c r="C2" s="46">
        <v>1988</v>
      </c>
      <c r="D2" s="46">
        <v>1992</v>
      </c>
      <c r="E2" s="46">
        <v>1996</v>
      </c>
      <c r="F2" s="46">
        <v>2000</v>
      </c>
      <c r="G2" s="46">
        <v>2004</v>
      </c>
      <c r="H2" s="46">
        <v>2008</v>
      </c>
      <c r="I2" s="46">
        <v>2010</v>
      </c>
      <c r="J2" s="46">
        <v>2011</v>
      </c>
      <c r="K2" s="46">
        <v>2012</v>
      </c>
      <c r="L2" s="46">
        <v>2013</v>
      </c>
      <c r="M2" s="46">
        <v>2014</v>
      </c>
      <c r="N2" s="46">
        <v>2015</v>
      </c>
      <c r="O2" s="46">
        <v>2016</v>
      </c>
      <c r="P2" s="46">
        <v>2017</v>
      </c>
      <c r="Q2" s="46">
        <v>2018</v>
      </c>
      <c r="R2" s="46">
        <v>2019</v>
      </c>
      <c r="S2" s="46">
        <v>2020</v>
      </c>
      <c r="T2" s="46">
        <v>2021</v>
      </c>
      <c r="U2" s="46">
        <v>2022</v>
      </c>
      <c r="V2" s="31">
        <v>2023</v>
      </c>
      <c r="W2" s="31">
        <v>2024</v>
      </c>
    </row>
    <row r="3" spans="1:25">
      <c r="A3" s="46" t="s">
        <v>123</v>
      </c>
      <c r="B3" s="236">
        <v>45.6205069028602</v>
      </c>
      <c r="C3" s="236">
        <v>40.355921014453479</v>
      </c>
      <c r="D3" s="236">
        <v>38.100660929832451</v>
      </c>
      <c r="E3" s="236">
        <v>33.15868537720295</v>
      </c>
      <c r="F3" s="236">
        <v>34.804234714491557</v>
      </c>
      <c r="G3" s="236">
        <v>30.707825565322672</v>
      </c>
      <c r="H3" s="236">
        <v>26.606824567736354</v>
      </c>
      <c r="I3" s="245">
        <v>26.41532789205354</v>
      </c>
      <c r="J3" s="245">
        <v>28.270427148156024</v>
      </c>
      <c r="K3" s="245">
        <v>27.320516077188611</v>
      </c>
      <c r="L3" s="245">
        <v>28.241444785424548</v>
      </c>
      <c r="M3" s="245">
        <v>30.155415565276893</v>
      </c>
      <c r="N3" s="245">
        <v>26.822043112532551</v>
      </c>
      <c r="O3" s="245">
        <v>26.332510269076241</v>
      </c>
      <c r="P3" s="245">
        <v>26.626573097092603</v>
      </c>
      <c r="Q3" s="245">
        <v>25.466384608245757</v>
      </c>
      <c r="R3" s="245">
        <v>24.749242690277207</v>
      </c>
      <c r="S3" s="245">
        <v>24.318966530632498</v>
      </c>
      <c r="T3" s="245">
        <v>22.375072747953254</v>
      </c>
      <c r="U3" s="245">
        <v>20.958083950046362</v>
      </c>
      <c r="V3" s="245">
        <v>20.319522333136106</v>
      </c>
      <c r="W3" s="245">
        <v>18.747918855214742</v>
      </c>
    </row>
    <row r="4" spans="1:25">
      <c r="A4" s="46" t="s">
        <v>124</v>
      </c>
      <c r="B4" s="236">
        <v>63.650392095166517</v>
      </c>
      <c r="C4" s="236">
        <v>58.456639290747738</v>
      </c>
      <c r="D4" s="236">
        <v>55.569918049598805</v>
      </c>
      <c r="E4" s="236">
        <v>54.393224920916545</v>
      </c>
      <c r="F4" s="236">
        <v>59.225268215951985</v>
      </c>
      <c r="G4" s="236">
        <v>59.178445524071719</v>
      </c>
      <c r="H4" s="236">
        <v>62.59219361189011</v>
      </c>
      <c r="I4" s="245">
        <v>64.476432608025107</v>
      </c>
      <c r="J4" s="245">
        <v>66.741075809756651</v>
      </c>
      <c r="K4" s="245">
        <v>65.824416025342572</v>
      </c>
      <c r="L4" s="245">
        <v>67.184744458978003</v>
      </c>
      <c r="M4" s="245">
        <v>67.963107726798995</v>
      </c>
      <c r="N4" s="245">
        <v>65.405094411567816</v>
      </c>
      <c r="O4" s="245">
        <v>64.965053544548113</v>
      </c>
      <c r="P4" s="245">
        <v>64.519740023948771</v>
      </c>
      <c r="Q4" s="245">
        <v>63.458672969852493</v>
      </c>
      <c r="R4" s="245">
        <v>61.420433757552146</v>
      </c>
      <c r="S4" s="245">
        <v>59.442369098861249</v>
      </c>
      <c r="T4" s="245">
        <v>56.924634088817129</v>
      </c>
      <c r="U4" s="245">
        <v>55.378748072829588</v>
      </c>
      <c r="V4" s="245">
        <v>58.49120282884693</v>
      </c>
      <c r="W4" s="245">
        <v>57.055208178145804</v>
      </c>
    </row>
    <row r="5" spans="1:25">
      <c r="A5" s="46" t="s">
        <v>125</v>
      </c>
      <c r="B5" s="236">
        <v>75.625639271828305</v>
      </c>
      <c r="C5" s="236">
        <v>73.568486930286227</v>
      </c>
      <c r="D5" s="236">
        <v>71.618700953236527</v>
      </c>
      <c r="E5" s="236">
        <v>69.814713289466482</v>
      </c>
      <c r="F5" s="236">
        <v>74.610517777478393</v>
      </c>
      <c r="G5" s="236">
        <v>76.036495160177353</v>
      </c>
      <c r="H5" s="236">
        <v>80.64316210463943</v>
      </c>
      <c r="I5" s="245">
        <v>79.587321155335204</v>
      </c>
      <c r="J5" s="245">
        <v>80.817086229296081</v>
      </c>
      <c r="K5" s="245">
        <v>79.955811945302131</v>
      </c>
      <c r="L5" s="245">
        <v>81.953072231680494</v>
      </c>
      <c r="M5" s="245">
        <v>83.203583065515872</v>
      </c>
      <c r="N5" s="245">
        <v>83.820691418338171</v>
      </c>
      <c r="O5" s="245">
        <v>80.073643444286972</v>
      </c>
      <c r="P5" s="245">
        <v>81.240041933035442</v>
      </c>
      <c r="Q5" s="245">
        <v>81.292689786601997</v>
      </c>
      <c r="R5" s="245">
        <v>81.426824271192785</v>
      </c>
      <c r="S5" s="245">
        <v>81.90087882083327</v>
      </c>
      <c r="T5" s="245">
        <v>81.562712070447603</v>
      </c>
      <c r="U5" s="245">
        <v>80.807213775933548</v>
      </c>
      <c r="V5" s="245">
        <v>80.734150401892265</v>
      </c>
      <c r="W5" s="245">
        <v>81.087723274529864</v>
      </c>
    </row>
    <row r="6" spans="1:25">
      <c r="A6" s="46" t="s">
        <v>239</v>
      </c>
      <c r="B6" s="236">
        <v>1.6100085368492247</v>
      </c>
      <c r="C6" s="236">
        <v>2.1852383344515389</v>
      </c>
      <c r="D6" s="236">
        <v>3.3429151322012727</v>
      </c>
      <c r="E6" s="236">
        <v>8.710735231113695</v>
      </c>
      <c r="F6" s="236">
        <v>45.451284551588842</v>
      </c>
      <c r="G6" s="236">
        <v>49.233900235721322</v>
      </c>
      <c r="H6" s="545">
        <v>26.474641130385567</v>
      </c>
      <c r="I6" s="545">
        <v>29.06976089254794</v>
      </c>
      <c r="J6" s="245">
        <v>57.441601277227122</v>
      </c>
      <c r="K6" s="245">
        <v>56.281187239215853</v>
      </c>
      <c r="L6" s="245">
        <v>57.136823899646942</v>
      </c>
      <c r="M6" s="245">
        <v>57.656081438075475</v>
      </c>
      <c r="N6" s="245">
        <v>54.678428394555191</v>
      </c>
      <c r="O6" s="245">
        <v>54.176950172069589</v>
      </c>
      <c r="P6" s="245">
        <v>53.670274128995395</v>
      </c>
      <c r="Q6" s="245">
        <v>52.336616959076864</v>
      </c>
      <c r="R6" s="245">
        <v>50.553908117630364</v>
      </c>
      <c r="S6" s="245">
        <v>49.497146888659103</v>
      </c>
      <c r="T6" s="245">
        <v>45.694879947691163</v>
      </c>
      <c r="U6" s="245">
        <v>43.155837544839002</v>
      </c>
      <c r="V6" s="245">
        <v>40.845842376558849</v>
      </c>
      <c r="W6" s="245">
        <v>38.281847810190314</v>
      </c>
    </row>
    <row r="7" spans="1:25">
      <c r="A7" s="46" t="s">
        <v>616</v>
      </c>
      <c r="B7" s="236"/>
      <c r="C7" s="236"/>
      <c r="D7" s="236"/>
      <c r="E7" s="236"/>
      <c r="F7" s="236"/>
      <c r="G7" s="236"/>
      <c r="H7" s="236">
        <v>1.2174389808959769</v>
      </c>
      <c r="I7" s="245">
        <v>2.317791037701002</v>
      </c>
      <c r="J7" s="245">
        <v>3.1494567593758154</v>
      </c>
      <c r="K7" s="245">
        <v>3.7083144315309795</v>
      </c>
      <c r="L7" s="245">
        <v>4.7515044956725365</v>
      </c>
      <c r="M7" s="245">
        <v>6.1561990496334218</v>
      </c>
      <c r="N7" s="245">
        <v>7.8053576331476435</v>
      </c>
      <c r="O7" s="245">
        <v>9.3458998474806734</v>
      </c>
      <c r="P7" s="245">
        <v>11.853009271458735</v>
      </c>
      <c r="Q7" s="245">
        <v>13.459924931325929</v>
      </c>
      <c r="R7" s="245">
        <v>16.222299119009644</v>
      </c>
      <c r="S7" s="245">
        <v>19.010369777165398</v>
      </c>
      <c r="T7" s="245">
        <v>22.571608233224367</v>
      </c>
      <c r="U7" s="245">
        <v>24.744705607479283</v>
      </c>
      <c r="V7" s="245">
        <v>26.332550386859012</v>
      </c>
      <c r="W7" s="245">
        <v>28.778719572819348</v>
      </c>
    </row>
    <row r="8" spans="1:25">
      <c r="F8" s="13"/>
      <c r="G8" s="13"/>
      <c r="H8" s="13"/>
      <c r="I8" s="13"/>
      <c r="J8" s="13"/>
      <c r="K8" s="13"/>
      <c r="L8" s="13"/>
      <c r="M8" s="13"/>
      <c r="N8" s="13"/>
      <c r="O8" s="13"/>
      <c r="P8" s="13"/>
      <c r="Q8" s="13"/>
      <c r="R8" s="13"/>
      <c r="S8" s="13"/>
      <c r="T8" s="13"/>
      <c r="U8" s="13"/>
      <c r="V8" s="13"/>
    </row>
    <row r="11" spans="1:25">
      <c r="A11" s="11"/>
    </row>
    <row r="14" spans="1:25">
      <c r="Y14" s="109"/>
    </row>
    <row r="15" spans="1:25">
      <c r="Y15" s="109"/>
    </row>
    <row r="16" spans="1:25">
      <c r="Y16" s="109"/>
    </row>
    <row r="17" spans="25:31">
      <c r="Y17" s="21"/>
    </row>
    <row r="20" spans="25:31">
      <c r="AB20" s="109"/>
      <c r="AC20" s="109"/>
      <c r="AD20" s="109"/>
    </row>
    <row r="21" spans="25:31">
      <c r="AB21" s="109"/>
      <c r="AC21" s="109"/>
      <c r="AD21" s="109"/>
    </row>
    <row r="22" spans="25:31">
      <c r="AB22" s="109"/>
      <c r="AC22" s="109"/>
      <c r="AD22" s="109"/>
    </row>
    <row r="23" spans="25:31">
      <c r="AB23" s="109"/>
      <c r="AC23" s="33"/>
      <c r="AD23" s="109"/>
    </row>
    <row r="24" spans="25:31">
      <c r="AB24" s="109"/>
      <c r="AC24" s="109"/>
      <c r="AD24" s="33"/>
    </row>
    <row r="25" spans="25:31">
      <c r="AB25" s="109"/>
      <c r="AC25" s="109"/>
      <c r="AD25" s="109"/>
    </row>
    <row r="26" spans="25:31">
      <c r="Y26" s="33"/>
      <c r="AB26" s="109"/>
      <c r="AC26" s="109"/>
      <c r="AD26" s="109"/>
    </row>
    <row r="27" spans="25:31">
      <c r="Y27" s="109"/>
      <c r="AB27" s="33"/>
    </row>
    <row r="28" spans="25:31">
      <c r="Y28" s="109"/>
      <c r="Z28" s="109"/>
      <c r="AB28" s="109"/>
    </row>
    <row r="29" spans="25:31">
      <c r="Y29" s="109"/>
      <c r="Z29" s="109"/>
      <c r="AB29" s="109"/>
    </row>
    <row r="30" spans="25:31">
      <c r="Y30" s="21"/>
      <c r="Z30" s="21"/>
      <c r="AA30" s="21"/>
      <c r="AB30" s="21"/>
      <c r="AC30" s="21"/>
      <c r="AD30" s="21"/>
      <c r="AE30" s="21"/>
    </row>
  </sheetData>
  <mergeCells count="1">
    <mergeCell ref="A1:J1"/>
  </mergeCells>
  <pageMargins left="0.7" right="0.7" top="0.75" bottom="0.75" header="0.3" footer="0.3"/>
  <pageSetup orientation="portrait" verticalDpi="0"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6E1D8-03FA-934B-8C9F-F01B8F0A9D86}">
  <sheetPr>
    <tabColor rgb="FFFFC000"/>
  </sheetPr>
  <dimension ref="A1:W15"/>
  <sheetViews>
    <sheetView zoomScale="130" zoomScaleNormal="130" workbookViewId="0">
      <pane xSplit="1" ySplit="3" topLeftCell="B4" activePane="bottomRight" state="frozen"/>
      <selection pane="topRight" activeCell="B1" sqref="B1"/>
      <selection pane="bottomLeft" activeCell="A4" sqref="A4"/>
      <selection pane="bottomRight" activeCell="F14" sqref="F14"/>
    </sheetView>
  </sheetViews>
  <sheetFormatPr baseColWidth="10" defaultColWidth="9.33203125" defaultRowHeight="16"/>
  <cols>
    <col min="1" max="1" width="19.6640625" style="8" bestFit="1" customWidth="1"/>
    <col min="2" max="23" width="9.5" style="8" bestFit="1" customWidth="1"/>
    <col min="24" max="16384" width="9.33203125" style="8"/>
  </cols>
  <sheetData>
    <row r="1" spans="1:23" ht="20">
      <c r="A1" s="662" t="s">
        <v>1121</v>
      </c>
      <c r="B1" s="662"/>
      <c r="C1" s="662"/>
      <c r="D1" s="662"/>
      <c r="E1" s="662"/>
      <c r="F1" s="662"/>
      <c r="G1" s="662"/>
      <c r="H1" s="662"/>
      <c r="I1" s="662"/>
      <c r="J1" s="662"/>
    </row>
    <row r="3" spans="1:23" s="46" customFormat="1">
      <c r="B3" s="108">
        <v>1984</v>
      </c>
      <c r="C3" s="108">
        <v>1988</v>
      </c>
      <c r="D3" s="108">
        <v>1992</v>
      </c>
      <c r="E3" s="108">
        <v>1996</v>
      </c>
      <c r="F3" s="108">
        <v>2000</v>
      </c>
      <c r="G3" s="108">
        <v>2004</v>
      </c>
      <c r="H3" s="108">
        <v>2008</v>
      </c>
      <c r="I3" s="108">
        <v>2010</v>
      </c>
      <c r="J3" s="108">
        <v>2011</v>
      </c>
      <c r="K3" s="108">
        <v>2012</v>
      </c>
      <c r="L3" s="108">
        <v>2013</v>
      </c>
      <c r="M3" s="108">
        <v>2014</v>
      </c>
      <c r="N3" s="108">
        <v>2015</v>
      </c>
      <c r="O3" s="108">
        <v>2016</v>
      </c>
      <c r="P3" s="108">
        <v>2017</v>
      </c>
      <c r="Q3" s="108">
        <v>2018</v>
      </c>
      <c r="R3" s="108">
        <v>2019</v>
      </c>
      <c r="S3" s="108">
        <v>2020</v>
      </c>
      <c r="T3" s="108">
        <v>2021</v>
      </c>
      <c r="U3" s="108">
        <v>2022</v>
      </c>
      <c r="V3" s="108">
        <v>2023</v>
      </c>
      <c r="W3" s="46">
        <v>2024</v>
      </c>
    </row>
    <row r="4" spans="1:23" s="2" customFormat="1">
      <c r="A4" s="32" t="s">
        <v>281</v>
      </c>
      <c r="B4" s="236">
        <v>3849.8680531088726</v>
      </c>
      <c r="C4" s="236">
        <v>3391.2250018836335</v>
      </c>
      <c r="D4" s="236">
        <v>3209.52555423997</v>
      </c>
      <c r="E4" s="236">
        <v>2747.4430581625252</v>
      </c>
      <c r="F4" s="236">
        <v>2810.3714790985678</v>
      </c>
      <c r="G4" s="236">
        <v>2317.3237409546991</v>
      </c>
      <c r="H4" s="236">
        <v>2557.2108696676582</v>
      </c>
      <c r="I4" s="236">
        <v>2625.6538698308377</v>
      </c>
      <c r="J4" s="236">
        <v>2244.8603537214567</v>
      </c>
      <c r="K4" s="236">
        <v>2304.6343401639247</v>
      </c>
      <c r="L4" s="236">
        <v>2479.849474936495</v>
      </c>
      <c r="M4" s="236">
        <v>2634.6776004180169</v>
      </c>
      <c r="N4" s="236">
        <v>2563.4290961044271</v>
      </c>
      <c r="O4" s="236">
        <v>2383.8456669993457</v>
      </c>
      <c r="P4" s="236">
        <v>2515.6932883949362</v>
      </c>
      <c r="Q4" s="236">
        <v>2476.8192096317025</v>
      </c>
      <c r="R4" s="236">
        <v>2498.2675480187581</v>
      </c>
      <c r="S4" s="236">
        <v>2506.2530500853277</v>
      </c>
      <c r="T4" s="236">
        <v>2496.596671622372</v>
      </c>
      <c r="U4" s="236">
        <v>2451.3379679663367</v>
      </c>
      <c r="V4" s="236">
        <v>2583.7488753302528</v>
      </c>
      <c r="W4" s="236">
        <v>2548.0739121343418</v>
      </c>
    </row>
    <row r="5" spans="1:23">
      <c r="A5" s="8" t="s">
        <v>615</v>
      </c>
      <c r="B5" s="236">
        <v>2228.8636738602022</v>
      </c>
      <c r="C5" s="236">
        <v>1800.1265925593884</v>
      </c>
      <c r="D5" s="236">
        <v>1622.9187721081694</v>
      </c>
      <c r="E5" s="236">
        <v>1321.0468184230688</v>
      </c>
      <c r="F5" s="236">
        <v>1522.3303698947029</v>
      </c>
      <c r="G5" s="236">
        <v>1317.7596854865983</v>
      </c>
      <c r="H5" s="236">
        <v>1263.9912773375218</v>
      </c>
      <c r="I5" s="236">
        <v>1274.8854971896103</v>
      </c>
      <c r="J5" s="236">
        <v>1383.0059851887827</v>
      </c>
      <c r="K5" s="236">
        <v>1332.0941383976642</v>
      </c>
      <c r="L5" s="236">
        <v>1396.2537110696587</v>
      </c>
      <c r="M5" s="236">
        <v>1477.9806358604253</v>
      </c>
      <c r="N5" s="236">
        <v>1340.4530040373008</v>
      </c>
      <c r="O5" s="236">
        <v>1280.1035943365346</v>
      </c>
      <c r="P5" s="236">
        <v>1293.9815337737266</v>
      </c>
      <c r="Q5" s="236">
        <v>1244.381402975549</v>
      </c>
      <c r="R5" s="236">
        <v>1186.7986358442163</v>
      </c>
      <c r="S5" s="236">
        <v>1140.3836243204769</v>
      </c>
      <c r="T5" s="236">
        <v>1047.8391385949558</v>
      </c>
      <c r="U5" s="236">
        <v>987.36673574358667</v>
      </c>
      <c r="V5" s="236">
        <v>1041.232556350702</v>
      </c>
      <c r="W5" s="236">
        <v>999.52735740636649</v>
      </c>
    </row>
    <row r="6" spans="1:23">
      <c r="B6" s="9"/>
      <c r="C6" s="9"/>
      <c r="D6" s="9"/>
      <c r="E6" s="9"/>
      <c r="F6" s="9"/>
      <c r="G6" s="9"/>
      <c r="H6" s="9"/>
      <c r="I6" s="9"/>
      <c r="J6" s="9"/>
      <c r="K6" s="9"/>
      <c r="L6" s="9"/>
      <c r="M6" s="9"/>
      <c r="N6" s="9"/>
      <c r="O6" s="9"/>
      <c r="P6" s="9"/>
      <c r="Q6" s="9"/>
      <c r="R6" s="9"/>
      <c r="S6" s="9"/>
      <c r="T6" s="9"/>
      <c r="U6" s="9"/>
      <c r="V6" s="9"/>
    </row>
    <row r="7" spans="1:23" s="236" customFormat="1">
      <c r="A7" s="25" t="s">
        <v>983</v>
      </c>
      <c r="B7" s="108">
        <v>1984</v>
      </c>
      <c r="C7" s="108">
        <v>1988</v>
      </c>
      <c r="D7" s="108">
        <v>1992</v>
      </c>
      <c r="E7" s="108">
        <v>1996</v>
      </c>
      <c r="F7" s="108">
        <v>2000</v>
      </c>
      <c r="G7" s="108">
        <v>2004</v>
      </c>
      <c r="H7" s="108">
        <v>2008</v>
      </c>
      <c r="I7" s="108">
        <v>2010</v>
      </c>
      <c r="J7" s="108">
        <v>2011</v>
      </c>
      <c r="K7" s="108">
        <v>2012</v>
      </c>
      <c r="L7" s="108">
        <v>2013</v>
      </c>
      <c r="M7" s="108">
        <v>2014</v>
      </c>
      <c r="N7" s="108">
        <v>2015</v>
      </c>
      <c r="O7" s="108">
        <v>2016</v>
      </c>
      <c r="P7" s="108">
        <v>2017</v>
      </c>
      <c r="Q7" s="108">
        <v>2018</v>
      </c>
      <c r="R7" s="108">
        <v>2019</v>
      </c>
      <c r="S7" s="108">
        <v>2020</v>
      </c>
      <c r="T7" s="108">
        <v>2021</v>
      </c>
      <c r="U7" s="108">
        <v>2022</v>
      </c>
      <c r="V7" s="108">
        <v>2023</v>
      </c>
      <c r="W7" s="108">
        <v>2024</v>
      </c>
    </row>
    <row r="8" spans="1:23" s="2" customFormat="1">
      <c r="A8" s="32" t="s">
        <v>281</v>
      </c>
      <c r="B8" s="236">
        <v>3849.8680531088726</v>
      </c>
      <c r="C8" s="236">
        <v>3391.2250018836335</v>
      </c>
      <c r="D8" s="236">
        <v>3209.52555423997</v>
      </c>
      <c r="E8" s="236">
        <v>2747.4430581625252</v>
      </c>
      <c r="F8" s="236">
        <v>2810.3714790985678</v>
      </c>
      <c r="G8" s="236">
        <v>2317.3237409546991</v>
      </c>
      <c r="H8" s="236">
        <v>2557.2108696676582</v>
      </c>
      <c r="I8" s="236">
        <v>2591.4511617747808</v>
      </c>
      <c r="J8" s="236">
        <v>2523.4254212442206</v>
      </c>
      <c r="K8" s="236">
        <v>2268.3567486627198</v>
      </c>
      <c r="L8" s="236">
        <v>2439.7525090432023</v>
      </c>
      <c r="M8" s="236">
        <v>2611.9049791558491</v>
      </c>
      <c r="N8" s="236">
        <v>2553.5247295840322</v>
      </c>
      <c r="O8" s="236">
        <v>2368.1429218791227</v>
      </c>
      <c r="P8" s="236">
        <v>2488.0227742977563</v>
      </c>
      <c r="Q8" s="236">
        <v>2444.8029254973671</v>
      </c>
      <c r="R8" s="236">
        <v>2460.3686011478089</v>
      </c>
      <c r="S8" s="236">
        <v>2462.5418011473898</v>
      </c>
      <c r="T8" s="236">
        <v>2440.3458069999378</v>
      </c>
      <c r="U8" s="236">
        <v>2378.3210640760735</v>
      </c>
      <c r="V8" s="236">
        <v>2522.6020298076778</v>
      </c>
      <c r="W8" s="236">
        <v>2478.9183696222444</v>
      </c>
    </row>
    <row r="9" spans="1:23" s="236" customFormat="1">
      <c r="A9" s="8" t="s">
        <v>615</v>
      </c>
      <c r="B9" s="236">
        <v>2228.8636738602022</v>
      </c>
      <c r="C9" s="236">
        <v>1800.1265925593884</v>
      </c>
      <c r="D9" s="236">
        <v>1622.9187721081694</v>
      </c>
      <c r="E9" s="236">
        <v>1321.0468184230688</v>
      </c>
      <c r="F9" s="236">
        <v>1522.3303698947029</v>
      </c>
      <c r="G9" s="236">
        <v>1317.7596854865983</v>
      </c>
      <c r="H9" s="236">
        <v>1263.9912773375218</v>
      </c>
      <c r="I9" s="236">
        <v>1303.9633772563743</v>
      </c>
      <c r="J9" s="236">
        <v>1414.3691435958042</v>
      </c>
      <c r="K9" s="236">
        <v>1370.1306736864831</v>
      </c>
      <c r="L9" s="236">
        <v>1455.7711355587164</v>
      </c>
      <c r="M9" s="236">
        <v>1544.1502666650738</v>
      </c>
      <c r="N9" s="236">
        <v>1419.5706009627988</v>
      </c>
      <c r="O9" s="236">
        <v>1367.8901233037254</v>
      </c>
      <c r="P9" s="236">
        <v>1399.0612481123057</v>
      </c>
      <c r="Q9" s="236">
        <v>1363.0657840076656</v>
      </c>
      <c r="R9" s="236">
        <v>1326.7095821456771</v>
      </c>
      <c r="S9" s="236">
        <v>1302.031717879195</v>
      </c>
      <c r="T9" s="236">
        <v>1212.5109214002478</v>
      </c>
      <c r="U9" s="236">
        <v>1166.2071512794432</v>
      </c>
      <c r="V9" s="236">
        <v>1233.4170128453111</v>
      </c>
      <c r="W9" s="236">
        <v>1194.4762900062476</v>
      </c>
    </row>
    <row r="13" spans="1:23" s="46" customFormat="1">
      <c r="B13" s="108"/>
      <c r="C13" s="108"/>
      <c r="D13" s="108"/>
      <c r="E13" s="108"/>
      <c r="F13" s="108"/>
      <c r="G13" s="108"/>
      <c r="H13" s="108"/>
      <c r="I13" s="108"/>
      <c r="J13" s="108"/>
      <c r="K13" s="108"/>
      <c r="L13" s="108"/>
      <c r="M13" s="108"/>
      <c r="N13" s="108"/>
      <c r="O13" s="108"/>
      <c r="P13" s="108"/>
      <c r="Q13" s="108"/>
      <c r="R13" s="108"/>
      <c r="S13" s="108"/>
      <c r="T13" s="108"/>
      <c r="U13" s="108"/>
      <c r="V13" s="108"/>
    </row>
    <row r="14" spans="1:23" s="2" customFormat="1">
      <c r="A14" s="32"/>
      <c r="B14" s="9"/>
      <c r="C14" s="9"/>
      <c r="D14" s="9"/>
      <c r="E14" s="9"/>
      <c r="F14" s="9"/>
      <c r="G14" s="9"/>
      <c r="H14" s="9"/>
      <c r="I14" s="9"/>
      <c r="J14" s="9"/>
      <c r="K14" s="9"/>
      <c r="L14" s="9"/>
      <c r="M14" s="9"/>
      <c r="N14" s="9"/>
      <c r="O14" s="9"/>
      <c r="P14" s="9"/>
      <c r="Q14" s="9"/>
      <c r="R14" s="9"/>
      <c r="S14" s="9"/>
      <c r="T14" s="9"/>
      <c r="U14" s="9"/>
      <c r="V14" s="9"/>
    </row>
    <row r="15" spans="1:23">
      <c r="B15" s="9"/>
      <c r="C15" s="9"/>
      <c r="D15" s="9"/>
      <c r="E15" s="9"/>
      <c r="F15" s="9"/>
      <c r="G15" s="9"/>
      <c r="H15" s="9"/>
      <c r="I15" s="9"/>
      <c r="J15" s="9"/>
      <c r="K15" s="9"/>
      <c r="L15" s="9"/>
      <c r="M15" s="9"/>
      <c r="N15" s="9"/>
      <c r="O15" s="9"/>
      <c r="P15" s="9"/>
      <c r="Q15" s="9"/>
      <c r="R15" s="37"/>
      <c r="S15" s="9"/>
      <c r="T15" s="9"/>
      <c r="U15" s="9"/>
      <c r="V15" s="9"/>
    </row>
  </sheetData>
  <mergeCells count="1">
    <mergeCell ref="A1:J1"/>
  </mergeCells>
  <pageMargins left="0.7" right="0.7" top="0.75" bottom="0.75" header="0.3" footer="0.3"/>
  <pageSetup orientation="portrait" horizontalDpi="0" verticalDpi="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D3FDF-CC6E-1E48-8356-12AF2412D28B}">
  <sheetPr>
    <tabColor rgb="FFFFFF00"/>
  </sheetPr>
  <dimension ref="A1:Y9"/>
  <sheetViews>
    <sheetView zoomScale="86" zoomScaleNormal="90" workbookViewId="0">
      <pane xSplit="1" ySplit="2" topLeftCell="B3" activePane="bottomRight" state="frozen"/>
      <selection pane="topRight" activeCell="B1" sqref="B1"/>
      <selection pane="bottomLeft" activeCell="A3" sqref="A3"/>
      <selection pane="bottomRight" activeCell="D19" sqref="D19"/>
    </sheetView>
  </sheetViews>
  <sheetFormatPr baseColWidth="10" defaultColWidth="11" defaultRowHeight="16"/>
  <cols>
    <col min="1" max="1" width="25.1640625" customWidth="1"/>
    <col min="2" max="25" width="15.83203125" customWidth="1"/>
  </cols>
  <sheetData>
    <row r="1" spans="1:25">
      <c r="A1" t="s">
        <v>1122</v>
      </c>
    </row>
    <row r="2" spans="1:25" ht="21" customHeight="1">
      <c r="B2" t="s">
        <v>282</v>
      </c>
      <c r="C2" t="s">
        <v>308</v>
      </c>
      <c r="D2" t="s">
        <v>286</v>
      </c>
      <c r="E2" t="s">
        <v>306</v>
      </c>
      <c r="F2" t="s">
        <v>622</v>
      </c>
      <c r="G2" t="s">
        <v>283</v>
      </c>
      <c r="H2" t="s">
        <v>311</v>
      </c>
      <c r="I2" t="s">
        <v>295</v>
      </c>
      <c r="J2" t="s">
        <v>623</v>
      </c>
      <c r="K2" t="s">
        <v>317</v>
      </c>
      <c r="L2" t="s">
        <v>291</v>
      </c>
      <c r="M2" t="s">
        <v>302</v>
      </c>
      <c r="N2" t="s">
        <v>293</v>
      </c>
      <c r="O2" t="s">
        <v>980</v>
      </c>
      <c r="P2" t="s">
        <v>287</v>
      </c>
      <c r="Q2" t="s">
        <v>316</v>
      </c>
      <c r="R2" t="s">
        <v>288</v>
      </c>
      <c r="S2" t="s">
        <v>284</v>
      </c>
      <c r="T2" t="s">
        <v>294</v>
      </c>
      <c r="U2" t="s">
        <v>624</v>
      </c>
      <c r="V2" t="s">
        <v>1136</v>
      </c>
      <c r="W2" t="s">
        <v>1137</v>
      </c>
      <c r="X2" t="s">
        <v>1135</v>
      </c>
      <c r="Y2" t="s">
        <v>1138</v>
      </c>
    </row>
    <row r="3" spans="1:25">
      <c r="A3" t="s">
        <v>123</v>
      </c>
      <c r="B3">
        <v>0.112</v>
      </c>
      <c r="C3">
        <v>0.17</v>
      </c>
      <c r="D3">
        <v>0.14599999999999999</v>
      </c>
      <c r="E3">
        <v>0.14599999999999999</v>
      </c>
      <c r="F3">
        <v>0.154</v>
      </c>
      <c r="G3">
        <v>0.17899999999999999</v>
      </c>
      <c r="H3">
        <v>0.14699999999999999</v>
      </c>
      <c r="I3">
        <v>0.19600000000000001</v>
      </c>
      <c r="J3">
        <v>0.182</v>
      </c>
      <c r="K3">
        <v>0.161</v>
      </c>
      <c r="L3">
        <v>0.21099999999999999</v>
      </c>
      <c r="M3">
        <v>0.26100000000000001</v>
      </c>
      <c r="N3">
        <v>0.25</v>
      </c>
      <c r="O3">
        <v>0.1875</v>
      </c>
      <c r="P3">
        <v>0.21870000000000001</v>
      </c>
      <c r="Q3">
        <v>0.26700000000000002</v>
      </c>
      <c r="R3">
        <v>0.317478263053392</v>
      </c>
      <c r="S3">
        <v>0.2106651890804285</v>
      </c>
      <c r="T3">
        <v>0.32</v>
      </c>
      <c r="U3">
        <v>0.47220000000000001</v>
      </c>
      <c r="V3">
        <f>AVERAGE(B3:U3)</f>
        <v>0.21542717260669103</v>
      </c>
      <c r="W3">
        <f t="shared" ref="W3:W8" si="0">(B3+C3+D3+E3+F3+H3+I3+J3+K3+L3+M3+N3+O3+Q3+S3)/15</f>
        <v>0.18674434593869521</v>
      </c>
      <c r="X3">
        <f>AVERAGE(E3:U3)</f>
        <v>0.2282672618902247</v>
      </c>
      <c r="Y3">
        <f>(B3+C3+D3+E3+F3+H3+I3+J3+K3+L3+M3+N3+P3+Q3+R3+S3+T3+U3)/15</f>
        <v>0.26280289680892133</v>
      </c>
    </row>
    <row r="4" spans="1:25">
      <c r="A4" t="s">
        <v>124</v>
      </c>
      <c r="B4">
        <v>0.32900000000000001</v>
      </c>
      <c r="C4">
        <v>0.33300000000000002</v>
      </c>
      <c r="D4">
        <v>0.37040000000000001</v>
      </c>
      <c r="E4">
        <v>0.39200000000000002</v>
      </c>
      <c r="F4">
        <v>0.40899999999999997</v>
      </c>
      <c r="G4">
        <v>0.42</v>
      </c>
      <c r="H4">
        <v>0.47599999999999998</v>
      </c>
      <c r="I4">
        <v>0.42699999999999999</v>
      </c>
      <c r="J4">
        <v>0.46800000000000003</v>
      </c>
      <c r="K4">
        <v>0.49</v>
      </c>
      <c r="L4">
        <v>0.54200000000000004</v>
      </c>
      <c r="M4">
        <v>0.56200000000000006</v>
      </c>
      <c r="N4">
        <v>0.57999999999999996</v>
      </c>
      <c r="O4">
        <v>0.5706</v>
      </c>
      <c r="P4">
        <v>0.64529999999999998</v>
      </c>
      <c r="Q4">
        <v>0.74199999999999999</v>
      </c>
      <c r="R4">
        <v>0.70132442105926462</v>
      </c>
      <c r="S4">
        <v>0.51257519905953375</v>
      </c>
      <c r="T4">
        <v>0.82599999999999996</v>
      </c>
      <c r="U4">
        <v>0.72740000000000005</v>
      </c>
      <c r="V4">
        <f t="shared" ref="V4:V9" si="1">AVERAGE(B4:U4)</f>
        <v>0.52617998100593988</v>
      </c>
      <c r="W4">
        <f t="shared" si="0"/>
        <v>0.48023834660396891</v>
      </c>
      <c r="X4">
        <f t="shared" ref="X4:X9" si="2">AVERAGE(E4:U4)</f>
        <v>0.55830586000698812</v>
      </c>
      <c r="Y4">
        <f t="shared" ref="Y4:Y9" si="3">(B4+C4+D4+E4+F4+H4+I4+J4+K4+L4+M4+N4+P4+Q4+R4+S4+T4+U4)/15</f>
        <v>0.63553330800791985</v>
      </c>
    </row>
    <row r="5" spans="1:25">
      <c r="A5" t="s">
        <v>125</v>
      </c>
      <c r="B5">
        <v>0.54500000000000004</v>
      </c>
      <c r="C5">
        <v>0.50700000000000001</v>
      </c>
      <c r="D5">
        <v>0.52890000000000004</v>
      </c>
      <c r="E5">
        <v>0.57599999999999996</v>
      </c>
      <c r="F5">
        <v>0.56000000000000005</v>
      </c>
      <c r="G5">
        <v>0.65400000000000003</v>
      </c>
      <c r="H5">
        <v>0.64905213188855104</v>
      </c>
      <c r="I5">
        <v>0.67300000000000004</v>
      </c>
      <c r="J5">
        <v>0.65900000000000003</v>
      </c>
      <c r="K5">
        <v>0.69</v>
      </c>
      <c r="L5">
        <v>0.77600000000000002</v>
      </c>
      <c r="M5">
        <v>0.747</v>
      </c>
      <c r="N5">
        <v>0.84</v>
      </c>
      <c r="O5">
        <v>0.81089999999999995</v>
      </c>
      <c r="P5">
        <v>0.80740000000000001</v>
      </c>
      <c r="Q5">
        <v>0.92200000000000004</v>
      </c>
      <c r="R5">
        <v>0.82099393269820398</v>
      </c>
      <c r="S5">
        <v>0.63437001540733606</v>
      </c>
      <c r="T5">
        <v>0.99399999999999999</v>
      </c>
      <c r="U5">
        <v>0.92879999999999996</v>
      </c>
      <c r="V5">
        <f t="shared" si="1"/>
        <v>0.71617080399970467</v>
      </c>
      <c r="W5">
        <f t="shared" si="0"/>
        <v>0.67454814315305922</v>
      </c>
      <c r="X5">
        <f t="shared" si="2"/>
        <v>0.74955976941141711</v>
      </c>
      <c r="Y5">
        <f t="shared" si="3"/>
        <v>0.85723440533293949</v>
      </c>
    </row>
    <row r="6" spans="1:25">
      <c r="A6" t="s">
        <v>915</v>
      </c>
      <c r="B6">
        <v>1506.5326785380239</v>
      </c>
      <c r="C6">
        <v>2047</v>
      </c>
      <c r="D6">
        <v>1631</v>
      </c>
      <c r="E6">
        <v>1741</v>
      </c>
      <c r="F6">
        <v>2323.4602468863482</v>
      </c>
      <c r="G6">
        <v>1961</v>
      </c>
      <c r="H6">
        <v>3747.0499999999993</v>
      </c>
      <c r="I6">
        <v>1487.9</v>
      </c>
      <c r="J6">
        <v>3618</v>
      </c>
      <c r="K6">
        <v>2358.23</v>
      </c>
      <c r="L6">
        <v>800</v>
      </c>
      <c r="M6">
        <v>3207.72</v>
      </c>
      <c r="N6">
        <v>1994</v>
      </c>
      <c r="O6">
        <v>1958.6243547857866</v>
      </c>
      <c r="P6">
        <v>1958.6243547857866</v>
      </c>
      <c r="Q6">
        <v>1946</v>
      </c>
      <c r="R6">
        <v>2308.4761491442082</v>
      </c>
      <c r="S6">
        <v>1227.5</v>
      </c>
      <c r="T6">
        <v>4731.7</v>
      </c>
      <c r="U6">
        <v>2622.71</v>
      </c>
      <c r="V6">
        <f t="shared" ref="V6" si="4">AVERAGE(B6:U6)</f>
        <v>2258.8263892070077</v>
      </c>
      <c r="W6">
        <f t="shared" si="0"/>
        <v>2106.2678186806775</v>
      </c>
      <c r="X6">
        <f t="shared" ref="X6" si="5">AVERAGE(E6:U6)</f>
        <v>2352.4703003295372</v>
      </c>
      <c r="Y6">
        <f t="shared" ref="Y6" si="6">(B6+C6+D6+E6+F6+H6+I6+J6+K6+L6+M6+N6+P6+Q6+R6+S6+T6+U6)/15</f>
        <v>2750.4602286236241</v>
      </c>
    </row>
    <row r="7" spans="1:25">
      <c r="A7" t="s">
        <v>916</v>
      </c>
      <c r="B7">
        <v>0.183</v>
      </c>
      <c r="C7">
        <v>0.124</v>
      </c>
      <c r="D7">
        <v>0.11</v>
      </c>
      <c r="E7">
        <v>6.877140569085409E-2</v>
      </c>
      <c r="F7">
        <v>0.24099999999999999</v>
      </c>
      <c r="G7">
        <v>0.29599999999999999</v>
      </c>
      <c r="H7">
        <v>0.20399999999999999</v>
      </c>
      <c r="I7">
        <v>0.10199999999999999</v>
      </c>
      <c r="J7">
        <v>0.14410000000000001</v>
      </c>
      <c r="K7">
        <v>0.125</v>
      </c>
      <c r="L7">
        <v>0.12</v>
      </c>
      <c r="M7">
        <v>0.21199999999999999</v>
      </c>
      <c r="N7">
        <v>0.19</v>
      </c>
      <c r="O7">
        <v>0.2878</v>
      </c>
      <c r="P7">
        <v>0.19500000000000001</v>
      </c>
      <c r="Q7">
        <v>0.14799999999999999</v>
      </c>
      <c r="R7">
        <v>0.106</v>
      </c>
      <c r="S7">
        <v>0.12504071570045719</v>
      </c>
      <c r="T7">
        <v>0.13100000000000001</v>
      </c>
      <c r="U7">
        <v>0.17469999999999999</v>
      </c>
      <c r="V7">
        <f t="shared" si="1"/>
        <v>0.16437060606956558</v>
      </c>
      <c r="W7">
        <f t="shared" si="0"/>
        <v>0.15898080809275411</v>
      </c>
      <c r="X7">
        <f t="shared" si="2"/>
        <v>0.16884777184654776</v>
      </c>
      <c r="Y7">
        <f t="shared" si="3"/>
        <v>0.18024080809275408</v>
      </c>
    </row>
    <row r="8" spans="1:25">
      <c r="A8" t="s">
        <v>128</v>
      </c>
      <c r="B8">
        <v>384.5</v>
      </c>
      <c r="C8">
        <v>453</v>
      </c>
      <c r="D8">
        <v>455.12522721893492</v>
      </c>
      <c r="E8">
        <v>492.6</v>
      </c>
      <c r="F8">
        <v>542.20000000000005</v>
      </c>
      <c r="G8">
        <v>648</v>
      </c>
      <c r="H8">
        <v>649.47860394825398</v>
      </c>
      <c r="I8">
        <v>689</v>
      </c>
      <c r="J8">
        <v>691.3</v>
      </c>
      <c r="K8">
        <v>723.23</v>
      </c>
      <c r="L8">
        <v>935.3</v>
      </c>
      <c r="M8">
        <v>1076.7</v>
      </c>
      <c r="N8">
        <v>1167</v>
      </c>
      <c r="O8">
        <v>999.53</v>
      </c>
      <c r="P8">
        <v>1194.4762900062476</v>
      </c>
      <c r="Q8">
        <v>1536.1</v>
      </c>
      <c r="R8">
        <v>1662.5930545192846</v>
      </c>
      <c r="S8">
        <v>2084</v>
      </c>
      <c r="T8">
        <v>2165.9</v>
      </c>
      <c r="U8">
        <v>2552.5500000000002</v>
      </c>
      <c r="V8">
        <f t="shared" si="1"/>
        <v>1055.129158784636</v>
      </c>
      <c r="W8">
        <f t="shared" si="0"/>
        <v>858.60425541114603</v>
      </c>
      <c r="X8">
        <f>AVERAGE(E8:U8)</f>
        <v>1165.2916440278698</v>
      </c>
      <c r="Y8">
        <f t="shared" si="3"/>
        <v>1297.0035450461812</v>
      </c>
    </row>
    <row r="9" spans="1:25">
      <c r="A9" t="s">
        <v>129</v>
      </c>
      <c r="B9">
        <v>2027</v>
      </c>
      <c r="E9">
        <v>2153.8000000000002</v>
      </c>
      <c r="G9">
        <v>2097.8707612216222</v>
      </c>
      <c r="H9">
        <v>2550.1999999999998</v>
      </c>
      <c r="J9">
        <v>3936.4</v>
      </c>
      <c r="K9">
        <v>2626.45</v>
      </c>
      <c r="N9">
        <v>3677.2</v>
      </c>
      <c r="O9">
        <v>2548.0739121343418</v>
      </c>
      <c r="P9">
        <v>2478.9183696222444</v>
      </c>
      <c r="Q9">
        <v>4184.6000000000004</v>
      </c>
      <c r="R9">
        <v>5033.8999999999996</v>
      </c>
      <c r="V9">
        <f t="shared" si="1"/>
        <v>3028.5830039071097</v>
      </c>
      <c r="W9">
        <f>(B9+C9+D9+E9+F9+H9+I9+J9+K9+L9+M9+N9+O9+Q9+S9)/8</f>
        <v>2962.9654890167931</v>
      </c>
      <c r="X9">
        <f t="shared" si="2"/>
        <v>3128.741304297821</v>
      </c>
      <c r="Y9">
        <f t="shared" si="3"/>
        <v>1911.2312246414829</v>
      </c>
    </row>
  </sheetData>
  <pageMargins left="0.7" right="0.7" top="0.75" bottom="0.75" header="0.3" footer="0.3"/>
  <ignoredErrors>
    <ignoredError sqref="X3:X5 X7:X9" formulaRange="1"/>
  </ignoredError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48DC8-7EF8-364F-9086-5E3DEFD43237}">
  <sheetPr>
    <tabColor rgb="FFFF0000"/>
  </sheetPr>
  <dimension ref="A1:X16"/>
  <sheetViews>
    <sheetView zoomScale="130" zoomScaleNormal="130" workbookViewId="0">
      <pane xSplit="1" ySplit="2" topLeftCell="B8" activePane="bottomRight" state="frozen"/>
      <selection activeCell="U39" sqref="U39"/>
      <selection pane="topRight" activeCell="U39" sqref="U39"/>
      <selection pane="bottomLeft" activeCell="U39" sqref="U39"/>
      <selection pane="bottomRight" activeCell="E16" sqref="E16"/>
    </sheetView>
  </sheetViews>
  <sheetFormatPr baseColWidth="10" defaultColWidth="11" defaultRowHeight="16"/>
  <cols>
    <col min="1" max="16384" width="11" style="2"/>
  </cols>
  <sheetData>
    <row r="1" spans="1:24" ht="18">
      <c r="A1" s="663" t="s">
        <v>1029</v>
      </c>
      <c r="B1" s="663"/>
      <c r="C1" s="663"/>
      <c r="D1" s="663"/>
      <c r="E1" s="663"/>
      <c r="F1" s="663"/>
      <c r="G1" s="663"/>
      <c r="H1" s="663"/>
      <c r="I1" s="663"/>
    </row>
    <row r="2" spans="1:24">
      <c r="A2" s="1"/>
      <c r="B2" s="235">
        <v>1984</v>
      </c>
      <c r="C2" s="235">
        <v>1988</v>
      </c>
      <c r="D2" s="235">
        <v>1992</v>
      </c>
      <c r="E2" s="235">
        <v>1996</v>
      </c>
      <c r="F2" s="235">
        <v>2000</v>
      </c>
      <c r="G2" s="235">
        <v>2004</v>
      </c>
      <c r="H2" s="235">
        <v>2008</v>
      </c>
      <c r="I2" s="235">
        <v>2010</v>
      </c>
      <c r="J2" s="235">
        <v>2011</v>
      </c>
      <c r="K2" s="235">
        <v>2012</v>
      </c>
      <c r="L2" s="235">
        <v>2013</v>
      </c>
      <c r="M2" s="235">
        <v>2014</v>
      </c>
      <c r="N2" s="235">
        <v>2015</v>
      </c>
      <c r="O2" s="235">
        <v>2016</v>
      </c>
      <c r="P2" s="235">
        <v>2017</v>
      </c>
      <c r="Q2" s="235">
        <v>2018</v>
      </c>
      <c r="R2" s="235">
        <v>2019</v>
      </c>
      <c r="S2" s="235">
        <v>2020</v>
      </c>
      <c r="T2" s="235">
        <v>2021</v>
      </c>
      <c r="U2" s="1">
        <v>2022</v>
      </c>
      <c r="V2" s="1">
        <v>2023</v>
      </c>
      <c r="W2" s="1">
        <v>2024</v>
      </c>
      <c r="X2" s="1"/>
    </row>
    <row r="3" spans="1:24">
      <c r="A3" s="25" t="s">
        <v>76</v>
      </c>
      <c r="B3" s="6">
        <v>12787</v>
      </c>
      <c r="C3" s="6">
        <v>14007</v>
      </c>
      <c r="D3" s="6">
        <v>14700</v>
      </c>
      <c r="E3" s="6">
        <v>17900</v>
      </c>
      <c r="F3" s="6">
        <v>21200</v>
      </c>
      <c r="G3" s="6">
        <v>19800</v>
      </c>
      <c r="H3" s="6">
        <v>18000</v>
      </c>
      <c r="I3" s="29">
        <v>16723.177911910276</v>
      </c>
      <c r="J3" s="29">
        <v>16304.305710253786</v>
      </c>
      <c r="K3" s="29">
        <v>15851.378065991703</v>
      </c>
      <c r="L3" s="29">
        <v>15336.756569953177</v>
      </c>
      <c r="M3" s="29">
        <v>16915.08488251083</v>
      </c>
      <c r="N3" s="29">
        <v>14876.843661998215</v>
      </c>
      <c r="O3" s="29">
        <v>13979.049510219496</v>
      </c>
      <c r="P3" s="29">
        <v>13008.15323564583</v>
      </c>
      <c r="Q3" s="29">
        <v>12969.383965644176</v>
      </c>
      <c r="R3" s="29">
        <v>12763.515370752537</v>
      </c>
      <c r="S3" s="29">
        <v>11687.025587963797</v>
      </c>
      <c r="T3" s="29">
        <v>12190.279662184434</v>
      </c>
      <c r="U3" s="29">
        <v>11830.470058160699</v>
      </c>
      <c r="V3" s="29">
        <v>12415.282811062341</v>
      </c>
      <c r="W3" s="29">
        <v>13822.149947134676</v>
      </c>
    </row>
    <row r="4" spans="1:24">
      <c r="A4" s="25" t="s">
        <v>77</v>
      </c>
      <c r="B4" s="6"/>
      <c r="C4" s="6">
        <v>565.20000000000005</v>
      </c>
      <c r="D4" s="6">
        <v>1035.3</v>
      </c>
      <c r="E4" s="6">
        <v>2190.2999999999997</v>
      </c>
      <c r="F4" s="6">
        <v>5406.2000000000007</v>
      </c>
      <c r="G4" s="6">
        <v>9196.5999999999985</v>
      </c>
      <c r="H4" s="6">
        <v>16233.1</v>
      </c>
      <c r="I4" s="6">
        <v>17939.355799999998</v>
      </c>
      <c r="J4" s="6">
        <v>19127.948</v>
      </c>
      <c r="K4" s="6">
        <v>20249.807999999997</v>
      </c>
      <c r="L4" s="6">
        <v>20944.484999999997</v>
      </c>
      <c r="M4" s="6">
        <v>22001.232</v>
      </c>
      <c r="N4" s="6">
        <v>23231.750000000004</v>
      </c>
      <c r="O4" s="6">
        <v>24186.746999999999</v>
      </c>
      <c r="P4" s="6">
        <v>25612.71</v>
      </c>
      <c r="Q4" s="6">
        <v>28639.210999999996</v>
      </c>
      <c r="R4" s="6">
        <v>29119.02</v>
      </c>
      <c r="S4" s="6">
        <v>28071.34</v>
      </c>
      <c r="T4" s="6">
        <v>29319.530000000002</v>
      </c>
      <c r="U4" s="6">
        <v>30854.440000000002</v>
      </c>
      <c r="V4" s="6">
        <v>32477.962</v>
      </c>
      <c r="W4" s="6">
        <v>33230</v>
      </c>
    </row>
    <row r="5" spans="1:24">
      <c r="A5" s="25" t="s">
        <v>78</v>
      </c>
      <c r="B5" s="6"/>
      <c r="C5" s="6"/>
      <c r="D5" s="6"/>
      <c r="E5" s="6">
        <v>239</v>
      </c>
      <c r="F5" s="6">
        <v>1800</v>
      </c>
      <c r="G5" s="6">
        <v>4200</v>
      </c>
      <c r="H5" s="6">
        <v>6200</v>
      </c>
      <c r="I5" s="6">
        <v>6426</v>
      </c>
      <c r="J5" s="6">
        <v>6791</v>
      </c>
      <c r="K5" s="6">
        <v>7196</v>
      </c>
      <c r="L5" s="6">
        <v>7724.7</v>
      </c>
      <c r="M5" s="6">
        <v>8414.2000000000007</v>
      </c>
      <c r="N5" s="6">
        <v>9249</v>
      </c>
      <c r="O5" s="6">
        <v>10200</v>
      </c>
      <c r="P5" s="6">
        <v>11000</v>
      </c>
      <c r="Q5" s="6">
        <v>11765.4</v>
      </c>
      <c r="R5" s="6">
        <v>12830</v>
      </c>
      <c r="S5" s="6">
        <v>13336</v>
      </c>
      <c r="T5" s="6">
        <v>14531</v>
      </c>
      <c r="U5" s="6">
        <v>15248.49</v>
      </c>
      <c r="V5" s="6">
        <v>15949</v>
      </c>
      <c r="W5" s="516">
        <v>15962</v>
      </c>
    </row>
    <row r="6" spans="1:24">
      <c r="A6" s="25" t="s">
        <v>902</v>
      </c>
      <c r="B6" s="6"/>
      <c r="C6" s="6"/>
      <c r="D6" s="6"/>
      <c r="E6" s="6"/>
      <c r="F6" s="6"/>
      <c r="G6" s="6"/>
      <c r="H6" s="6"/>
      <c r="I6" s="6">
        <v>809.04832526113626</v>
      </c>
      <c r="J6" s="6">
        <v>844.34742501391099</v>
      </c>
      <c r="K6" s="6">
        <v>1091.7768918884562</v>
      </c>
      <c r="L6" s="6">
        <v>1644.9082958150216</v>
      </c>
      <c r="M6" s="6">
        <v>1824.3912958248304</v>
      </c>
      <c r="N6" s="6">
        <v>2441.1495415155664</v>
      </c>
      <c r="O6" s="6">
        <v>2939.3293480936964</v>
      </c>
      <c r="P6" s="6">
        <v>3663.8362915269745</v>
      </c>
      <c r="Q6" s="6">
        <v>4725.1506005328583</v>
      </c>
      <c r="R6" s="6">
        <v>6269.1353315442311</v>
      </c>
      <c r="S6" s="6">
        <v>7730.2325740930009</v>
      </c>
      <c r="T6" s="6">
        <v>10198.974899082205</v>
      </c>
      <c r="U6" s="6">
        <v>13794.625441493381</v>
      </c>
      <c r="V6" s="6">
        <v>15196.761002730535</v>
      </c>
      <c r="W6" s="6">
        <v>18653.770368666199</v>
      </c>
    </row>
    <row r="7" spans="1:24">
      <c r="A7" s="25" t="s">
        <v>79</v>
      </c>
      <c r="B7" s="6">
        <v>716.3</v>
      </c>
      <c r="C7" s="6">
        <v>1242.9000000000001</v>
      </c>
      <c r="D7" s="6">
        <v>1651.4</v>
      </c>
      <c r="E7" s="6">
        <v>2677.4</v>
      </c>
      <c r="F7" s="6">
        <v>4218.5</v>
      </c>
      <c r="G7" s="6">
        <v>5039.3999999999996</v>
      </c>
      <c r="H7" s="6">
        <v>6953.5</v>
      </c>
      <c r="I7" s="6">
        <v>8129.9</v>
      </c>
      <c r="J7" s="6">
        <v>8459.1</v>
      </c>
      <c r="K7" s="6">
        <v>8560.7999999999993</v>
      </c>
      <c r="L7" s="6">
        <v>8793.9</v>
      </c>
      <c r="M7" s="6">
        <v>8942.4</v>
      </c>
      <c r="N7" s="6">
        <v>8936</v>
      </c>
      <c r="O7" s="6">
        <v>8779.1</v>
      </c>
      <c r="P7" s="6">
        <v>8581.1</v>
      </c>
      <c r="Q7" s="6">
        <v>8424.4</v>
      </c>
      <c r="R7" s="6">
        <v>8364.2000000000007</v>
      </c>
      <c r="S7" s="6">
        <v>8099.44</v>
      </c>
      <c r="T7" s="6">
        <v>7839.09</v>
      </c>
      <c r="U7" s="6">
        <v>7421.49</v>
      </c>
      <c r="V7" s="6">
        <v>7023.97</v>
      </c>
      <c r="W7" s="6">
        <v>6443.8580000000002</v>
      </c>
    </row>
    <row r="8" spans="1:24">
      <c r="A8" s="378" t="s">
        <v>67</v>
      </c>
      <c r="B8" s="213">
        <f>SUM(B3:B7)</f>
        <v>13503.3</v>
      </c>
      <c r="C8" s="213">
        <f t="shared" ref="C8:W8" si="0">SUM(C3:C7)</f>
        <v>15815.1</v>
      </c>
      <c r="D8" s="213">
        <f t="shared" si="0"/>
        <v>17386.7</v>
      </c>
      <c r="E8" s="213">
        <f t="shared" si="0"/>
        <v>23006.7</v>
      </c>
      <c r="F8" s="213">
        <f t="shared" si="0"/>
        <v>32624.7</v>
      </c>
      <c r="G8" s="213">
        <f t="shared" si="0"/>
        <v>38236</v>
      </c>
      <c r="H8" s="213">
        <f t="shared" si="0"/>
        <v>47386.6</v>
      </c>
      <c r="I8" s="213">
        <f t="shared" si="0"/>
        <v>50027.482037171416</v>
      </c>
      <c r="J8" s="213">
        <f t="shared" si="0"/>
        <v>51526.7011352677</v>
      </c>
      <c r="K8" s="213">
        <f t="shared" si="0"/>
        <v>52949.762957880157</v>
      </c>
      <c r="L8" s="213">
        <f t="shared" si="0"/>
        <v>54444.749865768194</v>
      </c>
      <c r="M8" s="213">
        <f t="shared" si="0"/>
        <v>58097.308178335661</v>
      </c>
      <c r="N8" s="213">
        <f t="shared" si="0"/>
        <v>58734.743203513783</v>
      </c>
      <c r="O8" s="213">
        <f t="shared" si="0"/>
        <v>60084.225858313192</v>
      </c>
      <c r="P8" s="213">
        <f t="shared" si="0"/>
        <v>61865.7995271728</v>
      </c>
      <c r="Q8" s="213">
        <f t="shared" si="0"/>
        <v>66523.545566177025</v>
      </c>
      <c r="R8" s="213">
        <f t="shared" si="0"/>
        <v>69345.870702296772</v>
      </c>
      <c r="S8" s="213">
        <f t="shared" si="0"/>
        <v>68924.038162056793</v>
      </c>
      <c r="T8" s="213">
        <f t="shared" si="0"/>
        <v>74078.874561266639</v>
      </c>
      <c r="U8" s="213">
        <f t="shared" si="0"/>
        <v>79149.515499654095</v>
      </c>
      <c r="V8" s="213">
        <f t="shared" si="0"/>
        <v>83062.975813792873</v>
      </c>
      <c r="W8" s="213">
        <f t="shared" si="0"/>
        <v>88111.778315800882</v>
      </c>
    </row>
    <row r="10" spans="1:24">
      <c r="A10" s="378"/>
    </row>
    <row r="12" spans="1:24">
      <c r="A12" s="25"/>
      <c r="B12" s="6"/>
      <c r="C12" s="6"/>
      <c r="D12" s="6"/>
      <c r="E12" s="6"/>
      <c r="F12" s="6"/>
      <c r="G12" s="6"/>
      <c r="H12" s="6"/>
      <c r="I12" s="6"/>
      <c r="J12" s="6"/>
      <c r="K12" s="6"/>
      <c r="L12" s="6"/>
      <c r="M12" s="6"/>
      <c r="N12" s="6"/>
      <c r="O12" s="6"/>
      <c r="P12" s="6"/>
      <c r="Q12" s="6"/>
      <c r="R12" s="6"/>
      <c r="S12" s="6"/>
      <c r="T12" s="6"/>
      <c r="U12" s="6"/>
      <c r="V12" s="6"/>
      <c r="W12" s="6"/>
    </row>
    <row r="13" spans="1:24">
      <c r="A13" s="25"/>
      <c r="B13" s="6"/>
      <c r="C13" s="6"/>
      <c r="D13" s="6"/>
      <c r="E13" s="6"/>
      <c r="F13" s="6"/>
      <c r="G13" s="6"/>
      <c r="H13" s="6"/>
      <c r="I13" s="6"/>
      <c r="J13" s="6"/>
      <c r="K13" s="6"/>
      <c r="L13" s="6"/>
      <c r="M13" s="6"/>
      <c r="N13" s="6"/>
      <c r="O13" s="6"/>
      <c r="P13" s="6"/>
      <c r="Q13" s="6"/>
      <c r="R13" s="6"/>
      <c r="S13" s="6"/>
      <c r="T13" s="6"/>
      <c r="U13" s="6"/>
      <c r="V13" s="6"/>
      <c r="W13" s="6"/>
    </row>
    <row r="14" spans="1:24">
      <c r="A14" s="25"/>
      <c r="B14" s="6"/>
      <c r="C14" s="6"/>
      <c r="D14" s="6"/>
      <c r="E14" s="6"/>
      <c r="F14" s="6"/>
      <c r="G14" s="6"/>
      <c r="H14" s="6"/>
      <c r="I14" s="6"/>
      <c r="J14" s="6"/>
      <c r="K14" s="6"/>
      <c r="L14" s="6"/>
      <c r="M14" s="6"/>
      <c r="N14" s="6"/>
      <c r="O14" s="6"/>
      <c r="P14" s="6"/>
      <c r="Q14" s="6"/>
      <c r="R14" s="6"/>
      <c r="S14" s="6"/>
      <c r="T14" s="6"/>
      <c r="U14" s="6"/>
      <c r="V14" s="6"/>
      <c r="W14" s="6"/>
    </row>
    <row r="15" spans="1:24">
      <c r="A15" s="25"/>
      <c r="B15" s="6"/>
      <c r="C15" s="6"/>
      <c r="D15" s="6"/>
      <c r="E15" s="6"/>
      <c r="F15" s="6"/>
      <c r="G15" s="6"/>
      <c r="H15" s="6"/>
      <c r="I15" s="6"/>
      <c r="J15" s="6"/>
      <c r="K15" s="6"/>
      <c r="L15" s="6"/>
      <c r="M15" s="6"/>
      <c r="N15" s="6"/>
      <c r="O15" s="6"/>
      <c r="P15" s="6"/>
      <c r="Q15" s="6"/>
      <c r="R15" s="6"/>
      <c r="S15" s="6"/>
      <c r="T15" s="6"/>
      <c r="U15" s="6"/>
      <c r="V15" s="6"/>
      <c r="W15" s="6"/>
    </row>
    <row r="16" spans="1:24">
      <c r="A16" s="25"/>
      <c r="B16" s="6"/>
      <c r="C16" s="6"/>
      <c r="D16" s="6"/>
      <c r="E16" s="6"/>
      <c r="F16" s="6"/>
      <c r="G16" s="6"/>
      <c r="H16" s="6"/>
      <c r="I16" s="6"/>
      <c r="J16" s="6"/>
      <c r="K16" s="6"/>
      <c r="L16" s="6"/>
      <c r="M16" s="6"/>
      <c r="N16" s="6"/>
      <c r="O16" s="6"/>
      <c r="P16" s="6"/>
      <c r="Q16" s="6"/>
      <c r="R16" s="6"/>
      <c r="S16" s="6"/>
      <c r="T16" s="6"/>
      <c r="U16" s="6"/>
      <c r="V16" s="6"/>
      <c r="W16" s="6"/>
    </row>
  </sheetData>
  <mergeCells count="1">
    <mergeCell ref="A1:I1"/>
  </mergeCells>
  <pageMargins left="0.7" right="0.7" top="0.75" bottom="0.75" header="0.3" footer="0.3"/>
  <ignoredErrors>
    <ignoredError sqref="B8:W8" formulaRange="1"/>
  </ignoredError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2AE88-9DEA-8A4A-92A5-27650FE4AE4D}">
  <dimension ref="A1:W22"/>
  <sheetViews>
    <sheetView zoomScale="130" zoomScaleNormal="130" workbookViewId="0">
      <pane xSplit="1" ySplit="2" topLeftCell="B3" activePane="bottomRight" state="frozen"/>
      <selection activeCell="U39" sqref="U39"/>
      <selection pane="topRight" activeCell="U39" sqref="U39"/>
      <selection pane="bottomLeft" activeCell="U39" sqref="U39"/>
      <selection pane="bottomRight" activeCell="U39" sqref="U39"/>
    </sheetView>
  </sheetViews>
  <sheetFormatPr baseColWidth="10" defaultColWidth="11" defaultRowHeight="16"/>
  <cols>
    <col min="1" max="1" width="21" style="2" customWidth="1"/>
    <col min="2" max="16384" width="11" style="2"/>
  </cols>
  <sheetData>
    <row r="1" spans="1:23">
      <c r="A1" s="643" t="s">
        <v>959</v>
      </c>
      <c r="B1" s="643"/>
      <c r="C1" s="643"/>
      <c r="D1" s="643"/>
      <c r="E1" s="643"/>
      <c r="F1" s="643"/>
      <c r="G1" s="643"/>
      <c r="H1" s="643"/>
    </row>
    <row r="2" spans="1:23">
      <c r="B2" s="2">
        <v>1984</v>
      </c>
      <c r="C2" s="2">
        <v>1988</v>
      </c>
      <c r="D2" s="2">
        <v>1992</v>
      </c>
      <c r="E2" s="2">
        <v>1996</v>
      </c>
      <c r="F2" s="2">
        <v>2000</v>
      </c>
      <c r="G2" s="2">
        <v>2004</v>
      </c>
      <c r="H2" s="2">
        <v>2008</v>
      </c>
      <c r="I2" s="2">
        <v>2010</v>
      </c>
      <c r="J2" s="2">
        <v>2011</v>
      </c>
      <c r="K2" s="2">
        <v>2012</v>
      </c>
      <c r="L2" s="2">
        <v>2013</v>
      </c>
      <c r="M2" s="2">
        <v>2014</v>
      </c>
      <c r="N2" s="2">
        <v>2015</v>
      </c>
      <c r="O2" s="2">
        <v>2016</v>
      </c>
      <c r="P2" s="2">
        <v>2017</v>
      </c>
      <c r="Q2" s="2">
        <v>2018</v>
      </c>
      <c r="R2" s="2">
        <v>2019</v>
      </c>
      <c r="S2" s="2">
        <v>2020</v>
      </c>
      <c r="T2" s="2">
        <v>2021</v>
      </c>
      <c r="U2" s="2">
        <v>2022</v>
      </c>
      <c r="V2" s="2">
        <v>2023</v>
      </c>
      <c r="W2" s="2">
        <v>2024</v>
      </c>
    </row>
    <row r="3" spans="1:23">
      <c r="A3" s="2" t="s">
        <v>76</v>
      </c>
      <c r="B3" s="236">
        <v>91.584421678266992</v>
      </c>
      <c r="C3" s="236">
        <v>89.346041265081737</v>
      </c>
      <c r="D3" s="236">
        <v>88.3</v>
      </c>
      <c r="E3" s="236">
        <v>82.066480446927372</v>
      </c>
      <c r="F3" s="236">
        <v>91.723066037735848</v>
      </c>
      <c r="G3" s="236">
        <v>81.161616161616152</v>
      </c>
      <c r="H3" s="236">
        <v>91.760222222222225</v>
      </c>
      <c r="I3" s="256">
        <v>88.475171517326473</v>
      </c>
      <c r="J3" s="256">
        <v>86.981424970061113</v>
      </c>
      <c r="K3" s="256">
        <v>85.339753059163385</v>
      </c>
      <c r="L3" s="256">
        <v>84.677319293154994</v>
      </c>
      <c r="M3" s="256">
        <v>85.554637975678276</v>
      </c>
      <c r="N3" s="256">
        <v>83.366084525569192</v>
      </c>
      <c r="O3" s="256">
        <v>85.351497042034268</v>
      </c>
      <c r="P3" s="256">
        <v>88.641767949417584</v>
      </c>
      <c r="Q3" s="256">
        <v>89.068643840327667</v>
      </c>
      <c r="R3" s="256">
        <v>90.601615345339795</v>
      </c>
      <c r="S3" s="256">
        <v>89.658566322942676</v>
      </c>
      <c r="T3" s="256">
        <v>90.872224010973937</v>
      </c>
      <c r="U3" s="256">
        <v>89.667577213833638</v>
      </c>
      <c r="V3" s="256">
        <v>92.747393409195936</v>
      </c>
      <c r="W3" s="256">
        <v>93.496901637816094</v>
      </c>
    </row>
    <row r="4" spans="1:23">
      <c r="A4" s="2" t="s">
        <v>77</v>
      </c>
      <c r="B4" s="236">
        <v>100</v>
      </c>
      <c r="C4" s="236">
        <v>100</v>
      </c>
      <c r="D4" s="236">
        <v>100</v>
      </c>
      <c r="E4" s="236">
        <v>100</v>
      </c>
      <c r="F4" s="236">
        <v>95.540305575080453</v>
      </c>
      <c r="G4" s="236">
        <v>98.022095122110358</v>
      </c>
      <c r="H4" s="236">
        <v>97.953564014267144</v>
      </c>
      <c r="I4" s="236">
        <v>97.068702990995931</v>
      </c>
      <c r="J4" s="236">
        <v>96.044803133090909</v>
      </c>
      <c r="K4" s="236">
        <v>95.295698606129989</v>
      </c>
      <c r="L4" s="236">
        <v>94.84501528684045</v>
      </c>
      <c r="M4" s="236">
        <v>94.786964657251929</v>
      </c>
      <c r="N4" s="236">
        <v>94.755668427905746</v>
      </c>
      <c r="O4" s="236">
        <v>93.92127018982751</v>
      </c>
      <c r="P4" s="236">
        <v>95.151196417716051</v>
      </c>
      <c r="Q4" s="236">
        <v>94.639478720276202</v>
      </c>
      <c r="R4" s="236">
        <v>94.257979835859857</v>
      </c>
      <c r="S4" s="236">
        <v>93.63286540649645</v>
      </c>
      <c r="T4" s="236">
        <v>93.378031639661344</v>
      </c>
      <c r="U4" s="236">
        <v>93.166494028087996</v>
      </c>
      <c r="V4" s="236">
        <v>96.919566566399709</v>
      </c>
      <c r="W4" s="236">
        <v>96.807402949142329</v>
      </c>
    </row>
    <row r="5" spans="1:23" ht="17" customHeight="1">
      <c r="A5" s="2" t="s">
        <v>902</v>
      </c>
      <c r="B5" s="236"/>
      <c r="C5" s="236"/>
      <c r="D5" s="236"/>
      <c r="E5" s="236">
        <v>53.138075313807533</v>
      </c>
      <c r="F5" s="236">
        <v>40.278888888888886</v>
      </c>
      <c r="G5" s="236">
        <v>50.713809523809523</v>
      </c>
      <c r="H5" s="236">
        <v>51.523870967741935</v>
      </c>
      <c r="I5" s="236">
        <v>77.752766551628952</v>
      </c>
      <c r="J5" s="236">
        <v>76.546247614116595</v>
      </c>
      <c r="K5" s="236">
        <v>74.570940057738028</v>
      </c>
      <c r="L5" s="236">
        <v>81.020078394937201</v>
      </c>
      <c r="M5" s="236">
        <v>82.896016865420108</v>
      </c>
      <c r="N5" s="236">
        <v>74.494838173308509</v>
      </c>
      <c r="O5" s="236">
        <v>73.10868448523442</v>
      </c>
      <c r="P5" s="236">
        <v>72.209638177819485</v>
      </c>
      <c r="Q5" s="236">
        <v>74.462251005039391</v>
      </c>
      <c r="R5" s="236">
        <v>71.986264442375969</v>
      </c>
      <c r="S5" s="236">
        <v>72.386859718327827</v>
      </c>
      <c r="T5" s="236">
        <v>69.433205477225258</v>
      </c>
      <c r="U5" s="236">
        <v>70.310229111117536</v>
      </c>
      <c r="V5" s="236">
        <v>73.064899419146826</v>
      </c>
      <c r="W5" s="236">
        <v>72.860707052349611</v>
      </c>
    </row>
    <row r="6" spans="1:23">
      <c r="A6" s="2" t="s">
        <v>276</v>
      </c>
      <c r="B6" s="236"/>
      <c r="C6" s="236"/>
      <c r="D6" s="236"/>
      <c r="E6" s="236"/>
      <c r="F6" s="236"/>
      <c r="G6" s="236"/>
      <c r="H6" s="236"/>
      <c r="I6" s="240">
        <v>90.441378168680274</v>
      </c>
      <c r="J6" s="236">
        <v>90.811080992508252</v>
      </c>
      <c r="K6" s="236">
        <v>87.82686604294301</v>
      </c>
      <c r="L6" s="236">
        <v>86.577639732661027</v>
      </c>
      <c r="M6" s="236">
        <v>82.941556657176335</v>
      </c>
      <c r="N6" s="236">
        <v>81.485988821235907</v>
      </c>
      <c r="O6" s="236">
        <v>84.833692006602504</v>
      </c>
      <c r="P6" s="236">
        <v>89.231595992070922</v>
      </c>
      <c r="Q6" s="236">
        <v>88.911454432805485</v>
      </c>
      <c r="R6" s="236">
        <v>88.816447515701242</v>
      </c>
      <c r="S6" s="236">
        <v>88.66088388431784</v>
      </c>
      <c r="T6" s="236">
        <v>88.859728787455623</v>
      </c>
      <c r="U6" s="236">
        <v>89.347544961032355</v>
      </c>
      <c r="V6" s="236">
        <v>91.434090144221813</v>
      </c>
      <c r="W6" s="236">
        <v>92.082032077246652</v>
      </c>
    </row>
    <row r="7" spans="1:23">
      <c r="A7" s="2" t="s">
        <v>277</v>
      </c>
      <c r="B7" s="236">
        <v>41.114058355437663</v>
      </c>
      <c r="C7" s="236">
        <v>53.809638748089142</v>
      </c>
      <c r="D7" s="236">
        <v>69.171611965604939</v>
      </c>
      <c r="E7" s="236">
        <v>84.976171434974233</v>
      </c>
      <c r="F7" s="236">
        <v>72.122979700000641</v>
      </c>
      <c r="G7" s="236">
        <v>88.554332055515658</v>
      </c>
      <c r="H7" s="236">
        <v>83.329258646724668</v>
      </c>
      <c r="I7" s="236">
        <v>83.386019508235037</v>
      </c>
      <c r="J7" s="236">
        <v>84.946389095766676</v>
      </c>
      <c r="K7" s="236">
        <v>83.77955331277451</v>
      </c>
      <c r="L7" s="236">
        <v>82.213807298240823</v>
      </c>
      <c r="M7" s="236">
        <v>82.710502773304697</v>
      </c>
      <c r="N7" s="236">
        <v>80.53409803043867</v>
      </c>
      <c r="O7" s="236">
        <v>79.935300885056549</v>
      </c>
      <c r="P7" s="236">
        <v>80.699444127209787</v>
      </c>
      <c r="Q7" s="236">
        <v>80.222603390152415</v>
      </c>
      <c r="R7" s="236">
        <v>79.682001865091692</v>
      </c>
      <c r="S7" s="236">
        <v>78.323933506514038</v>
      </c>
      <c r="T7" s="236">
        <v>76.643258337383543</v>
      </c>
      <c r="U7" s="236">
        <v>76.684762763272616</v>
      </c>
      <c r="V7" s="236">
        <v>86.612599427389355</v>
      </c>
      <c r="W7" s="236">
        <v>85.4</v>
      </c>
    </row>
    <row r="8" spans="1:23">
      <c r="A8" s="2" t="s">
        <v>909</v>
      </c>
      <c r="B8" s="236">
        <v>86.726207667755304</v>
      </c>
      <c r="C8" s="236">
        <v>81.780703251955401</v>
      </c>
      <c r="D8" s="236">
        <v>80.241218862693913</v>
      </c>
      <c r="E8" s="236">
        <v>74.724319437381297</v>
      </c>
      <c r="F8" s="236">
        <v>77.521938899055002</v>
      </c>
      <c r="G8" s="236">
        <v>75.138578851359071</v>
      </c>
      <c r="H8" s="236">
        <v>82.920914688962711</v>
      </c>
      <c r="I8" s="236">
        <v>84.812249970510265</v>
      </c>
      <c r="J8" s="236">
        <v>84.488706155363047</v>
      </c>
      <c r="K8" s="236">
        <v>83.485028708464341</v>
      </c>
      <c r="L8" s="236">
        <v>83.037751917659591</v>
      </c>
      <c r="M8" s="236">
        <v>83.799848585335454</v>
      </c>
      <c r="N8" s="236">
        <v>80.962459442238043</v>
      </c>
      <c r="O8" s="236">
        <v>81.037096094958898</v>
      </c>
      <c r="P8" s="236">
        <v>86.419686828298921</v>
      </c>
      <c r="Q8" s="236">
        <v>81.058968871027275</v>
      </c>
      <c r="R8" s="236">
        <v>78.779581646957368</v>
      </c>
      <c r="S8" s="236">
        <v>76.381283807282074</v>
      </c>
      <c r="T8" s="236">
        <v>73.602071647277157</v>
      </c>
      <c r="U8" s="236">
        <v>71.186325602892325</v>
      </c>
      <c r="V8" s="236">
        <v>75.754482898386939</v>
      </c>
      <c r="W8" s="236">
        <v>74.339112979941476</v>
      </c>
    </row>
    <row r="9" spans="1:23">
      <c r="A9" s="2" t="s">
        <v>278</v>
      </c>
      <c r="B9" s="236">
        <v>88.907156028526359</v>
      </c>
      <c r="C9" s="236">
        <v>86.934006108086564</v>
      </c>
      <c r="D9" s="236">
        <v>87.17985586684074</v>
      </c>
      <c r="E9" s="236">
        <v>83.811898333963569</v>
      </c>
      <c r="F9" s="236">
        <v>86.593310892190658</v>
      </c>
      <c r="G9" s="236">
        <v>82.846759623406356</v>
      </c>
      <c r="H9" s="236">
        <v>87.380229854009357</v>
      </c>
      <c r="I9" s="236">
        <v>89.384205948061449</v>
      </c>
      <c r="J9" s="236">
        <v>88.699321188318365</v>
      </c>
      <c r="K9" s="236">
        <v>87.482773454001702</v>
      </c>
      <c r="L9" s="236">
        <v>87.729368252716711</v>
      </c>
      <c r="M9" s="236">
        <v>88.14600956843023</v>
      </c>
      <c r="N9" s="236">
        <v>85.965118315416277</v>
      </c>
      <c r="O9" s="236">
        <v>85.906167077283484</v>
      </c>
      <c r="P9" s="236">
        <v>87.348288094033649</v>
      </c>
      <c r="Q9" s="236">
        <v>87.752251805931579</v>
      </c>
      <c r="R9" s="236">
        <v>87.214384227402206</v>
      </c>
      <c r="S9" s="236">
        <v>86.491484417002653</v>
      </c>
      <c r="T9" s="236">
        <v>85.875808914850523</v>
      </c>
      <c r="U9" s="236">
        <v>86.029149853720128</v>
      </c>
      <c r="V9" s="236">
        <v>89.840430616798358</v>
      </c>
      <c r="W9" s="236">
        <v>90.115345603292766</v>
      </c>
    </row>
    <row r="14" spans="1:23">
      <c r="A14" s="11" t="s">
        <v>933</v>
      </c>
    </row>
    <row r="18" spans="1:23">
      <c r="A18" s="25"/>
      <c r="B18" s="236"/>
      <c r="C18" s="236"/>
      <c r="D18" s="236"/>
      <c r="E18" s="236"/>
      <c r="F18" s="236"/>
      <c r="G18" s="236"/>
      <c r="H18" s="236"/>
      <c r="I18" s="236"/>
      <c r="J18" s="236"/>
      <c r="K18" s="236"/>
      <c r="L18" s="236"/>
      <c r="M18" s="236"/>
      <c r="N18" s="236"/>
      <c r="O18" s="236"/>
      <c r="P18" s="236"/>
      <c r="Q18" s="236"/>
      <c r="R18" s="236"/>
      <c r="S18" s="236"/>
      <c r="T18" s="236"/>
      <c r="U18" s="236"/>
      <c r="V18" s="236"/>
      <c r="W18" s="256"/>
    </row>
    <row r="19" spans="1:23">
      <c r="A19" s="25"/>
      <c r="B19" s="236"/>
      <c r="C19" s="236"/>
      <c r="D19" s="236"/>
      <c r="E19" s="236"/>
      <c r="F19" s="236"/>
      <c r="G19" s="236"/>
      <c r="H19" s="236"/>
      <c r="I19" s="236"/>
      <c r="J19" s="236"/>
      <c r="K19" s="236"/>
      <c r="L19" s="236"/>
      <c r="M19" s="236"/>
      <c r="N19" s="236"/>
      <c r="O19" s="236"/>
      <c r="P19" s="236"/>
      <c r="Q19" s="236"/>
      <c r="R19" s="236"/>
      <c r="S19" s="236"/>
      <c r="T19" s="236"/>
      <c r="U19" s="236"/>
      <c r="V19" s="236"/>
      <c r="W19" s="236"/>
    </row>
    <row r="20" spans="1:23">
      <c r="A20" s="25"/>
      <c r="B20" s="236"/>
      <c r="C20" s="236"/>
      <c r="D20" s="236"/>
      <c r="E20" s="236"/>
      <c r="F20" s="236"/>
      <c r="G20" s="236"/>
      <c r="H20" s="236"/>
      <c r="I20" s="236"/>
      <c r="J20" s="236"/>
      <c r="K20" s="236"/>
      <c r="L20" s="236"/>
      <c r="M20" s="236"/>
      <c r="N20" s="236"/>
      <c r="O20" s="236"/>
      <c r="P20" s="236"/>
      <c r="Q20" s="236"/>
      <c r="R20" s="236"/>
      <c r="S20" s="236"/>
      <c r="T20" s="236"/>
      <c r="U20" s="236"/>
      <c r="V20" s="236"/>
      <c r="W20" s="236"/>
    </row>
    <row r="21" spans="1:23">
      <c r="A21" s="25"/>
      <c r="B21" s="236"/>
      <c r="C21" s="236"/>
      <c r="D21" s="236"/>
      <c r="E21" s="236"/>
      <c r="F21" s="236"/>
      <c r="G21" s="236"/>
      <c r="H21" s="236"/>
      <c r="I21" s="240"/>
      <c r="J21" s="236"/>
      <c r="K21" s="236"/>
      <c r="L21" s="236"/>
      <c r="M21" s="236"/>
      <c r="N21" s="236"/>
      <c r="O21" s="236"/>
      <c r="P21" s="236"/>
      <c r="Q21" s="236"/>
      <c r="R21" s="236"/>
      <c r="S21" s="236"/>
      <c r="T21" s="236"/>
      <c r="U21" s="236"/>
      <c r="V21" s="236"/>
      <c r="W21" s="236"/>
    </row>
    <row r="22" spans="1:23">
      <c r="A22" s="25"/>
      <c r="B22" s="236"/>
      <c r="C22" s="236"/>
      <c r="D22" s="236"/>
      <c r="E22" s="236"/>
      <c r="F22" s="236"/>
      <c r="G22" s="236"/>
      <c r="H22" s="236"/>
      <c r="I22" s="236"/>
      <c r="J22" s="236"/>
      <c r="K22" s="236"/>
      <c r="L22" s="236"/>
      <c r="M22" s="236"/>
      <c r="N22" s="236"/>
      <c r="O22" s="236"/>
      <c r="P22" s="236"/>
      <c r="Q22" s="236"/>
      <c r="R22" s="236"/>
      <c r="S22" s="236"/>
      <c r="T22" s="236"/>
      <c r="U22" s="236"/>
      <c r="V22" s="236"/>
      <c r="W22" s="236"/>
    </row>
  </sheetData>
  <mergeCells count="1">
    <mergeCell ref="A1:H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5B12E-5D68-5A4E-9444-9888C565800A}">
  <dimension ref="A1:E4"/>
  <sheetViews>
    <sheetView workbookViewId="0">
      <selection activeCell="J16" sqref="J16"/>
    </sheetView>
  </sheetViews>
  <sheetFormatPr baseColWidth="10" defaultColWidth="11" defaultRowHeight="16"/>
  <sheetData>
    <row r="1" spans="1:5">
      <c r="A1" s="629" t="s">
        <v>1010</v>
      </c>
      <c r="B1" s="629"/>
      <c r="C1" s="629"/>
      <c r="D1" s="629"/>
      <c r="E1" s="629"/>
    </row>
    <row r="4" spans="1:5">
      <c r="E4" t="s">
        <v>511</v>
      </c>
    </row>
  </sheetData>
  <mergeCells count="1">
    <mergeCell ref="A1:E1"/>
  </mergeCells>
  <pageMargins left="0.7" right="0.7" top="0.75" bottom="0.75" header="0.3" footer="0.3"/>
  <drawing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01D5C-023F-7241-B809-DBA77526D95E}">
  <sheetPr>
    <tabColor rgb="FF66FFFF"/>
  </sheetPr>
  <dimension ref="A1:X15"/>
  <sheetViews>
    <sheetView zoomScale="160" zoomScaleNormal="160" workbookViewId="0">
      <pane xSplit="1" ySplit="2" topLeftCell="B3" activePane="bottomRight" state="frozen"/>
      <selection activeCell="U39" sqref="U39"/>
      <selection pane="topRight" activeCell="U39" sqref="U39"/>
      <selection pane="bottomLeft" activeCell="U39" sqref="U39"/>
      <selection pane="bottomRight" activeCell="P32" sqref="P32"/>
    </sheetView>
  </sheetViews>
  <sheetFormatPr baseColWidth="10" defaultColWidth="11" defaultRowHeight="16"/>
  <cols>
    <col min="1" max="16384" width="11" style="2"/>
  </cols>
  <sheetData>
    <row r="1" spans="1:24" ht="18">
      <c r="A1" s="633" t="s">
        <v>932</v>
      </c>
      <c r="B1" s="633"/>
      <c r="C1" s="633"/>
      <c r="D1" s="633"/>
      <c r="E1" s="633"/>
      <c r="F1" s="633"/>
      <c r="G1" s="633"/>
      <c r="H1" s="633"/>
    </row>
    <row r="2" spans="1:24" s="46" customFormat="1">
      <c r="B2" s="206">
        <v>1984</v>
      </c>
      <c r="C2" s="206">
        <v>1988</v>
      </c>
      <c r="D2" s="206">
        <v>1992</v>
      </c>
      <c r="E2" s="206">
        <v>1996</v>
      </c>
      <c r="F2" s="206">
        <v>2000</v>
      </c>
      <c r="G2" s="206">
        <v>2004</v>
      </c>
      <c r="H2" s="206">
        <v>2008</v>
      </c>
      <c r="I2" s="206">
        <v>2010</v>
      </c>
      <c r="J2" s="206">
        <v>2011</v>
      </c>
      <c r="K2" s="206">
        <v>2012</v>
      </c>
      <c r="L2" s="206">
        <v>2013</v>
      </c>
      <c r="M2" s="206">
        <v>2014</v>
      </c>
      <c r="N2" s="206">
        <v>2015</v>
      </c>
      <c r="O2" s="206">
        <v>2016</v>
      </c>
      <c r="P2" s="206">
        <v>2017</v>
      </c>
      <c r="Q2" s="206">
        <v>2018</v>
      </c>
      <c r="R2" s="206">
        <v>2019</v>
      </c>
      <c r="S2" s="206">
        <v>2020</v>
      </c>
      <c r="T2" s="206">
        <v>2021</v>
      </c>
      <c r="U2" s="206">
        <v>2022</v>
      </c>
      <c r="V2" s="206">
        <v>2023</v>
      </c>
      <c r="W2" s="46">
        <v>2024</v>
      </c>
    </row>
    <row r="3" spans="1:24">
      <c r="A3" s="32" t="s">
        <v>76</v>
      </c>
      <c r="B3" s="236">
        <v>5031.5880111800952</v>
      </c>
      <c r="C3" s="236">
        <v>4427.1752164591235</v>
      </c>
      <c r="D3" s="236">
        <v>4189.2971456337646</v>
      </c>
      <c r="E3" s="236">
        <v>3360.4493907805631</v>
      </c>
      <c r="F3" s="236">
        <v>4131.8372021226396</v>
      </c>
      <c r="G3" s="236">
        <v>2961.4689368967452</v>
      </c>
      <c r="H3" s="236">
        <v>3897.0515005000002</v>
      </c>
      <c r="I3" s="236">
        <v>4097.9286359741345</v>
      </c>
      <c r="J3" s="236">
        <v>3889.3921620271681</v>
      </c>
      <c r="K3" s="236">
        <v>2982.0933534376527</v>
      </c>
      <c r="L3" s="236">
        <v>3465.0540607171279</v>
      </c>
      <c r="M3" s="236">
        <v>3747.0134281542159</v>
      </c>
      <c r="N3" s="236">
        <v>3063.3733794415743</v>
      </c>
      <c r="O3" s="236">
        <v>3104.6670456775287</v>
      </c>
      <c r="P3" s="236">
        <v>3543.4302307504813</v>
      </c>
      <c r="Q3" s="236">
        <v>3526.8987952853831</v>
      </c>
      <c r="R3" s="236">
        <v>3669.1601531424817</v>
      </c>
      <c r="S3" s="236">
        <v>3781.7330192159261</v>
      </c>
      <c r="T3" s="236">
        <v>3703.9298037478497</v>
      </c>
      <c r="U3" s="236">
        <v>3385.572016046794</v>
      </c>
      <c r="V3" s="236">
        <v>3623.1691387399751</v>
      </c>
      <c r="W3" s="236">
        <v>3225.2288758069626</v>
      </c>
      <c r="X3" s="236"/>
    </row>
    <row r="4" spans="1:24">
      <c r="A4" s="32" t="s">
        <v>77</v>
      </c>
      <c r="B4" s="236">
        <v>5500.8957599402192</v>
      </c>
      <c r="C4" s="236">
        <v>6164.8082285160181</v>
      </c>
      <c r="D4" s="236">
        <v>6443.6293274158425</v>
      </c>
      <c r="E4" s="236">
        <v>4925.5244714554128</v>
      </c>
      <c r="F4" s="236">
        <v>2635.2553498819011</v>
      </c>
      <c r="G4" s="236">
        <v>3087.4170571899422</v>
      </c>
      <c r="H4" s="236">
        <v>3141.730504975937</v>
      </c>
      <c r="I4" s="236">
        <v>3083.4289240566768</v>
      </c>
      <c r="J4" s="236">
        <v>3001.7807478888681</v>
      </c>
      <c r="K4" s="236">
        <v>2934.2283295520151</v>
      </c>
      <c r="L4" s="236">
        <v>2891.6360513639911</v>
      </c>
      <c r="M4" s="236">
        <v>2877.6606724725702</v>
      </c>
      <c r="N4" s="236">
        <v>2879.2552855029635</v>
      </c>
      <c r="O4" s="236">
        <v>2828.2439921570094</v>
      </c>
      <c r="P4" s="236">
        <v>2889.2747700508844</v>
      </c>
      <c r="Q4" s="236">
        <v>2808.1562911263145</v>
      </c>
      <c r="R4" s="236">
        <v>2772.4235134620576</v>
      </c>
      <c r="S4" s="236">
        <v>2705.1372614659153</v>
      </c>
      <c r="T4" s="236">
        <v>2680.5414508901263</v>
      </c>
      <c r="U4" s="236">
        <v>2678.338483843067</v>
      </c>
      <c r="V4" s="236">
        <v>2788.6868165333863</v>
      </c>
      <c r="W4" s="236">
        <v>2745.3162537496305</v>
      </c>
      <c r="X4" s="236"/>
    </row>
    <row r="5" spans="1:24" ht="17" customHeight="1">
      <c r="A5" s="2" t="s">
        <v>902</v>
      </c>
      <c r="B5" s="236"/>
      <c r="C5" s="236"/>
      <c r="D5" s="236"/>
      <c r="E5" s="236"/>
      <c r="F5" s="236"/>
      <c r="G5" s="236"/>
      <c r="H5" s="236"/>
      <c r="I5" s="236">
        <v>5566.0971945731317</v>
      </c>
      <c r="J5" s="236">
        <v>5439.9723421413955</v>
      </c>
      <c r="K5" s="236">
        <v>4753.5409409172235</v>
      </c>
      <c r="L5" s="236">
        <v>4289.7029311597971</v>
      </c>
      <c r="M5" s="236">
        <v>3611.1397071912843</v>
      </c>
      <c r="N5" s="236">
        <v>2884.0310454961832</v>
      </c>
      <c r="O5" s="236">
        <v>2816.2845959458159</v>
      </c>
      <c r="P5" s="236">
        <v>3144.5018826969717</v>
      </c>
      <c r="Q5" s="236">
        <v>3081.7411647224767</v>
      </c>
      <c r="R5" s="236">
        <v>3055.3244533250327</v>
      </c>
      <c r="S5" s="236">
        <v>3014.1786177365111</v>
      </c>
      <c r="T5" s="236">
        <v>3033.511840570914</v>
      </c>
      <c r="U5" s="236">
        <v>2993.6647195682608</v>
      </c>
      <c r="V5" s="236">
        <v>3016.4958408782072</v>
      </c>
      <c r="W5" s="236">
        <v>1620.8331058769243</v>
      </c>
      <c r="X5" s="236"/>
    </row>
    <row r="6" spans="1:24" s="21" customFormat="1">
      <c r="A6" s="2" t="s">
        <v>276</v>
      </c>
      <c r="B6" s="236"/>
      <c r="C6" s="236"/>
      <c r="D6" s="236"/>
      <c r="E6" s="236">
        <v>1058.5813448644108</v>
      </c>
      <c r="F6" s="236">
        <v>586.29992098765422</v>
      </c>
      <c r="G6" s="236">
        <v>826.85823979591828</v>
      </c>
      <c r="H6" s="236">
        <v>823.60354232570228</v>
      </c>
      <c r="I6" s="236">
        <v>1845.8016873805186</v>
      </c>
      <c r="J6" s="236">
        <v>1814.5040186460276</v>
      </c>
      <c r="K6" s="236">
        <v>1721.7349796532271</v>
      </c>
      <c r="L6" s="236">
        <v>2020.3293649288942</v>
      </c>
      <c r="M6" s="236">
        <v>2216.9404818678067</v>
      </c>
      <c r="N6" s="236">
        <v>3163.4580314223522</v>
      </c>
      <c r="O6" s="236">
        <v>1644.2177554964394</v>
      </c>
      <c r="P6" s="236">
        <v>1608.8924039414017</v>
      </c>
      <c r="Q6" s="236">
        <v>1652.4686937642514</v>
      </c>
      <c r="R6" s="236">
        <v>1519.5526781447659</v>
      </c>
      <c r="S6" s="236">
        <v>1522.9845257575555</v>
      </c>
      <c r="T6" s="236">
        <v>1418.4825512467432</v>
      </c>
      <c r="U6" s="236">
        <v>1453.3164148527455</v>
      </c>
      <c r="V6" s="236">
        <v>1598.4700061523226</v>
      </c>
      <c r="W6" s="236">
        <v>1604.9050776437305</v>
      </c>
      <c r="X6" s="236"/>
    </row>
    <row r="7" spans="1:24" s="21" customFormat="1">
      <c r="A7" s="2" t="s">
        <v>277</v>
      </c>
      <c r="B7" s="236">
        <v>760.65637301246863</v>
      </c>
      <c r="C7" s="236">
        <v>1010.9557777758486</v>
      </c>
      <c r="D7" s="236">
        <v>1599.1150978814305</v>
      </c>
      <c r="E7" s="236">
        <v>2314.5581864967471</v>
      </c>
      <c r="F7" s="236">
        <v>1566.5003047381661</v>
      </c>
      <c r="G7" s="236">
        <v>2298.0592420012599</v>
      </c>
      <c r="H7" s="236">
        <v>1947.8814498903723</v>
      </c>
      <c r="I7" s="236">
        <v>1953.750347380397</v>
      </c>
      <c r="J7" s="236">
        <v>2017.7574974960498</v>
      </c>
      <c r="K7" s="236">
        <v>1947.0630819380738</v>
      </c>
      <c r="L7" s="236">
        <v>1886.3412515698681</v>
      </c>
      <c r="M7" s="236">
        <v>1939.9314430914444</v>
      </c>
      <c r="N7" s="236">
        <v>1849.4012695416891</v>
      </c>
      <c r="O7" s="236">
        <v>1848.5416044338415</v>
      </c>
      <c r="P7" s="236">
        <v>1903.9686638763726</v>
      </c>
      <c r="Q7" s="236">
        <v>1899.653525888529</v>
      </c>
      <c r="R7" s="236">
        <v>1889.4781640853632</v>
      </c>
      <c r="S7" s="236">
        <v>1861.915162963295</v>
      </c>
      <c r="T7" s="236">
        <v>1803.5962217847277</v>
      </c>
      <c r="U7" s="236">
        <v>1827.4691146295581</v>
      </c>
      <c r="V7" s="236">
        <v>2340.0900798700982</v>
      </c>
      <c r="W7" s="236">
        <v>2202.1698784974815</v>
      </c>
      <c r="X7" s="236"/>
    </row>
    <row r="8" spans="1:24" s="21" customFormat="1">
      <c r="A8" s="32" t="s">
        <v>527</v>
      </c>
      <c r="B8" s="236">
        <v>4514.0726829393598</v>
      </c>
      <c r="C8" s="236">
        <v>3792.2499580959857</v>
      </c>
      <c r="D8" s="236">
        <v>3522.2913107813843</v>
      </c>
      <c r="E8" s="236">
        <v>2577.4178797286777</v>
      </c>
      <c r="F8" s="236">
        <v>2565.9787259547634</v>
      </c>
      <c r="G8" s="236">
        <v>2070.2544214546674</v>
      </c>
      <c r="H8" s="236">
        <v>2212.3166468987288</v>
      </c>
      <c r="I8" s="236">
        <v>2270.9884752777648</v>
      </c>
      <c r="J8" s="236">
        <v>2230.8323109832968</v>
      </c>
      <c r="K8" s="236">
        <v>2145.9463422451636</v>
      </c>
      <c r="L8" s="236">
        <v>2125.8428618674216</v>
      </c>
      <c r="M8" s="236">
        <v>2240.7922812526708</v>
      </c>
      <c r="N8" s="236">
        <v>2053.7342822302603</v>
      </c>
      <c r="O8" s="236">
        <v>1960.3228221069355</v>
      </c>
      <c r="P8" s="236">
        <v>2014.3739251663978</v>
      </c>
      <c r="Q8" s="236">
        <v>1973.2993732383807</v>
      </c>
      <c r="R8" s="236">
        <v>1871.7471698282361</v>
      </c>
      <c r="S8" s="236">
        <v>1773.9560791760803</v>
      </c>
      <c r="T8" s="236">
        <v>1668.4376761818205</v>
      </c>
      <c r="U8" s="236">
        <v>1565.3919430124274</v>
      </c>
      <c r="V8" s="236">
        <v>1691.1422330223634</v>
      </c>
      <c r="W8" s="236">
        <v>1603.4306753042667</v>
      </c>
      <c r="X8" s="236"/>
    </row>
    <row r="9" spans="1:24" s="266" customFormat="1">
      <c r="A9" s="2" t="s">
        <v>281</v>
      </c>
      <c r="B9" s="236">
        <v>4805.0309227336065</v>
      </c>
      <c r="C9" s="236">
        <v>4220.7959357764275</v>
      </c>
      <c r="D9" s="236">
        <v>4077.5153511667745</v>
      </c>
      <c r="E9" s="236">
        <v>3363.8209467133424</v>
      </c>
      <c r="F9" s="236">
        <v>3353.7637923026455</v>
      </c>
      <c r="G9" s="236">
        <v>2669.8522076052045</v>
      </c>
      <c r="H9" s="236">
        <v>2950.1565441191592</v>
      </c>
      <c r="I9" s="236">
        <v>3120.1505662862655</v>
      </c>
      <c r="J9" s="236">
        <v>3004.5719472760679</v>
      </c>
      <c r="K9" s="236">
        <v>2661.6758344793689</v>
      </c>
      <c r="L9" s="236">
        <v>2809.3923904425933</v>
      </c>
      <c r="M9" s="236">
        <v>2913.7933618016073</v>
      </c>
      <c r="N9" s="236">
        <v>2814.158723606271</v>
      </c>
      <c r="O9" s="236">
        <v>2547.8210748497254</v>
      </c>
      <c r="P9" s="236">
        <v>2677.6109505517493</v>
      </c>
      <c r="Q9" s="236">
        <v>2648.2679354424658</v>
      </c>
      <c r="R9" s="236">
        <v>2624.7520220932411</v>
      </c>
      <c r="S9" s="236">
        <v>2594.5277825019111</v>
      </c>
      <c r="T9" s="236">
        <v>2557.1850401450274</v>
      </c>
      <c r="U9" s="236">
        <v>2523.2175994557488</v>
      </c>
      <c r="V9" s="236">
        <v>2688.6250122344736</v>
      </c>
      <c r="W9" s="236">
        <v>2620.4316413152255</v>
      </c>
      <c r="X9" s="236"/>
    </row>
    <row r="10" spans="1:24">
      <c r="D10" s="236"/>
      <c r="E10" s="236"/>
      <c r="F10" s="236"/>
      <c r="G10" s="236"/>
      <c r="H10" s="236"/>
      <c r="I10" s="236"/>
      <c r="J10" s="236"/>
      <c r="K10" s="236"/>
      <c r="L10" s="236"/>
      <c r="M10" s="236"/>
      <c r="N10" s="236"/>
      <c r="O10" s="236"/>
      <c r="P10" s="236"/>
      <c r="Q10" s="236"/>
      <c r="R10" s="236"/>
      <c r="S10" s="236"/>
      <c r="T10" s="236"/>
      <c r="U10" s="236"/>
      <c r="V10" s="236"/>
      <c r="W10" s="236"/>
      <c r="X10" s="236"/>
    </row>
    <row r="11" spans="1:24">
      <c r="A11" s="25"/>
      <c r="B11" s="236"/>
      <c r="C11" s="236"/>
      <c r="D11" s="236"/>
      <c r="E11" s="236"/>
      <c r="F11" s="236"/>
      <c r="G11" s="236"/>
      <c r="H11" s="236"/>
      <c r="I11" s="236"/>
      <c r="J11" s="236"/>
      <c r="K11" s="236"/>
      <c r="L11" s="236"/>
      <c r="M11" s="236"/>
      <c r="N11" s="236"/>
      <c r="O11" s="236"/>
      <c r="P11" s="236"/>
      <c r="Q11" s="236"/>
      <c r="R11" s="236"/>
      <c r="S11" s="236"/>
      <c r="T11" s="236"/>
      <c r="U11" s="236"/>
      <c r="V11" s="236"/>
      <c r="W11" s="236"/>
    </row>
    <row r="12" spans="1:24">
      <c r="A12" s="25"/>
      <c r="B12" s="236"/>
      <c r="C12" s="236"/>
      <c r="D12" s="236"/>
      <c r="E12" s="236"/>
      <c r="F12" s="236"/>
      <c r="G12" s="236"/>
      <c r="H12" s="236"/>
      <c r="I12" s="236"/>
      <c r="J12" s="236"/>
      <c r="K12" s="236"/>
      <c r="L12" s="236"/>
      <c r="M12" s="236"/>
      <c r="N12" s="236"/>
      <c r="O12" s="236"/>
      <c r="P12" s="236"/>
      <c r="Q12" s="236"/>
      <c r="R12" s="236"/>
      <c r="S12" s="236"/>
      <c r="T12" s="236"/>
      <c r="U12" s="236"/>
      <c r="V12" s="236"/>
      <c r="W12" s="236"/>
    </row>
    <row r="13" spans="1:24">
      <c r="A13" s="25"/>
      <c r="B13" s="236"/>
      <c r="C13" s="236"/>
      <c r="D13" s="236"/>
      <c r="E13" s="236"/>
      <c r="F13" s="236"/>
      <c r="G13" s="236"/>
      <c r="H13" s="236"/>
      <c r="I13" s="236"/>
      <c r="J13" s="236"/>
      <c r="K13" s="236"/>
      <c r="L13" s="236"/>
      <c r="M13" s="236"/>
      <c r="N13" s="236"/>
      <c r="O13" s="236"/>
      <c r="P13" s="236"/>
      <c r="Q13" s="236"/>
      <c r="R13" s="236"/>
      <c r="S13" s="236"/>
      <c r="T13" s="236"/>
      <c r="U13" s="236"/>
      <c r="V13" s="236"/>
      <c r="W13" s="236"/>
    </row>
    <row r="14" spans="1:24">
      <c r="A14" s="25"/>
      <c r="B14" s="236"/>
      <c r="C14" s="236"/>
      <c r="D14" s="236"/>
      <c r="E14" s="236"/>
      <c r="F14" s="236"/>
      <c r="G14" s="236"/>
      <c r="H14" s="236"/>
      <c r="I14" s="236"/>
      <c r="J14" s="236"/>
      <c r="K14" s="236"/>
      <c r="L14" s="236"/>
      <c r="M14" s="236"/>
      <c r="N14" s="236"/>
      <c r="O14" s="236"/>
      <c r="P14" s="236"/>
      <c r="Q14" s="236"/>
      <c r="R14" s="236"/>
      <c r="S14" s="236"/>
      <c r="T14" s="236"/>
      <c r="U14" s="236"/>
      <c r="V14" s="236"/>
      <c r="W14" s="236"/>
    </row>
    <row r="15" spans="1:24">
      <c r="A15" s="25"/>
      <c r="B15" s="236"/>
      <c r="C15" s="236"/>
      <c r="D15" s="236"/>
      <c r="E15" s="236"/>
      <c r="F15" s="236"/>
      <c r="G15" s="236"/>
      <c r="H15" s="236"/>
      <c r="I15" s="236"/>
      <c r="J15" s="236"/>
      <c r="K15" s="236"/>
      <c r="L15" s="236"/>
      <c r="M15" s="236"/>
      <c r="N15" s="236"/>
      <c r="O15" s="236"/>
      <c r="P15" s="236"/>
      <c r="Q15" s="236"/>
      <c r="R15" s="236"/>
      <c r="S15" s="236"/>
      <c r="T15" s="236"/>
      <c r="U15" s="236"/>
      <c r="V15" s="236"/>
      <c r="W15" s="236"/>
    </row>
  </sheetData>
  <mergeCells count="1">
    <mergeCell ref="A1:H1"/>
  </mergeCells>
  <pageMargins left="0.7" right="0.7" top="0.75" bottom="0.75" header="0.3" footer="0.3"/>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38707C-8C3A-124D-B164-0E4BC2DC2383}">
  <sheetPr>
    <pageSetUpPr fitToPage="1"/>
  </sheetPr>
  <dimension ref="A1:Z189"/>
  <sheetViews>
    <sheetView zoomScale="120" zoomScaleNormal="120" workbookViewId="0">
      <pane xSplit="1" ySplit="1" topLeftCell="B115" activePane="bottomRight" state="frozen"/>
      <selection pane="topRight" activeCell="B1" sqref="B1"/>
      <selection pane="bottomLeft" activeCell="A2" sqref="A2"/>
      <selection pane="bottomRight" activeCell="W140" sqref="C140:W140"/>
    </sheetView>
  </sheetViews>
  <sheetFormatPr baseColWidth="10" defaultColWidth="11" defaultRowHeight="16"/>
  <cols>
    <col min="1" max="1" width="31.33203125" style="399" customWidth="1"/>
    <col min="2" max="2" width="9" style="399" customWidth="1"/>
    <col min="3" max="3" width="12.83203125" style="399" customWidth="1"/>
    <col min="4" max="4" width="15.33203125" style="399" customWidth="1"/>
    <col min="5" max="5" width="19.83203125" style="399" customWidth="1"/>
    <col min="6" max="11" width="12.33203125" style="399" customWidth="1"/>
    <col min="12" max="12" width="13.6640625" style="399" customWidth="1"/>
    <col min="13" max="19" width="12.33203125" style="399" customWidth="1"/>
    <col min="20" max="21" width="11.1640625" style="399" customWidth="1"/>
    <col min="22" max="22" width="13.5" style="399" customWidth="1"/>
    <col min="23" max="23" width="11" style="400"/>
    <col min="24" max="24" width="12.1640625" bestFit="1" customWidth="1"/>
  </cols>
  <sheetData>
    <row r="1" spans="1:23" ht="16" customHeight="1">
      <c r="A1" s="664" t="s">
        <v>906</v>
      </c>
      <c r="B1" s="665"/>
      <c r="C1" s="665"/>
      <c r="D1" s="665"/>
      <c r="E1" s="665"/>
      <c r="F1" s="665"/>
      <c r="G1" s="665"/>
      <c r="H1" s="665"/>
      <c r="I1" s="665"/>
      <c r="J1" s="665"/>
    </row>
    <row r="2" spans="1:23">
      <c r="A2" s="401"/>
      <c r="B2" s="401">
        <v>1984</v>
      </c>
      <c r="C2" s="401">
        <v>1988</v>
      </c>
      <c r="D2" s="401">
        <v>1992</v>
      </c>
      <c r="E2" s="401">
        <v>1996</v>
      </c>
      <c r="F2" s="401">
        <v>2000</v>
      </c>
      <c r="G2" s="401">
        <v>2004</v>
      </c>
      <c r="H2" s="401">
        <v>2008</v>
      </c>
      <c r="I2" s="401">
        <v>2010</v>
      </c>
      <c r="J2" s="401">
        <v>2011</v>
      </c>
      <c r="K2" s="401">
        <v>2012</v>
      </c>
      <c r="L2" s="401">
        <v>2013</v>
      </c>
      <c r="M2" s="401">
        <v>2014</v>
      </c>
      <c r="N2" s="401">
        <v>2015</v>
      </c>
      <c r="O2" s="401">
        <v>2016</v>
      </c>
      <c r="P2" s="401">
        <v>2017</v>
      </c>
      <c r="Q2" s="401">
        <v>2018</v>
      </c>
      <c r="R2" s="401">
        <v>2019</v>
      </c>
      <c r="S2" s="401">
        <v>2020</v>
      </c>
      <c r="T2" s="401">
        <v>2021</v>
      </c>
      <c r="U2" s="402">
        <v>2022</v>
      </c>
      <c r="V2" s="402">
        <v>2023</v>
      </c>
      <c r="W2" s="403">
        <v>2024</v>
      </c>
    </row>
    <row r="3" spans="1:23">
      <c r="A3" s="401" t="s">
        <v>433</v>
      </c>
      <c r="B3" s="404"/>
      <c r="C3" s="404"/>
      <c r="D3" s="404"/>
      <c r="E3" s="404"/>
      <c r="F3" s="405">
        <f t="shared" ref="F3:U3" si="0">F47</f>
        <v>1241</v>
      </c>
      <c r="G3" s="405">
        <f t="shared" si="0"/>
        <v>1602</v>
      </c>
      <c r="H3" s="405">
        <f t="shared" si="0"/>
        <v>1822</v>
      </c>
      <c r="I3" s="405">
        <f t="shared" si="0"/>
        <v>2232</v>
      </c>
      <c r="J3" s="405">
        <f t="shared" si="0"/>
        <v>2674</v>
      </c>
      <c r="K3" s="405">
        <f t="shared" si="0"/>
        <v>3085</v>
      </c>
      <c r="L3" s="405">
        <f t="shared" si="0"/>
        <v>3418</v>
      </c>
      <c r="M3" s="405">
        <f t="shared" si="0"/>
        <v>3793</v>
      </c>
      <c r="N3" s="405">
        <f t="shared" si="0"/>
        <v>4604</v>
      </c>
      <c r="O3" s="405">
        <f t="shared" si="0"/>
        <v>5485</v>
      </c>
      <c r="P3" s="405">
        <f t="shared" si="0"/>
        <v>6771</v>
      </c>
      <c r="Q3" s="405">
        <f t="shared" si="0"/>
        <v>7592</v>
      </c>
      <c r="R3" s="405">
        <f t="shared" si="0"/>
        <v>8760</v>
      </c>
      <c r="S3" s="405">
        <f t="shared" si="0"/>
        <v>9624</v>
      </c>
      <c r="T3" s="405">
        <f t="shared" si="0"/>
        <v>12869.49</v>
      </c>
      <c r="U3" s="405">
        <f t="shared" si="0"/>
        <v>14391</v>
      </c>
      <c r="V3" s="405">
        <v>16551.3711</v>
      </c>
      <c r="W3" s="406">
        <v>18020</v>
      </c>
    </row>
    <row r="4" spans="1:23">
      <c r="A4" s="401" t="s">
        <v>434</v>
      </c>
      <c r="B4" s="404">
        <v>873.22299999999996</v>
      </c>
      <c r="C4" s="404">
        <v>1250.4870000000001</v>
      </c>
      <c r="D4" s="404">
        <v>1588.5160000000001</v>
      </c>
      <c r="E4" s="404">
        <v>1567.692</v>
      </c>
      <c r="F4" s="405">
        <v>1992.6109999999999</v>
      </c>
      <c r="G4" s="405">
        <v>2255.4520000000002</v>
      </c>
      <c r="H4" s="405">
        <v>2427.4169999999995</v>
      </c>
      <c r="I4" s="405">
        <f t="shared" ref="I4:T5" si="1">I17</f>
        <v>2491.4</v>
      </c>
      <c r="J4" s="405">
        <f t="shared" si="1"/>
        <v>2530.6</v>
      </c>
      <c r="K4" s="405">
        <f t="shared" si="1"/>
        <v>2426.4</v>
      </c>
      <c r="L4" s="405">
        <f t="shared" si="1"/>
        <v>2322.6</v>
      </c>
      <c r="M4" s="405">
        <f t="shared" si="1"/>
        <v>2294.9</v>
      </c>
      <c r="N4" s="405">
        <f t="shared" si="1"/>
        <v>2091.5</v>
      </c>
      <c r="O4" s="405">
        <f t="shared" si="1"/>
        <v>1931</v>
      </c>
      <c r="P4" s="405">
        <f t="shared" si="1"/>
        <v>1652.6151910000001</v>
      </c>
      <c r="Q4" s="405">
        <f t="shared" si="1"/>
        <v>1634.6550319999999</v>
      </c>
      <c r="R4" s="405">
        <f t="shared" si="1"/>
        <v>1607.1398830000001</v>
      </c>
      <c r="S4" s="405">
        <f t="shared" si="1"/>
        <v>1381.4315079999999</v>
      </c>
      <c r="T4" s="405">
        <f t="shared" si="1"/>
        <v>1516.9285460000001</v>
      </c>
      <c r="U4" s="405">
        <v>1624.13</v>
      </c>
      <c r="V4" s="405">
        <v>1456.79</v>
      </c>
      <c r="W4" s="406">
        <f>270+1270</f>
        <v>1540</v>
      </c>
    </row>
    <row r="5" spans="1:23">
      <c r="A5" s="401" t="s">
        <v>435</v>
      </c>
      <c r="B5" s="404">
        <v>40.333999999999996</v>
      </c>
      <c r="C5" s="404">
        <v>61.231999999999999</v>
      </c>
      <c r="D5" s="404">
        <v>169.92911999999998</v>
      </c>
      <c r="E5" s="404">
        <v>285.72640000000001</v>
      </c>
      <c r="F5" s="404">
        <v>546.28533000000004</v>
      </c>
      <c r="G5" s="404">
        <v>708.41648602544217</v>
      </c>
      <c r="H5" s="404">
        <v>1026.9592998262888</v>
      </c>
      <c r="I5" s="405">
        <f t="shared" si="1"/>
        <v>1112.8</v>
      </c>
      <c r="J5" s="405">
        <f t="shared" si="1"/>
        <v>1232.6600000000001</v>
      </c>
      <c r="K5" s="405">
        <f t="shared" si="1"/>
        <v>1233.23</v>
      </c>
      <c r="L5" s="405">
        <f t="shared" si="1"/>
        <v>1266.58</v>
      </c>
      <c r="M5" s="405">
        <f t="shared" si="1"/>
        <v>1223.5</v>
      </c>
      <c r="N5" s="405">
        <f t="shared" si="1"/>
        <v>1235.3</v>
      </c>
      <c r="O5" s="405">
        <f t="shared" si="1"/>
        <v>1348</v>
      </c>
      <c r="P5" s="405">
        <f t="shared" si="1"/>
        <v>1329</v>
      </c>
      <c r="Q5" s="405">
        <f t="shared" si="1"/>
        <v>1269.3</v>
      </c>
      <c r="R5" s="405">
        <f t="shared" si="1"/>
        <v>1297.26</v>
      </c>
      <c r="S5" s="405">
        <f t="shared" si="1"/>
        <v>1080.02</v>
      </c>
      <c r="T5" s="405">
        <f t="shared" si="1"/>
        <v>1249.68</v>
      </c>
      <c r="U5" s="405">
        <f>U18</f>
        <v>1349.72</v>
      </c>
      <c r="V5" s="405">
        <f>V18+V19</f>
        <v>1204.1120000000001</v>
      </c>
      <c r="W5" s="406">
        <v>1229.27</v>
      </c>
    </row>
    <row r="6" spans="1:23">
      <c r="A6" s="401" t="s">
        <v>245</v>
      </c>
      <c r="B6" s="404">
        <v>559.70000000000005</v>
      </c>
      <c r="C6" s="404">
        <v>723.6</v>
      </c>
      <c r="D6" s="404">
        <v>767.9</v>
      </c>
      <c r="E6" s="404">
        <v>809.99999999999989</v>
      </c>
      <c r="F6" s="404">
        <v>1050.5</v>
      </c>
      <c r="G6" s="404">
        <v>1266.9000000000001</v>
      </c>
      <c r="H6" s="407">
        <v>1572.8999999999999</v>
      </c>
      <c r="I6" s="407">
        <f t="shared" ref="I6:U6" si="2">I42</f>
        <v>1596.6</v>
      </c>
      <c r="J6" s="407">
        <f t="shared" si="2"/>
        <v>1596.6</v>
      </c>
      <c r="K6" s="407">
        <f t="shared" si="2"/>
        <v>1576.6</v>
      </c>
      <c r="L6" s="407">
        <f t="shared" si="2"/>
        <v>1573.6</v>
      </c>
      <c r="M6" s="407">
        <f t="shared" si="2"/>
        <v>1571.6</v>
      </c>
      <c r="N6" s="407">
        <f t="shared" si="2"/>
        <v>1525.2</v>
      </c>
      <c r="O6" s="407">
        <f t="shared" si="2"/>
        <v>1550.6</v>
      </c>
      <c r="P6" s="407">
        <f t="shared" si="2"/>
        <v>1521.3</v>
      </c>
      <c r="Q6" s="407">
        <f t="shared" si="2"/>
        <v>1513.1</v>
      </c>
      <c r="R6" s="407">
        <f t="shared" si="2"/>
        <v>1453</v>
      </c>
      <c r="S6" s="407">
        <f t="shared" si="2"/>
        <v>1149.4000000000001</v>
      </c>
      <c r="T6" s="407">
        <f t="shared" si="2"/>
        <v>1069.94</v>
      </c>
      <c r="U6" s="407">
        <f t="shared" si="2"/>
        <v>1108.22</v>
      </c>
      <c r="V6" s="407">
        <v>1103.79</v>
      </c>
      <c r="W6" s="406">
        <v>1093.57</v>
      </c>
    </row>
    <row r="7" spans="1:23">
      <c r="A7" s="401" t="s">
        <v>21</v>
      </c>
      <c r="B7" s="404">
        <v>1642.5</v>
      </c>
      <c r="C7" s="404">
        <v>2193.75</v>
      </c>
      <c r="D7" s="404">
        <v>2036.7</v>
      </c>
      <c r="E7" s="404">
        <v>2416.2999999999997</v>
      </c>
      <c r="F7" s="404">
        <v>2880</v>
      </c>
      <c r="G7" s="404">
        <v>3572.1478897396473</v>
      </c>
      <c r="H7" s="404">
        <v>3880.4952544604448</v>
      </c>
      <c r="I7" s="405">
        <f t="shared" ref="I7:V7" si="3">I39</f>
        <v>3491</v>
      </c>
      <c r="J7" s="405">
        <f t="shared" si="3"/>
        <v>3427</v>
      </c>
      <c r="K7" s="405">
        <f t="shared" si="3"/>
        <v>3549</v>
      </c>
      <c r="L7" s="405">
        <f t="shared" si="3"/>
        <v>2935</v>
      </c>
      <c r="M7" s="405">
        <f t="shared" si="3"/>
        <v>2646</v>
      </c>
      <c r="N7" s="405">
        <f t="shared" si="3"/>
        <v>2304</v>
      </c>
      <c r="O7" s="405">
        <f t="shared" si="3"/>
        <v>2130</v>
      </c>
      <c r="P7" s="405">
        <f t="shared" si="3"/>
        <v>1835</v>
      </c>
      <c r="Q7" s="405">
        <f t="shared" si="3"/>
        <v>1655.9</v>
      </c>
      <c r="R7" s="405">
        <f t="shared" si="3"/>
        <v>1408</v>
      </c>
      <c r="S7" s="405">
        <f t="shared" si="3"/>
        <v>978.8</v>
      </c>
      <c r="T7" s="405">
        <f t="shared" si="3"/>
        <v>967.1</v>
      </c>
      <c r="U7" s="405">
        <f t="shared" si="3"/>
        <v>951</v>
      </c>
      <c r="V7" s="405">
        <f t="shared" si="3"/>
        <v>925.56229005877742</v>
      </c>
      <c r="W7" s="406"/>
    </row>
    <row r="8" spans="1:23">
      <c r="A8" s="401" t="s">
        <v>28</v>
      </c>
      <c r="B8" s="404">
        <v>385.5</v>
      </c>
      <c r="C8" s="404">
        <v>358.49152049158141</v>
      </c>
      <c r="D8" s="404">
        <v>422.54605733311678</v>
      </c>
      <c r="E8" s="404">
        <v>392.05145363001463</v>
      </c>
      <c r="F8" s="404">
        <v>479.69215256347792</v>
      </c>
      <c r="G8" s="404">
        <v>647</v>
      </c>
      <c r="H8" s="404">
        <v>691.68</v>
      </c>
      <c r="I8" s="405">
        <f t="shared" ref="I8:S9" si="4">I58</f>
        <v>606</v>
      </c>
      <c r="J8" s="405">
        <f t="shared" si="4"/>
        <v>593</v>
      </c>
      <c r="K8" s="405">
        <f t="shared" si="4"/>
        <v>573</v>
      </c>
      <c r="L8" s="405">
        <v>1071.5</v>
      </c>
      <c r="M8" s="405">
        <v>937.85</v>
      </c>
      <c r="N8" s="405">
        <v>804.2</v>
      </c>
      <c r="O8" s="405">
        <v>706.25</v>
      </c>
      <c r="P8" s="405">
        <v>608.29999999999995</v>
      </c>
      <c r="Q8" s="405">
        <v>584.04999999999995</v>
      </c>
      <c r="R8" s="405">
        <v>559.79999999999995</v>
      </c>
      <c r="S8" s="405">
        <v>492.25</v>
      </c>
      <c r="T8" s="405">
        <v>424.7</v>
      </c>
      <c r="U8" s="405">
        <v>430.25</v>
      </c>
      <c r="V8" s="405">
        <v>435.8</v>
      </c>
      <c r="W8" s="406">
        <v>441.456684</v>
      </c>
    </row>
    <row r="9" spans="1:23">
      <c r="A9" s="402" t="s">
        <v>436</v>
      </c>
      <c r="B9" s="405">
        <v>140.05028000000001</v>
      </c>
      <c r="C9" s="405">
        <v>183.50242081966323</v>
      </c>
      <c r="D9" s="405">
        <v>199.42364709332466</v>
      </c>
      <c r="E9" s="405">
        <v>218.87079414520056</v>
      </c>
      <c r="F9" s="405">
        <v>283.61953930253907</v>
      </c>
      <c r="G9" s="405">
        <v>302.5</v>
      </c>
      <c r="H9" s="405">
        <v>463.03</v>
      </c>
      <c r="I9" s="405">
        <f t="shared" si="4"/>
        <v>481.58</v>
      </c>
      <c r="J9" s="405">
        <f t="shared" si="4"/>
        <v>483.95</v>
      </c>
      <c r="K9" s="405">
        <f t="shared" si="4"/>
        <v>486.4</v>
      </c>
      <c r="L9" s="405">
        <f t="shared" si="4"/>
        <v>513.5</v>
      </c>
      <c r="M9" s="405">
        <f t="shared" si="4"/>
        <v>521</v>
      </c>
      <c r="N9" s="405">
        <f t="shared" si="4"/>
        <v>542</v>
      </c>
      <c r="O9" s="405">
        <f t="shared" si="4"/>
        <v>569</v>
      </c>
      <c r="P9" s="405">
        <f t="shared" si="4"/>
        <v>624</v>
      </c>
      <c r="Q9" s="405">
        <f t="shared" si="4"/>
        <v>654</v>
      </c>
      <c r="R9" s="405">
        <f t="shared" si="4"/>
        <v>671</v>
      </c>
      <c r="S9" s="405">
        <f t="shared" si="4"/>
        <v>412</v>
      </c>
      <c r="T9" s="405">
        <f>492/T109</f>
        <v>431.04958822498685</v>
      </c>
      <c r="U9" s="405">
        <f>662/U109</f>
        <v>627.13148920045467</v>
      </c>
      <c r="V9" s="405">
        <f>750/V109</f>
        <v>730.49576312457395</v>
      </c>
      <c r="W9" s="406">
        <v>798</v>
      </c>
    </row>
    <row r="10" spans="1:23">
      <c r="A10" s="401" t="s">
        <v>437</v>
      </c>
      <c r="B10" s="408">
        <f t="shared" ref="B10:R10" si="5">SUM(B3:B9)</f>
        <v>3641.30728</v>
      </c>
      <c r="C10" s="408">
        <f t="shared" si="5"/>
        <v>4771.0629413112438</v>
      </c>
      <c r="D10" s="408">
        <f t="shared" si="5"/>
        <v>5185.014824426441</v>
      </c>
      <c r="E10" s="408">
        <f t="shared" si="5"/>
        <v>5690.6406477752143</v>
      </c>
      <c r="F10" s="408">
        <f t="shared" si="5"/>
        <v>8473.7080218660158</v>
      </c>
      <c r="G10" s="408">
        <f t="shared" si="5"/>
        <v>10354.416375765089</v>
      </c>
      <c r="H10" s="408">
        <f t="shared" si="5"/>
        <v>11884.481554286735</v>
      </c>
      <c r="I10" s="408">
        <f t="shared" si="5"/>
        <v>12011.38</v>
      </c>
      <c r="J10" s="408">
        <f t="shared" si="5"/>
        <v>12537.810000000001</v>
      </c>
      <c r="K10" s="408">
        <f t="shared" si="5"/>
        <v>12929.63</v>
      </c>
      <c r="L10" s="408">
        <f t="shared" si="5"/>
        <v>13100.78</v>
      </c>
      <c r="M10" s="408">
        <f t="shared" si="5"/>
        <v>12987.85</v>
      </c>
      <c r="N10" s="408">
        <f t="shared" si="5"/>
        <v>13106.2</v>
      </c>
      <c r="O10" s="408">
        <f t="shared" si="5"/>
        <v>13719.85</v>
      </c>
      <c r="P10" s="408">
        <f t="shared" si="5"/>
        <v>14341.215190999999</v>
      </c>
      <c r="Q10" s="408">
        <f t="shared" si="5"/>
        <v>14903.005031999999</v>
      </c>
      <c r="R10" s="408">
        <f t="shared" si="5"/>
        <v>15756.199882999999</v>
      </c>
      <c r="S10" s="408">
        <f>SUM(S3:S9)</f>
        <v>15117.901507999999</v>
      </c>
      <c r="T10" s="408">
        <f>SUM(T3:T9)</f>
        <v>18528.888134224984</v>
      </c>
      <c r="U10" s="408">
        <f>SUM(U3:U9)</f>
        <v>20481.451489200459</v>
      </c>
      <c r="V10" s="408">
        <f>SUM(V3:V9)</f>
        <v>22407.921153183353</v>
      </c>
      <c r="W10" s="409">
        <f>SUM(W3:W9)</f>
        <v>23122.296684000001</v>
      </c>
    </row>
    <row r="11" spans="1:23">
      <c r="B11" s="404"/>
      <c r="C11" s="404"/>
      <c r="D11" s="404"/>
      <c r="E11" s="404"/>
      <c r="F11" s="404"/>
      <c r="G11" s="404"/>
      <c r="H11" s="404"/>
      <c r="I11" s="405"/>
      <c r="J11" s="405"/>
      <c r="K11" s="405"/>
      <c r="L11" s="405"/>
      <c r="M11" s="405"/>
      <c r="N11" s="405"/>
      <c r="O11" s="405"/>
      <c r="P11" s="405"/>
      <c r="Q11" s="405"/>
      <c r="R11" s="405"/>
      <c r="S11" s="405"/>
      <c r="T11" s="405"/>
      <c r="V11" s="410"/>
    </row>
    <row r="12" spans="1:23">
      <c r="A12" s="399" t="s">
        <v>637</v>
      </c>
      <c r="C12" s="410"/>
      <c r="D12" s="410"/>
      <c r="E12" s="410"/>
      <c r="F12" s="410"/>
      <c r="G12" s="410"/>
      <c r="H12" s="410"/>
      <c r="I12" s="410"/>
      <c r="J12" s="410"/>
      <c r="K12" s="410" t="s">
        <v>917</v>
      </c>
      <c r="L12" s="410"/>
      <c r="M12" s="410"/>
      <c r="N12" s="410"/>
      <c r="O12" s="410"/>
      <c r="P12" s="410"/>
      <c r="Q12" s="411"/>
      <c r="R12" s="411"/>
      <c r="S12" s="411"/>
      <c r="T12" s="411"/>
      <c r="U12" s="411"/>
      <c r="V12" s="400"/>
      <c r="W12"/>
    </row>
    <row r="13" spans="1:23">
      <c r="A13" s="399" t="s">
        <v>638</v>
      </c>
      <c r="B13" s="387"/>
      <c r="C13" s="412"/>
      <c r="D13" s="412"/>
      <c r="E13" s="412"/>
      <c r="F13" s="413"/>
      <c r="G13" s="414"/>
      <c r="H13" s="415"/>
      <c r="I13" s="410"/>
      <c r="J13" s="410"/>
      <c r="K13" s="410"/>
      <c r="L13" s="410"/>
      <c r="M13" s="410"/>
      <c r="N13" s="410"/>
      <c r="O13" s="410"/>
      <c r="P13" s="410"/>
      <c r="Q13" s="416"/>
      <c r="R13" s="416"/>
      <c r="S13" s="416"/>
      <c r="T13" s="417"/>
      <c r="U13" s="416"/>
      <c r="V13" s="400"/>
      <c r="W13"/>
    </row>
    <row r="14" spans="1:23">
      <c r="A14" s="399" t="s">
        <v>639</v>
      </c>
      <c r="B14" s="418"/>
      <c r="C14" s="418">
        <v>2004</v>
      </c>
      <c r="D14" s="418">
        <v>2005</v>
      </c>
      <c r="E14" s="418">
        <v>2006</v>
      </c>
      <c r="F14" s="418">
        <v>2007</v>
      </c>
      <c r="G14" s="418">
        <v>2008</v>
      </c>
      <c r="H14" s="418">
        <v>2009</v>
      </c>
      <c r="I14" s="418">
        <v>2010</v>
      </c>
      <c r="J14" s="418">
        <v>2011</v>
      </c>
      <c r="K14" s="418">
        <v>2012</v>
      </c>
      <c r="L14" s="418">
        <v>2013</v>
      </c>
      <c r="M14" s="418">
        <v>2014</v>
      </c>
      <c r="N14" s="418">
        <v>2015</v>
      </c>
      <c r="O14" s="418">
        <v>2016</v>
      </c>
      <c r="P14" s="418">
        <v>2017</v>
      </c>
      <c r="Q14" s="418">
        <v>2018</v>
      </c>
      <c r="R14" s="418">
        <v>2019</v>
      </c>
      <c r="S14" s="418">
        <v>2020</v>
      </c>
      <c r="T14" s="418">
        <v>2021</v>
      </c>
      <c r="U14" s="418">
        <v>2022</v>
      </c>
      <c r="V14" s="418">
        <v>2023</v>
      </c>
      <c r="W14" s="400">
        <v>2024</v>
      </c>
    </row>
    <row r="15" spans="1:23">
      <c r="A15" s="399" t="s">
        <v>640</v>
      </c>
      <c r="B15" s="418"/>
      <c r="C15" s="415"/>
      <c r="D15" s="415"/>
      <c r="E15" s="415"/>
      <c r="F15" s="415"/>
      <c r="G15" s="415"/>
      <c r="H15" s="415"/>
      <c r="I15" s="415"/>
      <c r="J15" s="415"/>
      <c r="K15" s="415"/>
      <c r="L15" s="415"/>
      <c r="M15" s="415"/>
      <c r="N15" s="415"/>
      <c r="O15" s="415"/>
      <c r="P15" s="415"/>
      <c r="Q15" s="415"/>
      <c r="R15" s="415"/>
      <c r="S15" s="415"/>
      <c r="T15" s="418"/>
      <c r="U15" s="404"/>
      <c r="V15" s="418"/>
    </row>
    <row r="16" spans="1:23">
      <c r="A16" s="399" t="s">
        <v>641</v>
      </c>
      <c r="B16" s="418" t="s">
        <v>67</v>
      </c>
      <c r="C16" s="404">
        <f>SUM(C17:C19)</f>
        <v>2963.71</v>
      </c>
      <c r="D16" s="404">
        <f t="shared" ref="D16:T16" si="6">SUM(D17:D19)</f>
        <v>3013.8199999999997</v>
      </c>
      <c r="E16" s="404">
        <f t="shared" si="6"/>
        <v>3241.25</v>
      </c>
      <c r="F16" s="404">
        <f t="shared" si="6"/>
        <v>3298.71</v>
      </c>
      <c r="G16" s="404">
        <f t="shared" si="6"/>
        <v>3393.31</v>
      </c>
      <c r="H16" s="404">
        <f t="shared" si="6"/>
        <v>3103.63</v>
      </c>
      <c r="I16" s="404">
        <f t="shared" si="6"/>
        <v>3620.66</v>
      </c>
      <c r="J16" s="404">
        <f t="shared" si="6"/>
        <v>3763.26</v>
      </c>
      <c r="K16" s="404">
        <f t="shared" si="6"/>
        <v>3659.63</v>
      </c>
      <c r="L16" s="404">
        <f t="shared" si="6"/>
        <v>3589.18</v>
      </c>
      <c r="M16" s="404">
        <f t="shared" si="6"/>
        <v>3518.4</v>
      </c>
      <c r="N16" s="404">
        <f t="shared" si="6"/>
        <v>3326.8</v>
      </c>
      <c r="O16" s="404">
        <f t="shared" si="6"/>
        <v>3279</v>
      </c>
      <c r="P16" s="404">
        <f t="shared" si="6"/>
        <v>2995.0242749999998</v>
      </c>
      <c r="Q16" s="404">
        <f t="shared" si="6"/>
        <v>2917.898412</v>
      </c>
      <c r="R16" s="404">
        <f t="shared" si="6"/>
        <v>2918.085466</v>
      </c>
      <c r="S16" s="404">
        <f t="shared" si="6"/>
        <v>2473.6878350000002</v>
      </c>
      <c r="T16" s="404">
        <f t="shared" si="6"/>
        <v>2777.7795230000006</v>
      </c>
      <c r="U16" s="404">
        <f>SUM(U17:U19)</f>
        <v>2984.4500000000003</v>
      </c>
      <c r="V16" s="404">
        <f>SUM(V17:V19)</f>
        <v>2660.902</v>
      </c>
      <c r="W16" s="406">
        <f>SUM(W17:W19)</f>
        <v>2769.27</v>
      </c>
    </row>
    <row r="17" spans="1:23">
      <c r="B17" s="399" t="s">
        <v>642</v>
      </c>
      <c r="C17" s="415">
        <v>2237.41</v>
      </c>
      <c r="D17" s="415">
        <v>2226.1799999999998</v>
      </c>
      <c r="E17" s="415">
        <v>2335.38</v>
      </c>
      <c r="F17" s="415">
        <v>2326</v>
      </c>
      <c r="G17" s="415">
        <v>2344.5</v>
      </c>
      <c r="H17" s="415">
        <v>2083.5100000000002</v>
      </c>
      <c r="I17" s="410">
        <v>2491.4</v>
      </c>
      <c r="J17" s="410">
        <v>2530.6</v>
      </c>
      <c r="K17" s="410">
        <v>2426.4</v>
      </c>
      <c r="L17" s="410">
        <v>2322.6</v>
      </c>
      <c r="M17" s="410">
        <v>2294.9</v>
      </c>
      <c r="N17" s="410">
        <v>2091.5</v>
      </c>
      <c r="O17" s="410">
        <v>1931</v>
      </c>
      <c r="P17" s="410">
        <v>1652.6151910000001</v>
      </c>
      <c r="Q17" s="410">
        <v>1634.6550319999999</v>
      </c>
      <c r="R17" s="410">
        <v>1607.1398830000001</v>
      </c>
      <c r="S17" s="410">
        <v>1381.4315079999999</v>
      </c>
      <c r="T17" s="405">
        <v>1516.9285460000001</v>
      </c>
      <c r="U17" s="405">
        <v>1624.13</v>
      </c>
      <c r="V17" s="405">
        <v>1456.79</v>
      </c>
      <c r="W17" s="406">
        <f>270+1270</f>
        <v>1540</v>
      </c>
    </row>
    <row r="18" spans="1:23">
      <c r="A18"/>
      <c r="B18" s="207" t="s">
        <v>643</v>
      </c>
      <c r="C18" s="16">
        <v>708.42</v>
      </c>
      <c r="D18" s="208">
        <v>768.58</v>
      </c>
      <c r="E18" s="208">
        <v>882.37</v>
      </c>
      <c r="F18" s="137">
        <v>948.4</v>
      </c>
      <c r="G18" s="137">
        <v>1026.94</v>
      </c>
      <c r="H18" s="137">
        <v>1001.35</v>
      </c>
      <c r="I18" s="16">
        <v>1112.8</v>
      </c>
      <c r="J18" s="16">
        <v>1232.6600000000001</v>
      </c>
      <c r="K18" s="16">
        <v>1233.23</v>
      </c>
      <c r="L18" s="16">
        <v>1266.58</v>
      </c>
      <c r="M18" s="16">
        <v>1223.5</v>
      </c>
      <c r="N18" s="16">
        <v>1235.3</v>
      </c>
      <c r="O18" s="16">
        <v>1348</v>
      </c>
      <c r="P18" s="16">
        <v>1329</v>
      </c>
      <c r="Q18" s="16">
        <v>1269.3</v>
      </c>
      <c r="R18" s="16">
        <v>1297.26</v>
      </c>
      <c r="S18" s="16">
        <v>1080.02</v>
      </c>
      <c r="T18" s="15">
        <v>1249.68</v>
      </c>
      <c r="U18">
        <v>1349.72</v>
      </c>
      <c r="V18">
        <v>1196.17</v>
      </c>
      <c r="W18" s="15">
        <v>1229.27</v>
      </c>
    </row>
    <row r="19" spans="1:23">
      <c r="B19" s="399" t="s">
        <v>644</v>
      </c>
      <c r="C19" s="410">
        <v>17.88</v>
      </c>
      <c r="D19" s="410">
        <v>19.059999999999999</v>
      </c>
      <c r="E19" s="410">
        <v>23.5</v>
      </c>
      <c r="F19" s="415">
        <v>24.31</v>
      </c>
      <c r="G19" s="415">
        <v>21.87</v>
      </c>
      <c r="H19" s="415">
        <v>18.77</v>
      </c>
      <c r="I19" s="410">
        <v>16.46</v>
      </c>
      <c r="J19" s="410"/>
      <c r="K19" s="410"/>
      <c r="L19" s="410"/>
      <c r="M19" s="410"/>
      <c r="N19" s="410"/>
      <c r="O19" s="410"/>
      <c r="P19" s="410">
        <v>13.409084</v>
      </c>
      <c r="Q19" s="410">
        <v>13.943379999999999</v>
      </c>
      <c r="R19" s="410">
        <v>13.685582999999999</v>
      </c>
      <c r="S19" s="410">
        <v>12.236326999999999</v>
      </c>
      <c r="T19" s="405">
        <v>11.170977000000001</v>
      </c>
      <c r="U19" s="399">
        <v>10.6</v>
      </c>
      <c r="V19" s="399">
        <v>7.9420000000000002</v>
      </c>
    </row>
    <row r="20" spans="1:23">
      <c r="B20" s="399" t="s">
        <v>610</v>
      </c>
      <c r="C20" s="410"/>
      <c r="D20" s="415"/>
      <c r="E20" s="415"/>
      <c r="F20" s="415"/>
      <c r="G20" s="415"/>
      <c r="H20" s="415"/>
      <c r="I20" s="410"/>
      <c r="J20" s="410">
        <v>106.54</v>
      </c>
      <c r="K20" s="410">
        <v>121</v>
      </c>
      <c r="L20" s="410">
        <v>123</v>
      </c>
      <c r="M20" s="410">
        <v>124</v>
      </c>
      <c r="N20" s="410">
        <v>125</v>
      </c>
      <c r="O20" s="410">
        <v>135.01647046104</v>
      </c>
      <c r="P20" s="410">
        <v>159</v>
      </c>
      <c r="Q20" s="410">
        <v>187</v>
      </c>
      <c r="R20" s="410">
        <v>188</v>
      </c>
      <c r="S20" s="410">
        <v>199</v>
      </c>
      <c r="T20" s="399">
        <v>230</v>
      </c>
      <c r="U20" s="405">
        <v>265.39999999999998</v>
      </c>
      <c r="V20" s="405">
        <f>U20+(U20*0.1154)</f>
        <v>296.02715999999998</v>
      </c>
      <c r="W20" s="406">
        <f>W16*W21</f>
        <v>305.06489936785732</v>
      </c>
    </row>
    <row r="21" spans="1:23">
      <c r="C21" s="410"/>
      <c r="D21" s="410"/>
      <c r="E21" s="410"/>
      <c r="F21" s="415"/>
      <c r="G21" s="415"/>
      <c r="H21" s="415"/>
      <c r="I21" s="410"/>
      <c r="J21" s="419">
        <f t="shared" ref="J21:U21" si="7">J20/J16</f>
        <v>2.8310560524651498E-2</v>
      </c>
      <c r="K21" s="419">
        <f t="shared" si="7"/>
        <v>3.3063451769714425E-2</v>
      </c>
      <c r="L21" s="419">
        <f t="shared" si="7"/>
        <v>3.4269666051855857E-2</v>
      </c>
      <c r="M21" s="419">
        <f t="shared" si="7"/>
        <v>3.5243292405638928E-2</v>
      </c>
      <c r="N21" s="419">
        <f t="shared" si="7"/>
        <v>3.7573644342912105E-2</v>
      </c>
      <c r="O21" s="419">
        <f t="shared" si="7"/>
        <v>4.1176111760000002E-2</v>
      </c>
      <c r="P21" s="419">
        <f t="shared" si="7"/>
        <v>5.3088050513380232E-2</v>
      </c>
      <c r="Q21" s="419">
        <f t="shared" si="7"/>
        <v>6.4087220867921013E-2</v>
      </c>
      <c r="R21" s="419">
        <f t="shared" si="7"/>
        <v>6.4425803216004912E-2</v>
      </c>
      <c r="S21" s="419">
        <f t="shared" si="7"/>
        <v>8.0446690639120189E-2</v>
      </c>
      <c r="T21" s="419">
        <f t="shared" si="7"/>
        <v>8.2799947978448668E-2</v>
      </c>
      <c r="U21" s="419">
        <f t="shared" si="7"/>
        <v>8.892760810199532E-2</v>
      </c>
      <c r="V21" s="419">
        <v>9.8976427817520793E-2</v>
      </c>
      <c r="W21" s="420">
        <v>0.11016076416090065</v>
      </c>
    </row>
    <row r="22" spans="1:23">
      <c r="A22" s="402"/>
      <c r="C22" s="410"/>
      <c r="D22" s="410"/>
      <c r="E22" s="410"/>
      <c r="F22" s="410"/>
      <c r="G22" s="410"/>
      <c r="H22" s="410"/>
      <c r="I22" s="410"/>
      <c r="J22" s="410"/>
      <c r="K22" s="410"/>
      <c r="L22" s="410"/>
      <c r="M22" s="410"/>
      <c r="N22" s="410"/>
      <c r="O22" s="410"/>
      <c r="P22" s="410"/>
      <c r="Q22" s="410"/>
      <c r="R22" s="410"/>
      <c r="S22" s="410"/>
      <c r="T22" s="410"/>
    </row>
    <row r="23" spans="1:23">
      <c r="A23" s="402" t="s">
        <v>645</v>
      </c>
      <c r="B23" s="399" t="s">
        <v>67</v>
      </c>
      <c r="C23" s="410">
        <v>2610.83</v>
      </c>
      <c r="D23" s="410">
        <v>2659.3100000000004</v>
      </c>
      <c r="E23" s="410">
        <v>2745.08</v>
      </c>
      <c r="F23" s="410">
        <v>2721.53</v>
      </c>
      <c r="G23" s="410">
        <v>2669.93</v>
      </c>
      <c r="H23" s="410">
        <v>2216</v>
      </c>
      <c r="I23" s="410">
        <v>2316</v>
      </c>
      <c r="J23" s="410">
        <v>2216</v>
      </c>
      <c r="K23" s="410">
        <v>2261</v>
      </c>
      <c r="L23" s="410">
        <v>1908</v>
      </c>
      <c r="M23" s="410">
        <v>1678</v>
      </c>
      <c r="N23" s="410">
        <v>1423</v>
      </c>
      <c r="O23" s="410">
        <v>1258</v>
      </c>
      <c r="P23" s="410">
        <v>1058</v>
      </c>
      <c r="Q23" s="421">
        <v>967.9</v>
      </c>
      <c r="R23" s="399">
        <v>777</v>
      </c>
      <c r="S23" s="399">
        <v>566.79999999999995</v>
      </c>
      <c r="T23" s="405">
        <v>566.1</v>
      </c>
      <c r="U23" s="399">
        <v>565.29999999999995</v>
      </c>
      <c r="V23" s="399">
        <v>552.17286044712694</v>
      </c>
      <c r="W23" s="400">
        <v>526.5282462727115</v>
      </c>
    </row>
    <row r="24" spans="1:23">
      <c r="A24" s="402"/>
      <c r="B24" s="399" t="s">
        <v>646</v>
      </c>
      <c r="C24" s="422">
        <v>599.21</v>
      </c>
      <c r="D24" s="422">
        <v>610.33000000000004</v>
      </c>
      <c r="E24" s="422">
        <v>604.67999999999995</v>
      </c>
      <c r="F24" s="422">
        <v>590.19000000000005</v>
      </c>
      <c r="G24" s="422">
        <v>571.29999999999995</v>
      </c>
      <c r="H24" s="422">
        <v>406</v>
      </c>
      <c r="I24" s="422">
        <v>736</v>
      </c>
      <c r="J24" s="422">
        <v>709</v>
      </c>
      <c r="K24" s="422">
        <v>804</v>
      </c>
      <c r="L24" s="422">
        <v>664</v>
      </c>
      <c r="M24" s="422">
        <v>548</v>
      </c>
      <c r="N24" s="422">
        <v>401</v>
      </c>
      <c r="O24" s="422">
        <v>332</v>
      </c>
      <c r="P24" s="422">
        <v>217</v>
      </c>
      <c r="Q24" s="422"/>
      <c r="R24" s="422"/>
      <c r="S24" s="422"/>
      <c r="T24" s="402"/>
      <c r="U24" s="402"/>
      <c r="V24" s="402"/>
    </row>
    <row r="25" spans="1:23">
      <c r="A25" s="423"/>
      <c r="B25" s="399" t="s">
        <v>647</v>
      </c>
      <c r="C25" s="410">
        <v>1152.32</v>
      </c>
      <c r="D25" s="410">
        <v>1173.72</v>
      </c>
      <c r="E25" s="410">
        <v>1162.8499999999999</v>
      </c>
      <c r="F25" s="410">
        <v>1134.97</v>
      </c>
      <c r="G25" s="410">
        <v>1098.6500000000001</v>
      </c>
      <c r="H25" s="410">
        <v>974</v>
      </c>
      <c r="I25" s="410">
        <v>631</v>
      </c>
      <c r="J25" s="410">
        <v>709</v>
      </c>
      <c r="K25" s="410">
        <v>719</v>
      </c>
      <c r="L25" s="410">
        <v>592</v>
      </c>
      <c r="M25" s="410">
        <v>551</v>
      </c>
      <c r="N25" s="410">
        <v>506</v>
      </c>
      <c r="O25" s="410">
        <v>428</v>
      </c>
      <c r="P25" s="410">
        <v>349</v>
      </c>
      <c r="Q25" s="410"/>
      <c r="R25" s="410"/>
      <c r="S25" s="410"/>
    </row>
    <row r="26" spans="1:23">
      <c r="B26" s="399" t="s">
        <v>446</v>
      </c>
      <c r="C26" s="410">
        <v>859.3</v>
      </c>
      <c r="D26" s="410">
        <v>875.26</v>
      </c>
      <c r="E26" s="410">
        <v>867.15</v>
      </c>
      <c r="F26" s="410">
        <v>846.37</v>
      </c>
      <c r="G26" s="410">
        <v>819.28</v>
      </c>
      <c r="H26" s="410">
        <v>650</v>
      </c>
      <c r="I26" s="410">
        <v>462</v>
      </c>
      <c r="J26" s="410">
        <v>335</v>
      </c>
      <c r="K26" s="410">
        <v>289</v>
      </c>
      <c r="L26" s="410">
        <v>249</v>
      </c>
      <c r="M26" s="410">
        <v>178</v>
      </c>
      <c r="N26" s="410">
        <v>119</v>
      </c>
      <c r="O26" s="410">
        <v>105</v>
      </c>
      <c r="P26" s="410">
        <v>86</v>
      </c>
      <c r="Q26" s="410"/>
      <c r="R26" s="410"/>
      <c r="S26" s="410"/>
    </row>
    <row r="27" spans="1:23">
      <c r="B27" s="399" t="s">
        <v>648</v>
      </c>
      <c r="C27" s="410"/>
      <c r="D27" s="410"/>
      <c r="E27" s="410"/>
      <c r="F27" s="410"/>
      <c r="G27" s="422"/>
      <c r="H27" s="410"/>
      <c r="I27" s="410">
        <v>273</v>
      </c>
      <c r="J27" s="410">
        <v>217</v>
      </c>
      <c r="K27" s="410">
        <v>207</v>
      </c>
      <c r="L27" s="410">
        <v>173</v>
      </c>
      <c r="M27" s="410">
        <v>160</v>
      </c>
      <c r="N27" s="410">
        <v>155</v>
      </c>
      <c r="O27" s="410">
        <v>157</v>
      </c>
      <c r="P27" s="410">
        <v>150</v>
      </c>
      <c r="Q27" s="410"/>
      <c r="R27" s="410"/>
      <c r="S27" s="410"/>
      <c r="V27" s="424"/>
    </row>
    <row r="28" spans="1:23">
      <c r="B28" s="399" t="s">
        <v>649</v>
      </c>
      <c r="C28" s="410"/>
      <c r="D28" s="410"/>
      <c r="E28" s="410">
        <v>110.4</v>
      </c>
      <c r="F28" s="410">
        <v>150</v>
      </c>
      <c r="G28" s="410">
        <v>180.7</v>
      </c>
      <c r="H28" s="410">
        <v>186</v>
      </c>
      <c r="I28" s="410">
        <v>214</v>
      </c>
      <c r="J28" s="410">
        <v>246</v>
      </c>
      <c r="K28" s="410">
        <v>242</v>
      </c>
      <c r="L28" s="410">
        <v>230</v>
      </c>
      <c r="M28" s="410">
        <v>241</v>
      </c>
      <c r="N28" s="410">
        <v>242</v>
      </c>
      <c r="O28" s="410">
        <v>236</v>
      </c>
      <c r="P28" s="410">
        <v>256</v>
      </c>
      <c r="Q28" s="410">
        <v>267</v>
      </c>
      <c r="R28" s="410">
        <v>219</v>
      </c>
      <c r="S28" s="410">
        <v>199</v>
      </c>
      <c r="T28" s="399">
        <v>230</v>
      </c>
      <c r="U28" s="398">
        <v>265.39999999999998</v>
      </c>
      <c r="V28" s="410">
        <v>306.24852173913041</v>
      </c>
      <c r="W28" s="400">
        <v>329.67310993090803</v>
      </c>
    </row>
    <row r="29" spans="1:23">
      <c r="C29" s="410"/>
      <c r="D29" s="410"/>
      <c r="E29" s="410">
        <f t="shared" ref="E29:W29" si="8">E28/E23</f>
        <v>4.021740714296123E-2</v>
      </c>
      <c r="F29" s="410">
        <f t="shared" si="8"/>
        <v>5.5116056042005777E-2</v>
      </c>
      <c r="G29" s="410">
        <f t="shared" si="8"/>
        <v>6.7679676995277036E-2</v>
      </c>
      <c r="H29" s="410">
        <f t="shared" si="8"/>
        <v>8.3935018050541516E-2</v>
      </c>
      <c r="I29" s="410">
        <f t="shared" si="8"/>
        <v>9.2400690846286701E-2</v>
      </c>
      <c r="J29" s="410">
        <f t="shared" si="8"/>
        <v>0.11101083032490974</v>
      </c>
      <c r="K29" s="410">
        <f t="shared" si="8"/>
        <v>0.10703228659885007</v>
      </c>
      <c r="L29" s="410">
        <f t="shared" si="8"/>
        <v>0.12054507337526206</v>
      </c>
      <c r="M29" s="410">
        <f t="shared" si="8"/>
        <v>0.14362336114421931</v>
      </c>
      <c r="N29" s="410">
        <f t="shared" si="8"/>
        <v>0.17006324666198172</v>
      </c>
      <c r="O29" s="410">
        <f t="shared" si="8"/>
        <v>0.18759936406995231</v>
      </c>
      <c r="P29" s="410">
        <f t="shared" si="8"/>
        <v>0.24196597353497165</v>
      </c>
      <c r="Q29" s="410">
        <f t="shared" si="8"/>
        <v>0.27585494369253022</v>
      </c>
      <c r="R29" s="410">
        <f t="shared" si="8"/>
        <v>0.28185328185328185</v>
      </c>
      <c r="S29" s="425">
        <f t="shared" si="8"/>
        <v>0.35109386026817224</v>
      </c>
      <c r="T29" s="425">
        <f t="shared" si="8"/>
        <v>0.40628864158275924</v>
      </c>
      <c r="U29" s="425">
        <f t="shared" si="8"/>
        <v>0.46948522908190343</v>
      </c>
      <c r="V29" s="425">
        <f t="shared" si="8"/>
        <v>0.55462436435420404</v>
      </c>
      <c r="W29" s="426">
        <f t="shared" si="8"/>
        <v>0.62612616182448111</v>
      </c>
    </row>
    <row r="30" spans="1:23">
      <c r="C30" s="410"/>
      <c r="D30" s="410"/>
    </row>
    <row r="31" spans="1:23">
      <c r="A31" s="399" t="s">
        <v>650</v>
      </c>
      <c r="B31" s="399" t="s">
        <v>67</v>
      </c>
      <c r="C31" s="410">
        <v>961.31</v>
      </c>
      <c r="D31" s="410">
        <v>1016.2</v>
      </c>
      <c r="E31" s="410">
        <v>1094.4000000000001</v>
      </c>
      <c r="F31" s="410">
        <v>1153.8</v>
      </c>
      <c r="G31" s="410">
        <v>1210.5</v>
      </c>
      <c r="H31" s="410">
        <v>1213</v>
      </c>
      <c r="I31" s="410">
        <v>1175</v>
      </c>
      <c r="J31" s="410">
        <v>1211</v>
      </c>
      <c r="K31" s="410">
        <v>1288</v>
      </c>
      <c r="L31" s="410">
        <v>1027</v>
      </c>
      <c r="M31" s="410">
        <v>968</v>
      </c>
      <c r="N31" s="410">
        <v>881</v>
      </c>
      <c r="O31" s="410">
        <v>872</v>
      </c>
      <c r="P31" s="410">
        <v>777</v>
      </c>
      <c r="Q31" s="421">
        <v>688</v>
      </c>
      <c r="R31" s="421">
        <v>631</v>
      </c>
      <c r="S31" s="410">
        <v>412</v>
      </c>
      <c r="T31" s="421">
        <v>401</v>
      </c>
      <c r="U31" s="399">
        <v>385.7</v>
      </c>
      <c r="V31" s="405">
        <v>373.38942961165048</v>
      </c>
      <c r="W31" s="400">
        <v>378.25599</v>
      </c>
    </row>
    <row r="32" spans="1:23">
      <c r="B32" s="399" t="s">
        <v>646</v>
      </c>
      <c r="C32" s="410"/>
      <c r="D32" s="410"/>
      <c r="E32" s="410"/>
      <c r="F32" s="410"/>
      <c r="G32" s="410"/>
      <c r="H32" s="410" t="s">
        <v>651</v>
      </c>
      <c r="I32" s="410">
        <v>292</v>
      </c>
      <c r="J32" s="410">
        <v>131</v>
      </c>
      <c r="K32" s="410">
        <v>123</v>
      </c>
      <c r="L32" s="410">
        <v>107</v>
      </c>
      <c r="M32" s="410">
        <v>110</v>
      </c>
      <c r="N32" s="410">
        <v>101</v>
      </c>
      <c r="O32" s="410">
        <v>75</v>
      </c>
      <c r="P32" s="410">
        <v>57</v>
      </c>
      <c r="Q32" s="410">
        <v>54</v>
      </c>
      <c r="R32" s="410">
        <v>49</v>
      </c>
      <c r="S32" s="410">
        <v>34</v>
      </c>
      <c r="T32" s="399">
        <v>38</v>
      </c>
    </row>
    <row r="33" spans="1:23">
      <c r="B33" s="399" t="s">
        <v>647</v>
      </c>
      <c r="C33" s="410"/>
      <c r="D33" s="410"/>
      <c r="E33" s="410"/>
      <c r="F33" s="410"/>
      <c r="G33" s="410"/>
      <c r="H33" s="410" t="s">
        <v>651</v>
      </c>
      <c r="I33" s="410">
        <v>741</v>
      </c>
      <c r="J33" s="410">
        <v>705</v>
      </c>
      <c r="K33" s="410">
        <v>798</v>
      </c>
      <c r="L33" s="410">
        <v>602</v>
      </c>
      <c r="M33" s="410">
        <v>552</v>
      </c>
      <c r="N33" s="410">
        <v>484</v>
      </c>
      <c r="O33" s="410">
        <v>507</v>
      </c>
      <c r="P33" s="410">
        <v>440</v>
      </c>
      <c r="Q33" s="410">
        <v>363</v>
      </c>
      <c r="R33" s="410">
        <v>322</v>
      </c>
      <c r="S33" s="410">
        <v>198</v>
      </c>
      <c r="T33" s="399">
        <v>199</v>
      </c>
    </row>
    <row r="34" spans="1:23">
      <c r="B34" s="399" t="s">
        <v>446</v>
      </c>
      <c r="C34" s="410"/>
      <c r="D34" s="410"/>
      <c r="E34" s="410"/>
      <c r="F34" s="410"/>
      <c r="G34" s="410"/>
      <c r="H34" s="410" t="s">
        <v>651</v>
      </c>
      <c r="I34" s="410">
        <v>110</v>
      </c>
      <c r="J34" s="410">
        <v>113</v>
      </c>
      <c r="K34" s="410">
        <v>106</v>
      </c>
      <c r="L34" s="410">
        <v>83</v>
      </c>
      <c r="M34" s="410">
        <v>74</v>
      </c>
      <c r="N34" s="410">
        <v>68</v>
      </c>
      <c r="O34" s="410">
        <v>65</v>
      </c>
      <c r="P34" s="410">
        <v>58</v>
      </c>
      <c r="Q34" s="410">
        <v>47</v>
      </c>
      <c r="R34" s="410">
        <v>41</v>
      </c>
      <c r="S34" s="410">
        <v>26</v>
      </c>
      <c r="T34" s="399">
        <v>27</v>
      </c>
    </row>
    <row r="35" spans="1:23">
      <c r="B35" s="399" t="s">
        <v>648</v>
      </c>
      <c r="C35" s="410"/>
      <c r="D35" s="410"/>
      <c r="E35" s="410"/>
      <c r="F35" s="410"/>
      <c r="G35" s="410"/>
      <c r="H35" s="410" t="s">
        <v>651</v>
      </c>
      <c r="I35" s="410" t="s">
        <v>651</v>
      </c>
      <c r="J35" s="410">
        <v>219</v>
      </c>
      <c r="K35" s="410">
        <v>226</v>
      </c>
      <c r="L35" s="410">
        <v>204</v>
      </c>
      <c r="M35" s="410">
        <v>199</v>
      </c>
      <c r="N35" s="410">
        <v>188</v>
      </c>
      <c r="O35" s="410">
        <v>186</v>
      </c>
      <c r="P35" s="410">
        <v>177</v>
      </c>
      <c r="Q35" s="410">
        <v>166</v>
      </c>
      <c r="R35" s="410">
        <v>163</v>
      </c>
      <c r="S35" s="410">
        <v>108</v>
      </c>
      <c r="T35" s="399">
        <v>92</v>
      </c>
      <c r="U35" s="418"/>
    </row>
    <row r="36" spans="1:23">
      <c r="B36" s="399" t="s">
        <v>649</v>
      </c>
      <c r="C36" s="410"/>
      <c r="D36" s="410"/>
      <c r="E36" s="410"/>
      <c r="F36" s="410"/>
      <c r="G36" s="410"/>
      <c r="H36" s="410">
        <v>27</v>
      </c>
      <c r="I36" s="410">
        <v>32</v>
      </c>
      <c r="J36" s="410">
        <v>44</v>
      </c>
      <c r="K36" s="410">
        <v>35</v>
      </c>
      <c r="L36" s="410">
        <v>31</v>
      </c>
      <c r="M36" s="410">
        <v>33</v>
      </c>
      <c r="N36" s="410">
        <v>40</v>
      </c>
      <c r="O36" s="410">
        <v>39</v>
      </c>
      <c r="P36" s="410">
        <v>45</v>
      </c>
      <c r="Q36" s="410">
        <v>58</v>
      </c>
      <c r="R36" s="410">
        <v>56</v>
      </c>
      <c r="S36" s="410">
        <v>46</v>
      </c>
      <c r="T36" s="399">
        <v>45</v>
      </c>
      <c r="U36" s="418">
        <v>72</v>
      </c>
      <c r="V36" s="404">
        <v>72</v>
      </c>
      <c r="W36" s="400">
        <v>72</v>
      </c>
    </row>
    <row r="37" spans="1:23">
      <c r="A37" s="399" t="s">
        <v>918</v>
      </c>
      <c r="C37" s="410"/>
      <c r="D37" s="410"/>
      <c r="E37" s="410">
        <f>E28+E36</f>
        <v>110.4</v>
      </c>
      <c r="F37" s="410">
        <f t="shared" ref="F37:W37" si="9">F28+F36</f>
        <v>150</v>
      </c>
      <c r="G37" s="410">
        <f t="shared" si="9"/>
        <v>180.7</v>
      </c>
      <c r="H37" s="410">
        <f t="shared" si="9"/>
        <v>213</v>
      </c>
      <c r="I37" s="410">
        <f t="shared" si="9"/>
        <v>246</v>
      </c>
      <c r="J37" s="410">
        <f t="shared" si="9"/>
        <v>290</v>
      </c>
      <c r="K37" s="410">
        <f t="shared" si="9"/>
        <v>277</v>
      </c>
      <c r="L37" s="410">
        <f t="shared" si="9"/>
        <v>261</v>
      </c>
      <c r="M37" s="410">
        <f t="shared" si="9"/>
        <v>274</v>
      </c>
      <c r="N37" s="410">
        <f t="shared" si="9"/>
        <v>282</v>
      </c>
      <c r="O37" s="410">
        <f t="shared" si="9"/>
        <v>275</v>
      </c>
      <c r="P37" s="410">
        <f t="shared" si="9"/>
        <v>301</v>
      </c>
      <c r="Q37" s="410">
        <f t="shared" si="9"/>
        <v>325</v>
      </c>
      <c r="R37" s="410">
        <f t="shared" si="9"/>
        <v>275</v>
      </c>
      <c r="S37" s="410">
        <f t="shared" si="9"/>
        <v>245</v>
      </c>
      <c r="T37" s="410">
        <f t="shared" si="9"/>
        <v>275</v>
      </c>
      <c r="U37" s="410">
        <f t="shared" si="9"/>
        <v>337.4</v>
      </c>
      <c r="V37" s="415">
        <f t="shared" si="9"/>
        <v>378.24852173913041</v>
      </c>
      <c r="W37" s="427">
        <f t="shared" si="9"/>
        <v>401.67310993090803</v>
      </c>
    </row>
    <row r="38" spans="1:23">
      <c r="C38" s="410"/>
      <c r="D38" s="410"/>
      <c r="E38" s="410"/>
      <c r="F38" s="410"/>
      <c r="G38" s="410"/>
      <c r="H38" s="410"/>
      <c r="I38" s="421"/>
      <c r="J38" s="421"/>
      <c r="K38" s="421"/>
      <c r="L38" s="421"/>
      <c r="M38" s="421"/>
      <c r="N38" s="421"/>
      <c r="O38" s="421"/>
      <c r="P38" s="421"/>
      <c r="Q38" s="421"/>
      <c r="R38" s="421"/>
      <c r="S38" s="421"/>
      <c r="T38" s="421"/>
      <c r="U38" s="428"/>
    </row>
    <row r="39" spans="1:23">
      <c r="A39" s="399" t="s">
        <v>652</v>
      </c>
      <c r="B39" s="399" t="s">
        <v>244</v>
      </c>
      <c r="C39" s="410">
        <f t="shared" ref="C39:V39" si="10">C23+C31</f>
        <v>3572.14</v>
      </c>
      <c r="D39" s="410">
        <f t="shared" si="10"/>
        <v>3675.51</v>
      </c>
      <c r="E39" s="410">
        <f t="shared" si="10"/>
        <v>3839.48</v>
      </c>
      <c r="F39" s="410">
        <f t="shared" si="10"/>
        <v>3875.33</v>
      </c>
      <c r="G39" s="410">
        <f t="shared" si="10"/>
        <v>3880.43</v>
      </c>
      <c r="H39" s="410">
        <f t="shared" si="10"/>
        <v>3429</v>
      </c>
      <c r="I39" s="410">
        <f t="shared" si="10"/>
        <v>3491</v>
      </c>
      <c r="J39" s="410">
        <f t="shared" si="10"/>
        <v>3427</v>
      </c>
      <c r="K39" s="410">
        <f t="shared" si="10"/>
        <v>3549</v>
      </c>
      <c r="L39" s="410">
        <f t="shared" si="10"/>
        <v>2935</v>
      </c>
      <c r="M39" s="410">
        <f t="shared" si="10"/>
        <v>2646</v>
      </c>
      <c r="N39" s="410">
        <f t="shared" si="10"/>
        <v>2304</v>
      </c>
      <c r="O39" s="410">
        <f t="shared" si="10"/>
        <v>2130</v>
      </c>
      <c r="P39" s="410">
        <f t="shared" si="10"/>
        <v>1835</v>
      </c>
      <c r="Q39" s="410">
        <f t="shared" si="10"/>
        <v>1655.9</v>
      </c>
      <c r="R39" s="410">
        <f t="shared" si="10"/>
        <v>1408</v>
      </c>
      <c r="S39" s="410">
        <f t="shared" si="10"/>
        <v>978.8</v>
      </c>
      <c r="T39" s="410">
        <f t="shared" si="10"/>
        <v>967.1</v>
      </c>
      <c r="U39" s="410">
        <f t="shared" si="10"/>
        <v>951</v>
      </c>
      <c r="V39" s="410">
        <f t="shared" si="10"/>
        <v>925.56229005877742</v>
      </c>
      <c r="W39" s="427">
        <f>W23+W31</f>
        <v>904.7842362727115</v>
      </c>
    </row>
    <row r="40" spans="1:23">
      <c r="C40" s="419">
        <f t="shared" ref="C40:U40" si="11">(C36+C28)/C39</f>
        <v>0</v>
      </c>
      <c r="D40" s="419">
        <f t="shared" si="11"/>
        <v>0</v>
      </c>
      <c r="E40" s="419">
        <f t="shared" si="11"/>
        <v>2.8753893756446186E-2</v>
      </c>
      <c r="F40" s="419">
        <f t="shared" si="11"/>
        <v>3.8706381133993752E-2</v>
      </c>
      <c r="G40" s="419">
        <f t="shared" si="11"/>
        <v>4.6567004172218027E-2</v>
      </c>
      <c r="H40" s="419">
        <f t="shared" si="11"/>
        <v>6.2117235345581799E-2</v>
      </c>
      <c r="I40" s="419">
        <f t="shared" si="11"/>
        <v>7.0466914924090518E-2</v>
      </c>
      <c r="J40" s="419">
        <f t="shared" si="11"/>
        <v>8.462211847096586E-2</v>
      </c>
      <c r="K40" s="419">
        <f t="shared" si="11"/>
        <v>7.8050154973231894E-2</v>
      </c>
      <c r="L40" s="419">
        <f t="shared" si="11"/>
        <v>8.8926746166950593E-2</v>
      </c>
      <c r="M40" s="419">
        <f t="shared" si="11"/>
        <v>0.10355253212396069</v>
      </c>
      <c r="N40" s="419">
        <f t="shared" si="11"/>
        <v>0.12239583333333333</v>
      </c>
      <c r="O40" s="419">
        <f t="shared" si="11"/>
        <v>0.12910798122065728</v>
      </c>
      <c r="P40" s="419">
        <f t="shared" si="11"/>
        <v>0.16403269754768393</v>
      </c>
      <c r="Q40" s="419">
        <f t="shared" si="11"/>
        <v>0.19626789057310223</v>
      </c>
      <c r="R40" s="419">
        <f t="shared" si="11"/>
        <v>0.1953125</v>
      </c>
      <c r="S40" s="419">
        <f t="shared" si="11"/>
        <v>0.25030649775234981</v>
      </c>
      <c r="T40" s="419">
        <f t="shared" si="11"/>
        <v>0.28435528900837553</v>
      </c>
      <c r="U40" s="429">
        <f t="shared" si="11"/>
        <v>0.35478443743427968</v>
      </c>
      <c r="V40" s="419">
        <f>(V36+V28)/V39</f>
        <v>0.4086688986811573</v>
      </c>
      <c r="W40" s="420">
        <f>(W36+W28)/W39</f>
        <v>0.44394353242228629</v>
      </c>
    </row>
    <row r="41" spans="1:23">
      <c r="C41" s="419"/>
      <c r="D41" s="419"/>
      <c r="E41" s="419"/>
      <c r="F41" s="419"/>
      <c r="G41" s="419"/>
      <c r="H41" s="419"/>
      <c r="I41" s="419"/>
      <c r="J41" s="419"/>
      <c r="K41" s="419"/>
      <c r="L41" s="419"/>
      <c r="M41" s="419"/>
      <c r="N41" s="419"/>
      <c r="O41" s="419"/>
      <c r="P41" s="419"/>
      <c r="Q41" s="430"/>
      <c r="R41" s="431"/>
      <c r="S41" s="419"/>
      <c r="T41" s="431"/>
      <c r="U41" s="420"/>
      <c r="V41" s="419"/>
      <c r="W41" s="420"/>
    </row>
    <row r="42" spans="1:23">
      <c r="A42" s="399" t="s">
        <v>245</v>
      </c>
      <c r="B42" s="399" t="s">
        <v>67</v>
      </c>
      <c r="C42" s="410">
        <v>1245.4000000000001</v>
      </c>
      <c r="D42" s="410">
        <v>1335</v>
      </c>
      <c r="E42" s="410">
        <v>1424.6</v>
      </c>
      <c r="F42" s="410">
        <v>1514.2</v>
      </c>
      <c r="G42" s="410">
        <v>1603.8</v>
      </c>
      <c r="H42" s="410">
        <v>1600.2</v>
      </c>
      <c r="I42" s="410">
        <v>1596.6</v>
      </c>
      <c r="J42" s="410">
        <v>1596.6</v>
      </c>
      <c r="K42" s="410">
        <v>1576.6</v>
      </c>
      <c r="L42" s="410">
        <v>1573.6</v>
      </c>
      <c r="M42" s="410">
        <v>1571.6</v>
      </c>
      <c r="N42" s="410">
        <v>1525.2</v>
      </c>
      <c r="O42" s="410">
        <v>1550.6</v>
      </c>
      <c r="P42" s="410">
        <v>1521.3</v>
      </c>
      <c r="Q42" s="410">
        <v>1513.1</v>
      </c>
      <c r="R42" s="410">
        <v>1453</v>
      </c>
      <c r="S42" s="410">
        <v>1149.4000000000001</v>
      </c>
      <c r="T42" s="410">
        <v>1069.94</v>
      </c>
      <c r="U42" s="399">
        <v>1108.22</v>
      </c>
      <c r="V42" s="399">
        <v>1103.79</v>
      </c>
      <c r="W42" s="400">
        <v>1093.57</v>
      </c>
    </row>
    <row r="43" spans="1:23">
      <c r="B43" s="399" t="s">
        <v>646</v>
      </c>
      <c r="C43" s="410">
        <v>271.48</v>
      </c>
      <c r="D43" s="410">
        <v>323.27999999999997</v>
      </c>
      <c r="E43" s="410">
        <v>352.1</v>
      </c>
      <c r="F43" s="410">
        <v>379.31</v>
      </c>
      <c r="G43" s="410">
        <v>408.4</v>
      </c>
      <c r="H43" s="410">
        <v>375.87</v>
      </c>
      <c r="I43" s="410">
        <v>409.07</v>
      </c>
      <c r="J43" s="410">
        <v>442.29</v>
      </c>
      <c r="K43" s="410">
        <v>453.91</v>
      </c>
      <c r="L43" s="410">
        <v>476.96</v>
      </c>
      <c r="M43" s="410"/>
      <c r="N43" s="410"/>
      <c r="O43" s="410"/>
      <c r="P43" s="410"/>
      <c r="Q43" s="410"/>
      <c r="R43" s="410"/>
      <c r="S43" s="410"/>
    </row>
    <row r="44" spans="1:23">
      <c r="B44" s="399" t="s">
        <v>647</v>
      </c>
      <c r="C44" s="410">
        <v>937.76</v>
      </c>
      <c r="D44" s="410">
        <v>992.97</v>
      </c>
      <c r="E44" s="410">
        <v>1038.71</v>
      </c>
      <c r="F44" s="410">
        <v>1088.67</v>
      </c>
      <c r="G44" s="410">
        <v>1149.3399999999999</v>
      </c>
      <c r="H44" s="410">
        <v>1093.68</v>
      </c>
      <c r="I44" s="410">
        <v>1108.23</v>
      </c>
      <c r="J44" s="410">
        <v>1134.1199999999999</v>
      </c>
      <c r="K44" s="410">
        <v>1131.17</v>
      </c>
      <c r="L44" s="410">
        <v>1123.47</v>
      </c>
      <c r="M44" s="410"/>
      <c r="N44" s="410"/>
      <c r="O44" s="410"/>
      <c r="P44" s="410"/>
      <c r="Q44" s="410"/>
      <c r="R44" s="410"/>
      <c r="S44" s="410"/>
      <c r="U44" s="418"/>
    </row>
    <row r="45" spans="1:23">
      <c r="B45" s="399" t="s">
        <v>610</v>
      </c>
      <c r="C45" s="410"/>
      <c r="D45" s="410"/>
      <c r="E45" s="410"/>
      <c r="F45" s="410"/>
      <c r="G45" s="410"/>
      <c r="H45" s="410"/>
      <c r="I45" s="410"/>
      <c r="J45" s="410"/>
      <c r="K45" s="410">
        <v>20</v>
      </c>
      <c r="L45" s="410">
        <v>23</v>
      </c>
      <c r="M45" s="410">
        <v>25</v>
      </c>
      <c r="N45" s="410">
        <v>27</v>
      </c>
      <c r="O45" s="410">
        <v>27</v>
      </c>
      <c r="P45" s="410">
        <v>27</v>
      </c>
      <c r="Q45" s="410">
        <v>28</v>
      </c>
      <c r="R45" s="410">
        <v>28</v>
      </c>
      <c r="S45" s="410"/>
      <c r="U45" s="418"/>
      <c r="V45" s="418"/>
    </row>
    <row r="46" spans="1:23">
      <c r="K46" s="399">
        <f t="shared" ref="K46:Q46" si="12">K45/K42</f>
        <v>1.2685525815045035E-2</v>
      </c>
      <c r="L46" s="399">
        <f t="shared" si="12"/>
        <v>1.4616166751398069E-2</v>
      </c>
      <c r="M46" s="399">
        <f t="shared" si="12"/>
        <v>1.5907355561211506E-2</v>
      </c>
      <c r="N46" s="399">
        <f t="shared" si="12"/>
        <v>1.7702596380802516E-2</v>
      </c>
      <c r="O46" s="399">
        <f t="shared" si="12"/>
        <v>1.7412614471817363E-2</v>
      </c>
      <c r="P46" s="399">
        <f t="shared" si="12"/>
        <v>1.7747978702425556E-2</v>
      </c>
      <c r="Q46" s="399">
        <f t="shared" si="12"/>
        <v>1.8505055845614963E-2</v>
      </c>
      <c r="R46" s="399">
        <f>R45/R42</f>
        <v>1.9270474879559532E-2</v>
      </c>
      <c r="S46" s="399">
        <v>1.9270474879559532E-2</v>
      </c>
      <c r="T46" s="399">
        <v>1.9270474879559532E-2</v>
      </c>
      <c r="U46" s="432">
        <v>1.9270474879559532E-2</v>
      </c>
      <c r="V46" s="400">
        <v>1.9270474879559532E-2</v>
      </c>
      <c r="W46" s="400">
        <v>1.9270474879559532E-2</v>
      </c>
    </row>
    <row r="47" spans="1:23">
      <c r="A47" s="399" t="s">
        <v>653</v>
      </c>
      <c r="B47" s="399" t="s">
        <v>67</v>
      </c>
      <c r="C47" s="410">
        <v>364</v>
      </c>
      <c r="D47" s="410">
        <v>562</v>
      </c>
      <c r="E47" s="410">
        <v>900</v>
      </c>
      <c r="F47" s="410">
        <v>1241</v>
      </c>
      <c r="G47" s="410">
        <v>1602</v>
      </c>
      <c r="H47" s="410">
        <v>1822</v>
      </c>
      <c r="I47" s="410">
        <v>2232</v>
      </c>
      <c r="J47" s="410">
        <v>2674</v>
      </c>
      <c r="K47" s="410">
        <v>3085</v>
      </c>
      <c r="L47" s="410">
        <v>3418</v>
      </c>
      <c r="M47" s="410">
        <v>3793</v>
      </c>
      <c r="N47" s="410">
        <v>4604</v>
      </c>
      <c r="O47" s="410">
        <v>5485</v>
      </c>
      <c r="P47" s="410">
        <v>6771</v>
      </c>
      <c r="Q47" s="410">
        <v>7592</v>
      </c>
      <c r="R47" s="410">
        <v>8760</v>
      </c>
      <c r="S47" s="410">
        <v>9624</v>
      </c>
      <c r="T47" s="410">
        <v>12869.49</v>
      </c>
      <c r="U47" s="433">
        <v>14391</v>
      </c>
      <c r="V47" s="415">
        <v>16551.3711</v>
      </c>
      <c r="W47" s="400">
        <v>18020</v>
      </c>
    </row>
    <row r="48" spans="1:23">
      <c r="B48" s="399" t="s">
        <v>654</v>
      </c>
      <c r="C48" s="410"/>
      <c r="D48" s="410">
        <v>197</v>
      </c>
      <c r="E48" s="410">
        <v>343</v>
      </c>
      <c r="F48" s="410">
        <v>478</v>
      </c>
      <c r="G48" s="410">
        <v>622</v>
      </c>
      <c r="H48" s="410">
        <v>741</v>
      </c>
      <c r="I48" s="410">
        <v>907</v>
      </c>
      <c r="J48" s="410">
        <v>1081</v>
      </c>
      <c r="K48" s="410">
        <v>1586</v>
      </c>
      <c r="L48" s="410">
        <v>1685</v>
      </c>
      <c r="M48" s="410"/>
      <c r="N48" s="410">
        <v>2052</v>
      </c>
      <c r="O48" s="410"/>
      <c r="P48" s="410"/>
      <c r="Q48" s="410"/>
      <c r="R48" s="410"/>
      <c r="S48" s="410">
        <v>4226</v>
      </c>
      <c r="T48" s="399">
        <v>5696</v>
      </c>
      <c r="U48" s="399">
        <v>6653</v>
      </c>
    </row>
    <row r="49" spans="1:23">
      <c r="B49" s="399" t="s">
        <v>445</v>
      </c>
      <c r="C49" s="415"/>
      <c r="D49" s="415">
        <v>230</v>
      </c>
      <c r="E49" s="415">
        <v>314</v>
      </c>
      <c r="F49" s="415">
        <v>432</v>
      </c>
      <c r="G49" s="415">
        <v>490</v>
      </c>
      <c r="H49" s="415">
        <v>578</v>
      </c>
      <c r="I49" s="415">
        <v>688</v>
      </c>
      <c r="J49" s="415">
        <v>840</v>
      </c>
      <c r="K49" s="415">
        <v>974</v>
      </c>
      <c r="L49" s="415">
        <v>938</v>
      </c>
      <c r="M49" s="415"/>
      <c r="N49" s="415">
        <v>1274</v>
      </c>
      <c r="O49" s="415"/>
      <c r="P49" s="415"/>
      <c r="Q49" s="415"/>
      <c r="R49" s="415"/>
      <c r="S49" s="415">
        <v>2109</v>
      </c>
      <c r="T49" s="418">
        <v>1665</v>
      </c>
      <c r="U49" s="418">
        <v>1672</v>
      </c>
      <c r="V49" s="418"/>
    </row>
    <row r="50" spans="1:23">
      <c r="B50" s="399" t="s">
        <v>655</v>
      </c>
      <c r="C50" s="410"/>
      <c r="D50" s="410"/>
      <c r="E50" s="410"/>
      <c r="F50" s="410"/>
      <c r="G50" s="410"/>
      <c r="H50" s="410"/>
      <c r="I50" s="410"/>
      <c r="J50" s="410"/>
      <c r="K50" s="410"/>
      <c r="L50" s="410"/>
      <c r="M50" s="410"/>
      <c r="N50" s="410"/>
      <c r="O50" s="410"/>
      <c r="P50" s="410"/>
      <c r="Q50" s="410"/>
      <c r="R50" s="410"/>
      <c r="S50" s="410">
        <v>2665</v>
      </c>
      <c r="T50" s="399">
        <v>3220</v>
      </c>
      <c r="U50" s="434">
        <v>3541</v>
      </c>
      <c r="V50" s="434"/>
    </row>
    <row r="51" spans="1:23">
      <c r="B51" s="399" t="s">
        <v>656</v>
      </c>
      <c r="C51" s="410"/>
      <c r="D51" s="410">
        <v>124</v>
      </c>
      <c r="E51" s="410">
        <v>223</v>
      </c>
      <c r="F51" s="410">
        <v>305</v>
      </c>
      <c r="G51" s="410">
        <v>460</v>
      </c>
      <c r="H51" s="410">
        <v>467</v>
      </c>
      <c r="I51" s="410">
        <v>587</v>
      </c>
      <c r="J51" s="410">
        <v>576</v>
      </c>
      <c r="K51" s="410">
        <v>249</v>
      </c>
      <c r="L51" s="410">
        <v>286</v>
      </c>
      <c r="M51" s="410"/>
      <c r="N51" s="410">
        <v>171</v>
      </c>
      <c r="O51" s="410"/>
      <c r="P51" s="410"/>
      <c r="Q51" s="410"/>
      <c r="R51" s="410"/>
      <c r="S51" s="410"/>
      <c r="T51" s="399">
        <v>270</v>
      </c>
      <c r="U51" s="418">
        <v>225</v>
      </c>
      <c r="V51" s="418"/>
    </row>
    <row r="52" spans="1:23">
      <c r="B52" s="399" t="s">
        <v>555</v>
      </c>
      <c r="C52" s="410"/>
      <c r="D52" s="410"/>
      <c r="E52" s="410"/>
      <c r="F52" s="410"/>
      <c r="G52" s="410"/>
      <c r="H52" s="410"/>
      <c r="I52" s="410"/>
      <c r="J52" s="410">
        <v>81</v>
      </c>
      <c r="K52" s="410">
        <v>160</v>
      </c>
      <c r="L52" s="410">
        <v>443</v>
      </c>
      <c r="M52" s="410">
        <v>903</v>
      </c>
      <c r="N52" s="410">
        <v>1620</v>
      </c>
      <c r="O52" s="410"/>
      <c r="P52" s="410"/>
      <c r="Q52" s="410"/>
      <c r="R52" s="410"/>
      <c r="S52" s="410"/>
      <c r="U52" s="418"/>
      <c r="V52" s="418"/>
    </row>
    <row r="53" spans="1:23">
      <c r="B53" s="399" t="s">
        <v>657</v>
      </c>
      <c r="C53" s="410"/>
      <c r="D53" s="410"/>
      <c r="E53" s="410"/>
      <c r="F53" s="410">
        <v>9</v>
      </c>
      <c r="G53" s="410">
        <v>12</v>
      </c>
      <c r="H53" s="410">
        <v>20</v>
      </c>
      <c r="I53" s="410">
        <v>37</v>
      </c>
      <c r="J53" s="410">
        <v>73</v>
      </c>
      <c r="K53" s="410">
        <v>92</v>
      </c>
      <c r="L53" s="410">
        <v>146</v>
      </c>
      <c r="M53" s="410"/>
      <c r="N53" s="410">
        <v>358</v>
      </c>
      <c r="O53" s="410"/>
      <c r="P53" s="410"/>
      <c r="Q53" s="410"/>
      <c r="R53" s="410"/>
      <c r="S53" s="410"/>
      <c r="T53" s="399">
        <v>1216</v>
      </c>
      <c r="U53" s="399">
        <v>1752</v>
      </c>
    </row>
    <row r="54" spans="1:23">
      <c r="B54" s="399" t="s">
        <v>658</v>
      </c>
      <c r="C54" s="410"/>
      <c r="D54" s="410"/>
      <c r="E54" s="410"/>
      <c r="F54" s="410"/>
      <c r="G54" s="410"/>
      <c r="H54" s="410">
        <v>3</v>
      </c>
      <c r="I54" s="410">
        <v>2</v>
      </c>
      <c r="J54" s="410">
        <v>10</v>
      </c>
      <c r="K54" s="410">
        <v>13</v>
      </c>
      <c r="L54" s="410">
        <v>10</v>
      </c>
      <c r="M54" s="410"/>
      <c r="N54" s="410">
        <v>11</v>
      </c>
      <c r="O54" s="410"/>
      <c r="P54" s="410"/>
      <c r="Q54" s="410"/>
      <c r="R54" s="410"/>
      <c r="S54" s="410"/>
    </row>
    <row r="55" spans="1:23">
      <c r="B55" s="399" t="s">
        <v>659</v>
      </c>
      <c r="C55" s="410"/>
      <c r="D55" s="410">
        <v>11</v>
      </c>
      <c r="E55" s="410">
        <v>20</v>
      </c>
      <c r="F55" s="410">
        <v>17</v>
      </c>
      <c r="G55" s="410">
        <v>18</v>
      </c>
      <c r="H55" s="410">
        <v>13</v>
      </c>
      <c r="I55" s="410">
        <v>11</v>
      </c>
      <c r="J55" s="410">
        <v>13</v>
      </c>
      <c r="K55" s="410">
        <v>12</v>
      </c>
      <c r="L55" s="410">
        <v>17</v>
      </c>
      <c r="M55" s="410"/>
      <c r="N55" s="410">
        <v>19</v>
      </c>
      <c r="O55" s="410"/>
      <c r="P55" s="410"/>
      <c r="Q55" s="410"/>
      <c r="R55" s="410"/>
      <c r="S55" s="410"/>
    </row>
    <row r="56" spans="1:23">
      <c r="B56" s="399" t="s">
        <v>121</v>
      </c>
      <c r="C56" s="410"/>
      <c r="D56" s="410"/>
      <c r="E56" s="410"/>
      <c r="F56" s="410"/>
      <c r="G56" s="410"/>
      <c r="H56" s="410"/>
      <c r="I56" s="410"/>
      <c r="J56" s="410"/>
      <c r="K56" s="410"/>
      <c r="L56" s="410"/>
      <c r="M56" s="410"/>
      <c r="N56" s="410"/>
      <c r="O56" s="410"/>
      <c r="P56" s="410"/>
      <c r="Q56" s="410"/>
      <c r="R56" s="410"/>
      <c r="S56" s="435">
        <f>S47-(S48+S49+S50+S51+S52+S53+S54+S55)</f>
        <v>624</v>
      </c>
      <c r="T56" s="410">
        <f t="shared" ref="T56:U56" si="13">T47-(T48+T49+T50+T51+T52+T53+T54+T55)</f>
        <v>802.48999999999978</v>
      </c>
      <c r="U56" s="410">
        <f t="shared" si="13"/>
        <v>548</v>
      </c>
    </row>
    <row r="57" spans="1:23">
      <c r="C57" s="410"/>
      <c r="D57" s="410"/>
      <c r="E57" s="410"/>
      <c r="F57" s="410"/>
      <c r="G57" s="410"/>
      <c r="H57" s="410"/>
      <c r="I57" s="410"/>
      <c r="J57" s="410"/>
      <c r="K57" s="410"/>
      <c r="L57" s="410"/>
      <c r="M57" s="410"/>
      <c r="N57" s="410"/>
      <c r="O57" s="410"/>
      <c r="P57" s="410"/>
      <c r="Q57" s="410"/>
      <c r="R57" s="410"/>
      <c r="S57" s="410"/>
    </row>
    <row r="58" spans="1:23">
      <c r="A58" s="399" t="s">
        <v>660</v>
      </c>
      <c r="B58" s="399" t="s">
        <v>67</v>
      </c>
      <c r="C58" s="410">
        <v>647</v>
      </c>
      <c r="D58" s="410">
        <v>665</v>
      </c>
      <c r="E58" s="410">
        <v>682</v>
      </c>
      <c r="F58" s="410">
        <v>718</v>
      </c>
      <c r="G58" s="410">
        <v>691.68</v>
      </c>
      <c r="H58" s="410">
        <v>590</v>
      </c>
      <c r="I58" s="410">
        <v>606</v>
      </c>
      <c r="J58" s="410">
        <v>593</v>
      </c>
      <c r="K58" s="410">
        <v>573</v>
      </c>
      <c r="L58" s="405">
        <v>1071.5</v>
      </c>
      <c r="M58" s="405">
        <v>937.85</v>
      </c>
      <c r="N58" s="405">
        <v>804.2</v>
      </c>
      <c r="O58" s="405">
        <v>706.25</v>
      </c>
      <c r="P58" s="405">
        <v>608.29999999999995</v>
      </c>
      <c r="Q58" s="405">
        <v>584.04999999999995</v>
      </c>
      <c r="R58" s="405">
        <v>559.79999999999995</v>
      </c>
      <c r="S58" s="405">
        <v>492.25</v>
      </c>
      <c r="T58" s="405">
        <v>424.7</v>
      </c>
      <c r="U58" s="405">
        <v>430.25</v>
      </c>
      <c r="V58" s="405">
        <v>435.8</v>
      </c>
      <c r="W58" s="406">
        <v>441.456684</v>
      </c>
    </row>
    <row r="59" spans="1:23">
      <c r="A59" s="399" t="s">
        <v>436</v>
      </c>
      <c r="B59" s="399" t="s">
        <v>67</v>
      </c>
      <c r="C59" s="410">
        <v>302.5</v>
      </c>
      <c r="D59" s="410">
        <v>343.59</v>
      </c>
      <c r="E59" s="410">
        <v>370.09</v>
      </c>
      <c r="F59" s="410">
        <v>421.86</v>
      </c>
      <c r="G59" s="410">
        <v>463.03</v>
      </c>
      <c r="H59" s="410">
        <v>416.44</v>
      </c>
      <c r="I59" s="410">
        <v>481.58</v>
      </c>
      <c r="J59" s="410">
        <v>483.95</v>
      </c>
      <c r="K59" s="410">
        <v>486.4</v>
      </c>
      <c r="L59" s="410">
        <v>513.5</v>
      </c>
      <c r="M59" s="410">
        <v>521</v>
      </c>
      <c r="N59" s="410">
        <v>542</v>
      </c>
      <c r="O59" s="410">
        <v>569</v>
      </c>
      <c r="P59" s="410">
        <v>624</v>
      </c>
      <c r="Q59" s="410">
        <v>654</v>
      </c>
      <c r="R59" s="410">
        <v>671</v>
      </c>
      <c r="S59" s="410">
        <v>412</v>
      </c>
      <c r="T59" s="399">
        <v>438</v>
      </c>
      <c r="U59" s="399">
        <v>565</v>
      </c>
      <c r="V59" s="405">
        <v>565</v>
      </c>
      <c r="W59" s="400">
        <f>V59+(V59*Y59)</f>
        <v>565</v>
      </c>
    </row>
    <row r="60" spans="1:23">
      <c r="I60" s="436">
        <v>2134.5</v>
      </c>
      <c r="J60" s="436">
        <v>2088</v>
      </c>
      <c r="K60" s="436">
        <v>1922</v>
      </c>
      <c r="L60" s="410">
        <v>1555.7</v>
      </c>
      <c r="M60" s="410">
        <v>1384.55</v>
      </c>
      <c r="N60" s="410">
        <v>1213.4000000000001</v>
      </c>
      <c r="O60" s="410">
        <v>1119.5</v>
      </c>
      <c r="P60" s="410">
        <v>1025.5999999999999</v>
      </c>
      <c r="Q60" s="410">
        <v>976.05</v>
      </c>
      <c r="R60" s="410">
        <v>926.5</v>
      </c>
      <c r="S60" s="410">
        <v>844.35</v>
      </c>
      <c r="T60" s="410">
        <v>762.2</v>
      </c>
      <c r="U60" s="410">
        <v>766.65</v>
      </c>
      <c r="V60" s="410">
        <v>771.1</v>
      </c>
      <c r="W60" s="427">
        <v>775.96034399999996</v>
      </c>
    </row>
    <row r="61" spans="1:23">
      <c r="D61" s="410"/>
      <c r="E61" s="410"/>
      <c r="F61" s="410"/>
      <c r="I61" s="399">
        <f>I58/I60</f>
        <v>0.28390723822909347</v>
      </c>
      <c r="J61" s="399">
        <f t="shared" ref="J61:W61" si="14">J58/J60</f>
        <v>0.28400383141762453</v>
      </c>
      <c r="K61" s="399">
        <f t="shared" si="14"/>
        <v>0.29812695109261184</v>
      </c>
      <c r="L61" s="399">
        <f t="shared" si="14"/>
        <v>0.68875747252040875</v>
      </c>
      <c r="M61" s="399">
        <f t="shared" si="14"/>
        <v>0.67736809793795827</v>
      </c>
      <c r="N61" s="399">
        <f t="shared" si="14"/>
        <v>0.66276578209988457</v>
      </c>
      <c r="O61" s="399">
        <f t="shared" si="14"/>
        <v>0.6308619919606967</v>
      </c>
      <c r="P61" s="399">
        <f t="shared" si="14"/>
        <v>0.59311622464898595</v>
      </c>
      <c r="Q61" s="399">
        <f t="shared" si="14"/>
        <v>0.59838123046975056</v>
      </c>
      <c r="R61" s="399">
        <f t="shared" si="14"/>
        <v>0.6042093901780895</v>
      </c>
      <c r="S61" s="399">
        <f t="shared" si="14"/>
        <v>0.58299283472493635</v>
      </c>
      <c r="T61" s="399">
        <f t="shared" si="14"/>
        <v>0.55720283390186298</v>
      </c>
      <c r="U61" s="399">
        <f t="shared" si="14"/>
        <v>0.56120785234461623</v>
      </c>
      <c r="V61" s="399">
        <f t="shared" si="14"/>
        <v>0.56516664505252234</v>
      </c>
      <c r="W61" s="400">
        <f t="shared" si="14"/>
        <v>0.56891655277682596</v>
      </c>
    </row>
    <row r="62" spans="1:23">
      <c r="A62" s="399" t="s">
        <v>661</v>
      </c>
      <c r="C62" s="410">
        <f t="shared" ref="C62:U62" si="15">C16+C39+C42+C47+C58+C59</f>
        <v>9094.75</v>
      </c>
      <c r="D62" s="410">
        <f t="shared" si="15"/>
        <v>9594.92</v>
      </c>
      <c r="E62" s="410">
        <f t="shared" si="15"/>
        <v>10457.42</v>
      </c>
      <c r="F62" s="410">
        <f t="shared" si="15"/>
        <v>11069.1</v>
      </c>
      <c r="G62" s="410">
        <f t="shared" si="15"/>
        <v>11634.25</v>
      </c>
      <c r="H62" s="410">
        <f t="shared" si="15"/>
        <v>10961.27</v>
      </c>
      <c r="I62" s="410">
        <f t="shared" si="15"/>
        <v>12027.84</v>
      </c>
      <c r="J62" s="410">
        <f t="shared" si="15"/>
        <v>12537.810000000001</v>
      </c>
      <c r="K62" s="410">
        <f t="shared" si="15"/>
        <v>12929.63</v>
      </c>
      <c r="L62" s="410">
        <f t="shared" si="15"/>
        <v>13100.78</v>
      </c>
      <c r="M62" s="410">
        <f t="shared" si="15"/>
        <v>12987.85</v>
      </c>
      <c r="N62" s="410">
        <f t="shared" si="15"/>
        <v>13106.2</v>
      </c>
      <c r="O62" s="410">
        <f t="shared" si="15"/>
        <v>13719.85</v>
      </c>
      <c r="P62" s="410">
        <f t="shared" si="15"/>
        <v>14354.624274999998</v>
      </c>
      <c r="Q62" s="410">
        <f t="shared" si="15"/>
        <v>14916.948412</v>
      </c>
      <c r="R62" s="410">
        <f t="shared" si="15"/>
        <v>15769.885466</v>
      </c>
      <c r="S62" s="437">
        <f t="shared" si="15"/>
        <v>15130.137835</v>
      </c>
      <c r="T62" s="437">
        <f t="shared" si="15"/>
        <v>18547.009523000001</v>
      </c>
      <c r="U62" s="438">
        <f t="shared" si="15"/>
        <v>20429.919999999998</v>
      </c>
      <c r="V62" s="427">
        <f>V16+V39+V42+V47+V58+V59</f>
        <v>22242.425390058776</v>
      </c>
      <c r="W62" s="427">
        <f>W16+W39+W42+W47+W58+W59</f>
        <v>23794.080920272714</v>
      </c>
    </row>
    <row r="63" spans="1:23">
      <c r="A63" s="399" t="s">
        <v>662</v>
      </c>
      <c r="C63" s="410">
        <v>53073.862000000001</v>
      </c>
      <c r="D63" s="410">
        <v>56622.2</v>
      </c>
      <c r="E63" s="410">
        <v>59786.3</v>
      </c>
      <c r="F63" s="410">
        <v>62950.5</v>
      </c>
      <c r="G63" s="410">
        <v>66114.600000000006</v>
      </c>
      <c r="H63" s="410">
        <v>69055.842000000004</v>
      </c>
      <c r="I63" s="410">
        <v>70305.637000000002</v>
      </c>
      <c r="J63" s="410">
        <v>71976.08600000001</v>
      </c>
      <c r="K63" s="410">
        <v>74013.456999999995</v>
      </c>
      <c r="L63" s="410">
        <v>75232.240000000005</v>
      </c>
      <c r="M63" s="399">
        <v>76972.075000000012</v>
      </c>
      <c r="N63" s="399">
        <v>79113.159520000001</v>
      </c>
      <c r="O63" s="399">
        <v>79539.320229200006</v>
      </c>
      <c r="P63" s="399">
        <v>82096.893400000001</v>
      </c>
      <c r="Q63" s="399">
        <v>87659.229800000001</v>
      </c>
      <c r="R63" s="399">
        <v>91852.189671422413</v>
      </c>
      <c r="S63" s="399">
        <v>91219.182144063059</v>
      </c>
      <c r="T63" s="399">
        <v>97652.236021052639</v>
      </c>
      <c r="U63" s="399">
        <v>104363.1038822587</v>
      </c>
      <c r="V63" s="399">
        <v>109594.25734860027</v>
      </c>
      <c r="W63" s="400">
        <v>112766.78070875045</v>
      </c>
    </row>
    <row r="64" spans="1:23">
      <c r="A64" s="399" t="s">
        <v>663</v>
      </c>
      <c r="C64" s="410">
        <f>C62/C63*100</f>
        <v>17.136024508636659</v>
      </c>
      <c r="D64" s="410">
        <f t="shared" ref="D64:W64" si="16">D62/D63*100</f>
        <v>16.945509005301808</v>
      </c>
      <c r="E64" s="410">
        <f t="shared" si="16"/>
        <v>17.491331626141772</v>
      </c>
      <c r="F64" s="410">
        <f t="shared" si="16"/>
        <v>17.583815855314892</v>
      </c>
      <c r="G64" s="410">
        <f t="shared" si="16"/>
        <v>17.597096556585079</v>
      </c>
      <c r="H64" s="410">
        <f t="shared" si="16"/>
        <v>15.873052420387545</v>
      </c>
      <c r="I64" s="410">
        <f t="shared" si="16"/>
        <v>17.107931189073785</v>
      </c>
      <c r="J64" s="410">
        <f t="shared" si="16"/>
        <v>17.419410663702941</v>
      </c>
      <c r="K64" s="410">
        <f t="shared" si="16"/>
        <v>17.46929615785951</v>
      </c>
      <c r="L64" s="410">
        <f t="shared" si="16"/>
        <v>17.4137843031126</v>
      </c>
      <c r="M64" s="410">
        <f t="shared" si="16"/>
        <v>16.873457029708501</v>
      </c>
      <c r="N64" s="410">
        <f t="shared" si="16"/>
        <v>16.566396892146269</v>
      </c>
      <c r="O64" s="410">
        <f t="shared" si="16"/>
        <v>17.249141632672956</v>
      </c>
      <c r="P64" s="410">
        <f t="shared" si="16"/>
        <v>17.484978639886023</v>
      </c>
      <c r="Q64" s="410">
        <f t="shared" si="16"/>
        <v>17.016974077953854</v>
      </c>
      <c r="R64" s="410">
        <f t="shared" si="16"/>
        <v>17.168763774073007</v>
      </c>
      <c r="S64" s="410">
        <f t="shared" si="16"/>
        <v>16.586574752561223</v>
      </c>
      <c r="T64" s="410">
        <f t="shared" si="16"/>
        <v>18.992918420220803</v>
      </c>
      <c r="U64" s="410">
        <f t="shared" si="16"/>
        <v>19.575807196237484</v>
      </c>
      <c r="V64" s="410">
        <f t="shared" si="16"/>
        <v>20.295247149044947</v>
      </c>
      <c r="W64" s="427">
        <f t="shared" si="16"/>
        <v>21.100257337067305</v>
      </c>
    </row>
    <row r="65" spans="1:23">
      <c r="A65" s="399" t="s">
        <v>664</v>
      </c>
      <c r="C65" s="410">
        <f>C63-C62</f>
        <v>43979.112000000001</v>
      </c>
      <c r="D65" s="410">
        <f t="shared" ref="D65:W65" si="17">D63-D62</f>
        <v>47027.28</v>
      </c>
      <c r="E65" s="410">
        <f t="shared" si="17"/>
        <v>49328.880000000005</v>
      </c>
      <c r="F65" s="410">
        <f t="shared" si="17"/>
        <v>51881.4</v>
      </c>
      <c r="G65" s="410">
        <f t="shared" si="17"/>
        <v>54480.350000000006</v>
      </c>
      <c r="H65" s="410">
        <f t="shared" si="17"/>
        <v>58094.572</v>
      </c>
      <c r="I65" s="410">
        <f t="shared" si="17"/>
        <v>58277.797000000006</v>
      </c>
      <c r="J65" s="410">
        <f t="shared" si="17"/>
        <v>59438.276000000013</v>
      </c>
      <c r="K65" s="410">
        <f t="shared" si="17"/>
        <v>61083.826999999997</v>
      </c>
      <c r="L65" s="410">
        <f t="shared" si="17"/>
        <v>62131.460000000006</v>
      </c>
      <c r="M65" s="410">
        <f t="shared" si="17"/>
        <v>63984.225000000013</v>
      </c>
      <c r="N65" s="410">
        <f t="shared" si="17"/>
        <v>66006.959520000004</v>
      </c>
      <c r="O65" s="410">
        <f t="shared" si="17"/>
        <v>65819.4702292</v>
      </c>
      <c r="P65" s="410">
        <f t="shared" si="17"/>
        <v>67742.269125000006</v>
      </c>
      <c r="Q65" s="410">
        <f t="shared" si="17"/>
        <v>72742.281388000003</v>
      </c>
      <c r="R65" s="410">
        <f t="shared" si="17"/>
        <v>76082.304205422406</v>
      </c>
      <c r="S65" s="410">
        <f t="shared" si="17"/>
        <v>76089.044309063058</v>
      </c>
      <c r="T65" s="410">
        <f t="shared" si="17"/>
        <v>79105.226498052638</v>
      </c>
      <c r="U65" s="410">
        <f t="shared" si="17"/>
        <v>83933.183882258701</v>
      </c>
      <c r="V65" s="410">
        <f t="shared" si="17"/>
        <v>87351.831958541487</v>
      </c>
      <c r="W65" s="427">
        <f t="shared" si="17"/>
        <v>88972.699788477737</v>
      </c>
    </row>
    <row r="66" spans="1:23">
      <c r="A66" s="399" t="s">
        <v>665</v>
      </c>
      <c r="C66" s="410">
        <f>C65/C62</f>
        <v>4.8356592539651997</v>
      </c>
      <c r="D66" s="410">
        <f t="shared" ref="D66:T66" si="18">D65/D62</f>
        <v>4.9012685879611295</v>
      </c>
      <c r="E66" s="410">
        <f t="shared" si="18"/>
        <v>4.7171176064459495</v>
      </c>
      <c r="F66" s="422">
        <f t="shared" si="18"/>
        <v>4.6870477274575171</v>
      </c>
      <c r="G66" s="410">
        <f t="shared" si="18"/>
        <v>4.6827556567892223</v>
      </c>
      <c r="H66" s="410">
        <f t="shared" si="18"/>
        <v>5.2999854943815814</v>
      </c>
      <c r="I66" s="410">
        <f t="shared" si="18"/>
        <v>4.8452421216111956</v>
      </c>
      <c r="J66" s="410">
        <f t="shared" si="18"/>
        <v>4.7407223430567225</v>
      </c>
      <c r="K66" s="410">
        <f t="shared" si="18"/>
        <v>4.7243290797957869</v>
      </c>
      <c r="L66" s="410">
        <f t="shared" si="18"/>
        <v>4.7425771595279063</v>
      </c>
      <c r="M66" s="410">
        <f t="shared" si="18"/>
        <v>4.9264678141493787</v>
      </c>
      <c r="N66" s="410">
        <f t="shared" si="18"/>
        <v>5.0363156002502629</v>
      </c>
      <c r="O66" s="410">
        <f t="shared" si="18"/>
        <v>4.7973899298607492</v>
      </c>
      <c r="P66" s="410">
        <f t="shared" si="18"/>
        <v>4.7191948620334063</v>
      </c>
      <c r="Q66" s="410">
        <f t="shared" si="18"/>
        <v>4.8764854163792766</v>
      </c>
      <c r="R66" s="410">
        <f t="shared" si="18"/>
        <v>4.8245311844183316</v>
      </c>
      <c r="S66" s="410">
        <f t="shared" si="18"/>
        <v>5.0289723159724975</v>
      </c>
      <c r="T66" s="410">
        <f t="shared" si="18"/>
        <v>4.2651202825962251</v>
      </c>
      <c r="U66" s="427">
        <f>U65/U62</f>
        <v>4.1083461845302729</v>
      </c>
      <c r="V66" s="410">
        <f>V65/V62</f>
        <v>3.9272619971373843</v>
      </c>
      <c r="W66" s="427">
        <f>W65/W62</f>
        <v>3.739278692318492</v>
      </c>
    </row>
    <row r="67" spans="1:23">
      <c r="A67" s="399" t="s">
        <v>666</v>
      </c>
      <c r="C67" s="410">
        <f t="shared" ref="C67:W67" si="19">C16</f>
        <v>2963.71</v>
      </c>
      <c r="D67" s="410">
        <f t="shared" si="19"/>
        <v>3013.8199999999997</v>
      </c>
      <c r="E67" s="410">
        <f t="shared" si="19"/>
        <v>3241.25</v>
      </c>
      <c r="F67" s="410">
        <f t="shared" si="19"/>
        <v>3298.71</v>
      </c>
      <c r="G67" s="410">
        <f t="shared" si="19"/>
        <v>3393.31</v>
      </c>
      <c r="H67" s="410">
        <f t="shared" si="19"/>
        <v>3103.63</v>
      </c>
      <c r="I67" s="410">
        <f t="shared" si="19"/>
        <v>3620.66</v>
      </c>
      <c r="J67" s="410">
        <f t="shared" si="19"/>
        <v>3763.26</v>
      </c>
      <c r="K67" s="410">
        <f t="shared" si="19"/>
        <v>3659.63</v>
      </c>
      <c r="L67" s="410">
        <f t="shared" si="19"/>
        <v>3589.18</v>
      </c>
      <c r="M67" s="410">
        <f t="shared" si="19"/>
        <v>3518.4</v>
      </c>
      <c r="N67" s="410">
        <f t="shared" si="19"/>
        <v>3326.8</v>
      </c>
      <c r="O67" s="410">
        <f t="shared" si="19"/>
        <v>3279</v>
      </c>
      <c r="P67" s="410">
        <f t="shared" si="19"/>
        <v>2995.0242749999998</v>
      </c>
      <c r="Q67" s="410">
        <f t="shared" si="19"/>
        <v>2917.898412</v>
      </c>
      <c r="R67" s="410">
        <f t="shared" si="19"/>
        <v>2918.085466</v>
      </c>
      <c r="S67" s="410">
        <f t="shared" si="19"/>
        <v>2473.6878350000002</v>
      </c>
      <c r="T67" s="410">
        <f t="shared" si="19"/>
        <v>2777.7795230000006</v>
      </c>
      <c r="U67" s="410">
        <f t="shared" si="19"/>
        <v>2984.4500000000003</v>
      </c>
      <c r="V67" s="410">
        <f t="shared" si="19"/>
        <v>2660.902</v>
      </c>
      <c r="W67" s="427">
        <f t="shared" si="19"/>
        <v>2769.27</v>
      </c>
    </row>
    <row r="68" spans="1:23">
      <c r="A68" s="399" t="s">
        <v>667</v>
      </c>
      <c r="C68" s="422">
        <f>C62</f>
        <v>9094.75</v>
      </c>
      <c r="D68" s="422">
        <f t="shared" ref="D68:W68" si="20">D62</f>
        <v>9594.92</v>
      </c>
      <c r="E68" s="422">
        <f t="shared" si="20"/>
        <v>10457.42</v>
      </c>
      <c r="F68" s="422">
        <f t="shared" si="20"/>
        <v>11069.1</v>
      </c>
      <c r="G68" s="422">
        <f t="shared" si="20"/>
        <v>11634.25</v>
      </c>
      <c r="H68" s="422">
        <f t="shared" si="20"/>
        <v>10961.27</v>
      </c>
      <c r="I68" s="422">
        <f t="shared" si="20"/>
        <v>12027.84</v>
      </c>
      <c r="J68" s="422">
        <f t="shared" si="20"/>
        <v>12537.810000000001</v>
      </c>
      <c r="K68" s="422">
        <f t="shared" si="20"/>
        <v>12929.63</v>
      </c>
      <c r="L68" s="422">
        <f t="shared" si="20"/>
        <v>13100.78</v>
      </c>
      <c r="M68" s="422">
        <f t="shared" si="20"/>
        <v>12987.85</v>
      </c>
      <c r="N68" s="422">
        <f t="shared" si="20"/>
        <v>13106.2</v>
      </c>
      <c r="O68" s="422">
        <f t="shared" si="20"/>
        <v>13719.85</v>
      </c>
      <c r="P68" s="422">
        <f t="shared" si="20"/>
        <v>14354.624274999998</v>
      </c>
      <c r="Q68" s="422">
        <f t="shared" si="20"/>
        <v>14916.948412</v>
      </c>
      <c r="R68" s="422">
        <f t="shared" si="20"/>
        <v>15769.885466</v>
      </c>
      <c r="S68" s="422">
        <f t="shared" si="20"/>
        <v>15130.137835</v>
      </c>
      <c r="T68" s="410">
        <f t="shared" si="20"/>
        <v>18547.009523000001</v>
      </c>
      <c r="U68" s="410">
        <f t="shared" si="20"/>
        <v>20429.919999999998</v>
      </c>
      <c r="V68" s="410">
        <f t="shared" si="20"/>
        <v>22242.425390058776</v>
      </c>
      <c r="W68" s="427">
        <f t="shared" si="20"/>
        <v>23794.080920272714</v>
      </c>
    </row>
    <row r="69" spans="1:23">
      <c r="A69" s="399" t="s">
        <v>668</v>
      </c>
      <c r="C69" s="410">
        <f>C67/C62*100</f>
        <v>32.587041974765661</v>
      </c>
      <c r="D69" s="410">
        <f t="shared" ref="D69:W69" si="21">D67/D62*100</f>
        <v>31.410579765125707</v>
      </c>
      <c r="E69" s="410">
        <f t="shared" si="21"/>
        <v>30.994738664029942</v>
      </c>
      <c r="F69" s="410">
        <f t="shared" si="21"/>
        <v>29.801067837493562</v>
      </c>
      <c r="G69" s="410">
        <f t="shared" si="21"/>
        <v>29.166555643896253</v>
      </c>
      <c r="H69" s="410">
        <f t="shared" si="21"/>
        <v>28.31451100100627</v>
      </c>
      <c r="I69" s="410">
        <f t="shared" si="21"/>
        <v>30.102329262777022</v>
      </c>
      <c r="J69" s="410">
        <f t="shared" si="21"/>
        <v>30.015289751559482</v>
      </c>
      <c r="K69" s="410">
        <f t="shared" si="21"/>
        <v>28.304212881575115</v>
      </c>
      <c r="L69" s="410">
        <f t="shared" si="21"/>
        <v>27.396689357427572</v>
      </c>
      <c r="M69" s="410">
        <f t="shared" si="21"/>
        <v>27.089934053750238</v>
      </c>
      <c r="N69" s="410">
        <f t="shared" si="21"/>
        <v>25.38340632677664</v>
      </c>
      <c r="O69" s="410">
        <f t="shared" si="21"/>
        <v>23.899678203478899</v>
      </c>
      <c r="P69" s="410">
        <f t="shared" si="21"/>
        <v>20.864525727894751</v>
      </c>
      <c r="Q69" s="410">
        <f t="shared" si="21"/>
        <v>19.56096066976195</v>
      </c>
      <c r="R69" s="410">
        <f t="shared" si="21"/>
        <v>18.504163979449412</v>
      </c>
      <c r="S69" s="410">
        <f t="shared" si="21"/>
        <v>16.349407136779071</v>
      </c>
      <c r="T69" s="410">
        <f t="shared" si="21"/>
        <v>14.976967146942465</v>
      </c>
      <c r="U69" s="410">
        <f t="shared" si="21"/>
        <v>14.608231456608742</v>
      </c>
      <c r="V69" s="410">
        <f t="shared" si="21"/>
        <v>11.963182761486465</v>
      </c>
      <c r="W69" s="427">
        <f t="shared" si="21"/>
        <v>11.638482735597337</v>
      </c>
    </row>
    <row r="70" spans="1:23">
      <c r="A70" s="402" t="s">
        <v>669</v>
      </c>
      <c r="C70" s="422">
        <f t="shared" ref="C70:W70" si="22">C47/C62*100</f>
        <v>4.0023090244371753</v>
      </c>
      <c r="D70" s="422">
        <f t="shared" si="22"/>
        <v>5.8572661366639851</v>
      </c>
      <c r="E70" s="422">
        <f t="shared" si="22"/>
        <v>8.6063292858085454</v>
      </c>
      <c r="F70" s="422">
        <f t="shared" si="22"/>
        <v>11.211390266598006</v>
      </c>
      <c r="G70" s="422">
        <f t="shared" si="22"/>
        <v>13.76968863484969</v>
      </c>
      <c r="H70" s="422">
        <f t="shared" si="22"/>
        <v>16.622161483112812</v>
      </c>
      <c r="I70" s="422">
        <f t="shared" si="22"/>
        <v>18.556947880916276</v>
      </c>
      <c r="J70" s="422">
        <f t="shared" si="22"/>
        <v>21.327488612445077</v>
      </c>
      <c r="K70" s="422">
        <f t="shared" si="22"/>
        <v>23.859924839303215</v>
      </c>
      <c r="L70" s="422">
        <f t="shared" si="22"/>
        <v>26.090049600100144</v>
      </c>
      <c r="M70" s="422">
        <f t="shared" si="22"/>
        <v>29.20421778816355</v>
      </c>
      <c r="N70" s="422">
        <f t="shared" si="22"/>
        <v>35.128412507057725</v>
      </c>
      <c r="O70" s="422">
        <f t="shared" si="22"/>
        <v>39.978571194291476</v>
      </c>
      <c r="P70" s="422">
        <f t="shared" si="22"/>
        <v>47.169468669356732</v>
      </c>
      <c r="Q70" s="422">
        <f t="shared" si="22"/>
        <v>50.895128080570316</v>
      </c>
      <c r="R70" s="422">
        <f t="shared" si="22"/>
        <v>55.548913268182133</v>
      </c>
      <c r="S70" s="422">
        <f t="shared" si="22"/>
        <v>63.608144915488808</v>
      </c>
      <c r="T70" s="422">
        <f t="shared" si="22"/>
        <v>69.388490818644627</v>
      </c>
      <c r="U70" s="422">
        <f t="shared" si="22"/>
        <v>70.440804467173649</v>
      </c>
      <c r="V70" s="422">
        <f t="shared" si="22"/>
        <v>74.413517454789869</v>
      </c>
      <c r="W70" s="427">
        <f t="shared" si="22"/>
        <v>75.733120604153441</v>
      </c>
    </row>
    <row r="71" spans="1:23" s="152" customFormat="1">
      <c r="A71" s="439" t="s">
        <v>635</v>
      </c>
      <c r="B71" s="439"/>
      <c r="C71" s="440">
        <v>31.9</v>
      </c>
      <c r="D71" s="440">
        <v>32.200000000000003</v>
      </c>
      <c r="E71" s="440">
        <v>32.6</v>
      </c>
      <c r="F71" s="440">
        <v>32.9</v>
      </c>
      <c r="G71" s="440">
        <v>33.299999999999997</v>
      </c>
      <c r="H71" s="440">
        <v>33.6</v>
      </c>
      <c r="I71" s="440">
        <v>34</v>
      </c>
      <c r="J71" s="440">
        <v>34.299999999999997</v>
      </c>
      <c r="K71" s="440">
        <v>34.799999999999997</v>
      </c>
      <c r="L71" s="440">
        <v>35.200000000000003</v>
      </c>
      <c r="M71" s="440">
        <v>35.5</v>
      </c>
      <c r="N71" s="440">
        <v>35.9</v>
      </c>
      <c r="O71" s="440">
        <v>36.200000000000003</v>
      </c>
      <c r="P71" s="440">
        <v>36.700000000000003</v>
      </c>
      <c r="Q71" s="440">
        <v>37.06</v>
      </c>
      <c r="R71" s="440">
        <v>37.6</v>
      </c>
      <c r="S71" s="440">
        <v>38.01</v>
      </c>
      <c r="T71" s="439">
        <v>38.299999999999997</v>
      </c>
      <c r="U71" s="439">
        <v>39.299999999999997</v>
      </c>
      <c r="V71" s="439">
        <v>40.299999999999997</v>
      </c>
      <c r="W71" s="441">
        <v>41.3</v>
      </c>
    </row>
    <row r="72" spans="1:23">
      <c r="A72" s="399" t="s">
        <v>671</v>
      </c>
      <c r="C72" s="410">
        <f>C67/C71</f>
        <v>92.906269592476491</v>
      </c>
      <c r="D72" s="410">
        <f t="shared" ref="D72:W72" si="23">D67/D71</f>
        <v>93.596894409937875</v>
      </c>
      <c r="E72" s="410">
        <f t="shared" si="23"/>
        <v>99.424846625766861</v>
      </c>
      <c r="F72" s="410">
        <f t="shared" si="23"/>
        <v>100.26474164133739</v>
      </c>
      <c r="G72" s="410">
        <f t="shared" si="23"/>
        <v>101.9012012012012</v>
      </c>
      <c r="H72" s="410">
        <f t="shared" si="23"/>
        <v>92.369940476190479</v>
      </c>
      <c r="I72" s="410">
        <f t="shared" si="23"/>
        <v>106.49</v>
      </c>
      <c r="J72" s="410">
        <f t="shared" si="23"/>
        <v>109.71603498542275</v>
      </c>
      <c r="K72" s="410">
        <f t="shared" si="23"/>
        <v>105.16178160919542</v>
      </c>
      <c r="L72" s="410">
        <f t="shared" si="23"/>
        <v>101.9653409090909</v>
      </c>
      <c r="M72" s="410">
        <f t="shared" si="23"/>
        <v>99.10985915492958</v>
      </c>
      <c r="N72" s="410">
        <f t="shared" si="23"/>
        <v>92.668523676880227</v>
      </c>
      <c r="O72" s="410">
        <f t="shared" si="23"/>
        <v>90.580110497237555</v>
      </c>
      <c r="P72" s="410">
        <f t="shared" si="23"/>
        <v>81.608290871934585</v>
      </c>
      <c r="Q72" s="410">
        <f t="shared" si="23"/>
        <v>78.734441770102535</v>
      </c>
      <c r="R72" s="410">
        <f t="shared" si="23"/>
        <v>77.608656010638299</v>
      </c>
      <c r="S72" s="410">
        <f t="shared" si="23"/>
        <v>65.079921994212057</v>
      </c>
      <c r="T72" s="410">
        <f t="shared" si="23"/>
        <v>72.526880496083578</v>
      </c>
      <c r="U72" s="410">
        <f t="shared" si="23"/>
        <v>75.940203562340983</v>
      </c>
      <c r="V72" s="410">
        <f t="shared" si="23"/>
        <v>66.027344913151367</v>
      </c>
      <c r="W72" s="427">
        <f t="shared" si="23"/>
        <v>67.052542372881362</v>
      </c>
    </row>
    <row r="73" spans="1:23">
      <c r="A73" s="399" t="s">
        <v>670</v>
      </c>
      <c r="C73" s="410">
        <f t="shared" ref="C73:W73" si="24">C47/C71</f>
        <v>11.410658307210031</v>
      </c>
      <c r="D73" s="410">
        <f t="shared" si="24"/>
        <v>17.453416149068321</v>
      </c>
      <c r="E73" s="410">
        <f t="shared" si="24"/>
        <v>27.607361963190183</v>
      </c>
      <c r="F73" s="410">
        <f t="shared" si="24"/>
        <v>37.72036474164134</v>
      </c>
      <c r="G73" s="410">
        <f t="shared" si="24"/>
        <v>48.108108108108112</v>
      </c>
      <c r="H73" s="410">
        <f t="shared" si="24"/>
        <v>54.226190476190474</v>
      </c>
      <c r="I73" s="410">
        <f t="shared" si="24"/>
        <v>65.647058823529406</v>
      </c>
      <c r="J73" s="410">
        <f t="shared" si="24"/>
        <v>77.959183673469397</v>
      </c>
      <c r="K73" s="410">
        <f t="shared" si="24"/>
        <v>88.649425287356323</v>
      </c>
      <c r="L73" s="410">
        <f t="shared" si="24"/>
        <v>97.10227272727272</v>
      </c>
      <c r="M73" s="410">
        <f t="shared" si="24"/>
        <v>106.84507042253522</v>
      </c>
      <c r="N73" s="410">
        <f t="shared" si="24"/>
        <v>128.24512534818942</v>
      </c>
      <c r="O73" s="410">
        <f t="shared" si="24"/>
        <v>151.51933701657458</v>
      </c>
      <c r="P73" s="410">
        <f t="shared" si="24"/>
        <v>184.49591280653951</v>
      </c>
      <c r="Q73" s="410">
        <f t="shared" si="24"/>
        <v>204.85698866702643</v>
      </c>
      <c r="R73" s="410">
        <f t="shared" si="24"/>
        <v>232.97872340425531</v>
      </c>
      <c r="S73" s="410">
        <f t="shared" si="24"/>
        <v>253.19652722967641</v>
      </c>
      <c r="T73" s="410">
        <f t="shared" si="24"/>
        <v>336.01801566579638</v>
      </c>
      <c r="U73" s="410">
        <f t="shared" si="24"/>
        <v>366.18320610687027</v>
      </c>
      <c r="V73" s="410">
        <f t="shared" si="24"/>
        <v>410.70399751861044</v>
      </c>
      <c r="W73" s="427">
        <f t="shared" si="24"/>
        <v>436.31961259079907</v>
      </c>
    </row>
    <row r="74" spans="1:23">
      <c r="A74" s="399" t="s">
        <v>672</v>
      </c>
      <c r="C74" s="410">
        <f>C62/C71</f>
        <v>285.10188087774299</v>
      </c>
      <c r="D74" s="410">
        <f t="shared" ref="D74:W74" si="25">D62/D71</f>
        <v>297.97888198757761</v>
      </c>
      <c r="E74" s="410">
        <f t="shared" si="25"/>
        <v>320.77975460122695</v>
      </c>
      <c r="F74" s="410">
        <f t="shared" si="25"/>
        <v>336.44680851063833</v>
      </c>
      <c r="G74" s="410">
        <f t="shared" si="25"/>
        <v>349.37687687687691</v>
      </c>
      <c r="H74" s="410">
        <f t="shared" si="25"/>
        <v>326.22827380952378</v>
      </c>
      <c r="I74" s="410">
        <f t="shared" si="25"/>
        <v>353.76</v>
      </c>
      <c r="J74" s="410">
        <f t="shared" si="25"/>
        <v>365.5338192419826</v>
      </c>
      <c r="K74" s="410">
        <f t="shared" si="25"/>
        <v>371.54109195402299</v>
      </c>
      <c r="L74" s="410">
        <f t="shared" si="25"/>
        <v>372.18124999999998</v>
      </c>
      <c r="M74" s="410">
        <f t="shared" si="25"/>
        <v>365.85492957746482</v>
      </c>
      <c r="N74" s="410">
        <f t="shared" si="25"/>
        <v>365.07520891364908</v>
      </c>
      <c r="O74" s="410">
        <f t="shared" si="25"/>
        <v>379.00138121546962</v>
      </c>
      <c r="P74" s="410">
        <f t="shared" si="25"/>
        <v>391.13417643051764</v>
      </c>
      <c r="Q74" s="410">
        <f t="shared" si="25"/>
        <v>402.50805213167831</v>
      </c>
      <c r="R74" s="410">
        <f t="shared" si="25"/>
        <v>419.41184749999996</v>
      </c>
      <c r="S74" s="410">
        <f t="shared" si="25"/>
        <v>398.05677019205473</v>
      </c>
      <c r="T74" s="410">
        <f t="shared" si="25"/>
        <v>484.25612331592697</v>
      </c>
      <c r="U74" s="410">
        <f t="shared" si="25"/>
        <v>519.84529262086517</v>
      </c>
      <c r="V74" s="410">
        <f t="shared" si="25"/>
        <v>551.92122555977119</v>
      </c>
      <c r="W74" s="427">
        <f t="shared" si="25"/>
        <v>576.12786731895198</v>
      </c>
    </row>
    <row r="75" spans="1:23">
      <c r="A75" s="399" t="s">
        <v>919</v>
      </c>
    </row>
    <row r="76" spans="1:23">
      <c r="B76" s="416"/>
      <c r="D76" s="416"/>
      <c r="E76" s="416"/>
      <c r="F76" s="416"/>
      <c r="G76" s="410"/>
      <c r="H76" s="410"/>
      <c r="I76" s="410"/>
      <c r="J76" s="410"/>
      <c r="K76" s="410"/>
      <c r="L76" s="410"/>
      <c r="M76" s="410"/>
      <c r="N76" s="410"/>
      <c r="O76" s="410"/>
      <c r="P76" s="410"/>
      <c r="Q76" s="410"/>
      <c r="R76" s="410"/>
      <c r="S76" s="416"/>
      <c r="T76" s="416"/>
    </row>
    <row r="77" spans="1:23">
      <c r="A77" s="399" t="s">
        <v>673</v>
      </c>
      <c r="C77" s="399">
        <v>2004</v>
      </c>
      <c r="D77" s="399">
        <v>2005</v>
      </c>
      <c r="E77" s="399">
        <v>2006</v>
      </c>
      <c r="F77" s="399">
        <v>2007</v>
      </c>
      <c r="G77" s="399">
        <v>2008</v>
      </c>
      <c r="H77" s="399">
        <v>2009</v>
      </c>
      <c r="I77" s="399">
        <v>2010</v>
      </c>
      <c r="J77" s="399">
        <v>2011</v>
      </c>
      <c r="K77" s="399">
        <v>2012</v>
      </c>
      <c r="L77" s="399">
        <v>2013</v>
      </c>
      <c r="M77" s="399">
        <v>2014</v>
      </c>
      <c r="N77" s="399">
        <v>2015</v>
      </c>
      <c r="O77" s="399">
        <v>2016</v>
      </c>
      <c r="P77" s="399">
        <v>2017</v>
      </c>
      <c r="Q77" s="399">
        <v>2018</v>
      </c>
      <c r="R77" s="399">
        <v>2019</v>
      </c>
      <c r="S77" s="399">
        <v>2020</v>
      </c>
      <c r="T77" s="399">
        <v>2021</v>
      </c>
      <c r="U77" s="399">
        <v>2022</v>
      </c>
      <c r="V77" s="399">
        <v>2023</v>
      </c>
      <c r="W77" s="400">
        <v>2024</v>
      </c>
    </row>
    <row r="78" spans="1:23">
      <c r="A78" s="399" t="s">
        <v>674</v>
      </c>
      <c r="C78" s="410"/>
      <c r="D78" s="410"/>
      <c r="E78" s="410"/>
      <c r="F78" s="410"/>
      <c r="G78" s="399">
        <v>49.7</v>
      </c>
      <c r="H78" s="410">
        <f>(G78+I78)/2</f>
        <v>47.1</v>
      </c>
      <c r="I78" s="399">
        <v>44.5</v>
      </c>
      <c r="J78" s="399">
        <v>47.9</v>
      </c>
      <c r="K78" s="399">
        <v>47.6</v>
      </c>
      <c r="L78" s="399">
        <v>49.3</v>
      </c>
      <c r="M78" s="399">
        <v>66.2</v>
      </c>
      <c r="N78" s="399">
        <v>68.8</v>
      </c>
      <c r="O78" s="399">
        <v>71.099999999999994</v>
      </c>
      <c r="P78" s="399">
        <v>76.599999999999994</v>
      </c>
      <c r="Q78" s="399">
        <v>77.099999999999994</v>
      </c>
      <c r="R78" s="399">
        <v>79.599999999999994</v>
      </c>
      <c r="S78" s="399">
        <v>79.5</v>
      </c>
      <c r="T78" s="399">
        <v>79.5</v>
      </c>
      <c r="U78" s="399">
        <v>77.3</v>
      </c>
      <c r="V78" s="399">
        <v>75</v>
      </c>
    </row>
    <row r="79" spans="1:23">
      <c r="A79" s="399" t="s">
        <v>675</v>
      </c>
      <c r="C79" s="410"/>
      <c r="D79" s="410"/>
      <c r="E79" s="410"/>
      <c r="F79" s="410"/>
      <c r="G79" s="399">
        <v>49.7</v>
      </c>
      <c r="H79" s="410">
        <f>(G79+I79)/2</f>
        <v>47.1</v>
      </c>
      <c r="I79" s="399">
        <v>44.5</v>
      </c>
      <c r="J79" s="399">
        <v>48.6</v>
      </c>
      <c r="K79" s="399">
        <v>47.6</v>
      </c>
      <c r="L79" s="399">
        <v>49.3</v>
      </c>
      <c r="M79" s="399">
        <v>72.900000000000006</v>
      </c>
      <c r="N79" s="399">
        <v>73.900000000000006</v>
      </c>
      <c r="O79" s="399">
        <v>75.7</v>
      </c>
      <c r="P79" s="399">
        <v>81.7</v>
      </c>
      <c r="Q79" s="399">
        <v>85</v>
      </c>
      <c r="R79" s="399">
        <v>89.1</v>
      </c>
      <c r="S79" s="399">
        <v>90.2</v>
      </c>
      <c r="T79" s="399">
        <v>91.3</v>
      </c>
      <c r="U79" s="399">
        <v>90.4</v>
      </c>
      <c r="V79" s="399">
        <v>92.1</v>
      </c>
    </row>
    <row r="80" spans="1:23">
      <c r="A80" s="399" t="s">
        <v>676</v>
      </c>
      <c r="C80" s="410"/>
      <c r="D80" s="410"/>
      <c r="E80" s="410"/>
      <c r="F80" s="410"/>
      <c r="G80" s="410"/>
      <c r="H80" s="410">
        <v>87</v>
      </c>
      <c r="I80" s="410">
        <v>90</v>
      </c>
      <c r="J80" s="410">
        <v>90</v>
      </c>
      <c r="K80" s="410">
        <v>90</v>
      </c>
      <c r="L80" s="410">
        <v>89</v>
      </c>
      <c r="M80" s="410">
        <v>83</v>
      </c>
      <c r="N80" s="410">
        <v>85</v>
      </c>
      <c r="O80" s="410">
        <v>87</v>
      </c>
      <c r="P80" s="410">
        <v>91.4</v>
      </c>
      <c r="Q80" s="410">
        <v>92.6</v>
      </c>
      <c r="R80" s="410">
        <v>95</v>
      </c>
      <c r="S80" s="410">
        <v>96.199999999999989</v>
      </c>
      <c r="T80" s="410">
        <v>97.109999999999985</v>
      </c>
      <c r="U80" s="410">
        <v>97.399999999999991</v>
      </c>
      <c r="V80" s="399">
        <v>99.199999999999989</v>
      </c>
    </row>
    <row r="81" spans="1:23">
      <c r="A81" s="399" t="s">
        <v>677</v>
      </c>
      <c r="C81" s="410"/>
      <c r="D81" s="410"/>
      <c r="E81" s="410"/>
      <c r="F81" s="410"/>
      <c r="G81" s="410"/>
      <c r="H81" s="410"/>
      <c r="I81" s="410"/>
      <c r="J81" s="410"/>
      <c r="K81" s="410"/>
      <c r="L81" s="410"/>
      <c r="M81" s="410"/>
      <c r="N81" s="410"/>
      <c r="O81" s="410"/>
      <c r="P81" s="410"/>
      <c r="Q81" s="410"/>
      <c r="R81" s="410"/>
      <c r="S81" s="410"/>
    </row>
    <row r="82" spans="1:23">
      <c r="A82" s="399" t="s">
        <v>678</v>
      </c>
      <c r="C82" s="410"/>
      <c r="D82" s="410"/>
      <c r="E82" s="410"/>
      <c r="F82" s="410"/>
      <c r="G82" s="410"/>
      <c r="H82" s="410"/>
      <c r="I82" s="410"/>
      <c r="J82" s="410"/>
      <c r="K82" s="410"/>
      <c r="L82" s="410"/>
      <c r="M82" s="410"/>
      <c r="N82" s="410"/>
      <c r="O82" s="410"/>
      <c r="P82" s="410"/>
      <c r="Q82" s="410"/>
      <c r="R82" s="410"/>
      <c r="S82" s="410"/>
    </row>
    <row r="83" spans="1:23">
      <c r="A83" s="664"/>
      <c r="B83" s="665"/>
      <c r="C83" s="666"/>
      <c r="D83" s="666"/>
      <c r="E83" s="666"/>
      <c r="F83" s="666"/>
      <c r="G83" s="666"/>
      <c r="H83" s="666"/>
      <c r="I83" s="666"/>
      <c r="J83" s="666"/>
      <c r="K83" s="666"/>
      <c r="L83" s="666"/>
      <c r="M83" s="666"/>
      <c r="N83" s="666"/>
      <c r="O83" s="666"/>
      <c r="P83" s="666"/>
      <c r="Q83" s="666"/>
      <c r="R83" s="666"/>
      <c r="S83" s="666"/>
      <c r="T83" s="665"/>
    </row>
    <row r="84" spans="1:23">
      <c r="C84" s="399">
        <v>2004</v>
      </c>
      <c r="D84" s="399">
        <v>2005</v>
      </c>
      <c r="E84" s="399">
        <v>2006</v>
      </c>
      <c r="F84" s="399">
        <v>2007</v>
      </c>
      <c r="G84" s="399">
        <v>2008</v>
      </c>
      <c r="H84" s="399">
        <v>2009</v>
      </c>
      <c r="I84" s="399">
        <v>2010</v>
      </c>
      <c r="J84" s="399">
        <v>2011</v>
      </c>
      <c r="K84" s="399">
        <v>2012</v>
      </c>
      <c r="L84" s="399">
        <v>2013</v>
      </c>
      <c r="M84" s="399">
        <v>2014</v>
      </c>
      <c r="N84" s="399">
        <v>2015</v>
      </c>
      <c r="O84" s="399">
        <v>2016</v>
      </c>
      <c r="P84" s="399">
        <v>2017</v>
      </c>
      <c r="Q84" s="399">
        <v>2018</v>
      </c>
      <c r="R84" s="399">
        <v>2019</v>
      </c>
      <c r="S84" s="399">
        <v>2020</v>
      </c>
      <c r="T84" s="399">
        <v>2021</v>
      </c>
      <c r="U84" s="399">
        <v>2022</v>
      </c>
      <c r="V84" s="399">
        <v>2023</v>
      </c>
      <c r="W84" s="400">
        <v>2024</v>
      </c>
    </row>
    <row r="85" spans="1:23">
      <c r="A85" s="402" t="s">
        <v>679</v>
      </c>
      <c r="C85" s="422">
        <f t="shared" ref="C85:V85" si="26">C47</f>
        <v>364</v>
      </c>
      <c r="D85" s="422">
        <f t="shared" si="26"/>
        <v>562</v>
      </c>
      <c r="E85" s="422">
        <f t="shared" si="26"/>
        <v>900</v>
      </c>
      <c r="F85" s="422">
        <f t="shared" si="26"/>
        <v>1241</v>
      </c>
      <c r="G85" s="422">
        <f t="shared" si="26"/>
        <v>1602</v>
      </c>
      <c r="H85" s="422">
        <f t="shared" si="26"/>
        <v>1822</v>
      </c>
      <c r="I85" s="422">
        <f t="shared" si="26"/>
        <v>2232</v>
      </c>
      <c r="J85" s="422">
        <f t="shared" si="26"/>
        <v>2674</v>
      </c>
      <c r="K85" s="422">
        <f t="shared" si="26"/>
        <v>3085</v>
      </c>
      <c r="L85" s="422">
        <f t="shared" si="26"/>
        <v>3418</v>
      </c>
      <c r="M85" s="422">
        <f t="shared" si="26"/>
        <v>3793</v>
      </c>
      <c r="N85" s="422">
        <f t="shared" si="26"/>
        <v>4604</v>
      </c>
      <c r="O85" s="422">
        <f t="shared" si="26"/>
        <v>5485</v>
      </c>
      <c r="P85" s="422">
        <f t="shared" si="26"/>
        <v>6771</v>
      </c>
      <c r="Q85" s="422">
        <f t="shared" si="26"/>
        <v>7592</v>
      </c>
      <c r="R85" s="422">
        <f t="shared" si="26"/>
        <v>8760</v>
      </c>
      <c r="S85" s="422">
        <f t="shared" si="26"/>
        <v>9624</v>
      </c>
      <c r="T85" s="422">
        <f t="shared" si="26"/>
        <v>12869.49</v>
      </c>
      <c r="U85" s="422">
        <f t="shared" si="26"/>
        <v>14391</v>
      </c>
      <c r="V85" s="422">
        <f t="shared" si="26"/>
        <v>16551.3711</v>
      </c>
      <c r="W85" s="400">
        <v>18020</v>
      </c>
    </row>
    <row r="86" spans="1:23">
      <c r="A86" s="399" t="s">
        <v>635</v>
      </c>
      <c r="C86" s="410">
        <f>C106</f>
        <v>31.9</v>
      </c>
      <c r="D86" s="410">
        <f t="shared" ref="D86:V86" si="27">D106</f>
        <v>32.200000000000003</v>
      </c>
      <c r="E86" s="410">
        <f t="shared" si="27"/>
        <v>32.6</v>
      </c>
      <c r="F86" s="410">
        <f t="shared" si="27"/>
        <v>32.9</v>
      </c>
      <c r="G86" s="410">
        <f t="shared" si="27"/>
        <v>33.299999999999997</v>
      </c>
      <c r="H86" s="415">
        <f t="shared" si="27"/>
        <v>33.6</v>
      </c>
      <c r="I86" s="442">
        <f t="shared" si="27"/>
        <v>34</v>
      </c>
      <c r="J86" s="442">
        <f t="shared" si="27"/>
        <v>34.299999999999997</v>
      </c>
      <c r="K86" s="442">
        <f t="shared" si="27"/>
        <v>34.799999999999997</v>
      </c>
      <c r="L86" s="442">
        <f t="shared" si="27"/>
        <v>35.200000000000003</v>
      </c>
      <c r="M86" s="443">
        <f t="shared" si="27"/>
        <v>35.5</v>
      </c>
      <c r="N86" s="443">
        <f t="shared" si="27"/>
        <v>35.9</v>
      </c>
      <c r="O86" s="443">
        <f t="shared" si="27"/>
        <v>36.200000000000003</v>
      </c>
      <c r="P86" s="443">
        <f t="shared" si="27"/>
        <v>36.700000000000003</v>
      </c>
      <c r="Q86" s="443">
        <f t="shared" si="27"/>
        <v>37.06</v>
      </c>
      <c r="R86" s="443">
        <f t="shared" si="27"/>
        <v>37.6</v>
      </c>
      <c r="S86" s="443">
        <f t="shared" si="27"/>
        <v>38.027999999999999</v>
      </c>
      <c r="T86" s="443">
        <f t="shared" si="27"/>
        <v>38.238999999999997</v>
      </c>
      <c r="U86" s="443">
        <f t="shared" si="27"/>
        <v>38.939</v>
      </c>
      <c r="V86" s="443">
        <f t="shared" si="27"/>
        <v>40.097000000000001</v>
      </c>
      <c r="W86" s="400">
        <v>41.287999999999997</v>
      </c>
    </row>
    <row r="87" spans="1:23">
      <c r="A87" s="399" t="s">
        <v>680</v>
      </c>
      <c r="C87" s="410">
        <f>C85/C86</f>
        <v>11.410658307210031</v>
      </c>
      <c r="D87" s="410">
        <f t="shared" ref="D87:W87" si="28">D85/D86</f>
        <v>17.453416149068321</v>
      </c>
      <c r="E87" s="410">
        <f t="shared" si="28"/>
        <v>27.607361963190183</v>
      </c>
      <c r="F87" s="410">
        <f t="shared" si="28"/>
        <v>37.72036474164134</v>
      </c>
      <c r="G87" s="410">
        <f t="shared" si="28"/>
        <v>48.108108108108112</v>
      </c>
      <c r="H87" s="415">
        <f t="shared" si="28"/>
        <v>54.226190476190474</v>
      </c>
      <c r="I87" s="442">
        <f t="shared" si="28"/>
        <v>65.647058823529406</v>
      </c>
      <c r="J87" s="442">
        <f t="shared" si="28"/>
        <v>77.959183673469397</v>
      </c>
      <c r="K87" s="442">
        <f t="shared" si="28"/>
        <v>88.649425287356323</v>
      </c>
      <c r="L87" s="442">
        <f t="shared" si="28"/>
        <v>97.10227272727272</v>
      </c>
      <c r="M87" s="443">
        <f t="shared" si="28"/>
        <v>106.84507042253522</v>
      </c>
      <c r="N87" s="443">
        <f t="shared" si="28"/>
        <v>128.24512534818942</v>
      </c>
      <c r="O87" s="443">
        <f t="shared" si="28"/>
        <v>151.51933701657458</v>
      </c>
      <c r="P87" s="443">
        <f t="shared" si="28"/>
        <v>184.49591280653951</v>
      </c>
      <c r="Q87" s="443">
        <f t="shared" si="28"/>
        <v>204.85698866702643</v>
      </c>
      <c r="R87" s="443">
        <f t="shared" si="28"/>
        <v>232.97872340425531</v>
      </c>
      <c r="S87" s="443">
        <f t="shared" si="28"/>
        <v>253.07668034080152</v>
      </c>
      <c r="T87" s="443">
        <f t="shared" si="28"/>
        <v>336.55404168519055</v>
      </c>
      <c r="U87" s="443">
        <f t="shared" si="28"/>
        <v>369.5780579881353</v>
      </c>
      <c r="V87" s="443">
        <f t="shared" si="28"/>
        <v>412.78327805072701</v>
      </c>
      <c r="W87" s="427">
        <f t="shared" si="28"/>
        <v>436.44642511141257</v>
      </c>
    </row>
    <row r="88" spans="1:23">
      <c r="B88" s="444"/>
      <c r="C88" s="410"/>
      <c r="D88" s="410"/>
      <c r="E88" s="410"/>
      <c r="F88" s="410"/>
      <c r="G88" s="410"/>
      <c r="H88" s="410"/>
      <c r="I88" s="410"/>
      <c r="J88" s="410"/>
      <c r="K88" s="410"/>
      <c r="L88" s="410"/>
      <c r="M88" s="410"/>
      <c r="N88" s="410"/>
      <c r="O88" s="410"/>
      <c r="P88" s="410"/>
      <c r="Q88" s="410"/>
      <c r="R88" s="410"/>
      <c r="S88" s="410"/>
      <c r="V88" s="444"/>
    </row>
    <row r="89" spans="1:23">
      <c r="B89" s="444"/>
      <c r="C89" s="418">
        <v>2004</v>
      </c>
      <c r="D89" s="418">
        <v>2005</v>
      </c>
      <c r="E89" s="418">
        <v>2006</v>
      </c>
      <c r="F89" s="418">
        <v>2007</v>
      </c>
      <c r="G89" s="418">
        <v>2008</v>
      </c>
      <c r="H89" s="399">
        <v>2009</v>
      </c>
      <c r="I89" s="399">
        <v>2010</v>
      </c>
      <c r="J89" s="399">
        <v>2011</v>
      </c>
      <c r="K89" s="399">
        <v>2012</v>
      </c>
      <c r="L89" s="399">
        <v>2013</v>
      </c>
      <c r="M89" s="399">
        <v>2014</v>
      </c>
      <c r="N89" s="399">
        <v>2015</v>
      </c>
      <c r="O89" s="399">
        <v>2016</v>
      </c>
      <c r="P89" s="399">
        <v>2017</v>
      </c>
      <c r="Q89" s="399">
        <v>2018</v>
      </c>
      <c r="R89" s="399">
        <v>2019</v>
      </c>
      <c r="S89" s="399">
        <v>2020</v>
      </c>
      <c r="T89" s="399">
        <v>2021</v>
      </c>
      <c r="U89" s="399">
        <v>2022</v>
      </c>
      <c r="V89" s="399">
        <v>2023</v>
      </c>
      <c r="W89" s="400">
        <v>2024</v>
      </c>
    </row>
    <row r="90" spans="1:23">
      <c r="A90" s="399" t="s">
        <v>682</v>
      </c>
      <c r="B90" s="444"/>
      <c r="C90" s="410">
        <f t="shared" ref="C90:W90" si="29">C47</f>
        <v>364</v>
      </c>
      <c r="D90" s="410">
        <f t="shared" si="29"/>
        <v>562</v>
      </c>
      <c r="E90" s="410">
        <f t="shared" si="29"/>
        <v>900</v>
      </c>
      <c r="F90" s="410">
        <f t="shared" si="29"/>
        <v>1241</v>
      </c>
      <c r="G90" s="410">
        <f t="shared" si="29"/>
        <v>1602</v>
      </c>
      <c r="H90" s="410">
        <f t="shared" si="29"/>
        <v>1822</v>
      </c>
      <c r="I90" s="410">
        <f t="shared" si="29"/>
        <v>2232</v>
      </c>
      <c r="J90" s="410">
        <f t="shared" si="29"/>
        <v>2674</v>
      </c>
      <c r="K90" s="410">
        <f t="shared" si="29"/>
        <v>3085</v>
      </c>
      <c r="L90" s="410">
        <f t="shared" si="29"/>
        <v>3418</v>
      </c>
      <c r="M90" s="410">
        <f t="shared" si="29"/>
        <v>3793</v>
      </c>
      <c r="N90" s="410">
        <f t="shared" si="29"/>
        <v>4604</v>
      </c>
      <c r="O90" s="410">
        <f t="shared" si="29"/>
        <v>5485</v>
      </c>
      <c r="P90" s="410">
        <f t="shared" si="29"/>
        <v>6771</v>
      </c>
      <c r="Q90" s="410">
        <f t="shared" si="29"/>
        <v>7592</v>
      </c>
      <c r="R90" s="410">
        <f t="shared" si="29"/>
        <v>8760</v>
      </c>
      <c r="S90" s="410">
        <f t="shared" si="29"/>
        <v>9624</v>
      </c>
      <c r="T90" s="410">
        <f t="shared" si="29"/>
        <v>12869.49</v>
      </c>
      <c r="U90" s="410">
        <f t="shared" si="29"/>
        <v>14391</v>
      </c>
      <c r="V90" s="410">
        <f t="shared" si="29"/>
        <v>16551.3711</v>
      </c>
      <c r="W90" s="427">
        <f t="shared" si="29"/>
        <v>18020</v>
      </c>
    </row>
    <row r="91" spans="1:23">
      <c r="A91" s="399" t="s">
        <v>681</v>
      </c>
      <c r="B91" s="444"/>
      <c r="C91" s="410">
        <f t="shared" ref="C91:W91" si="30">C16</f>
        <v>2963.71</v>
      </c>
      <c r="D91" s="410">
        <f t="shared" si="30"/>
        <v>3013.8199999999997</v>
      </c>
      <c r="E91" s="410">
        <f t="shared" si="30"/>
        <v>3241.25</v>
      </c>
      <c r="F91" s="410">
        <f t="shared" si="30"/>
        <v>3298.71</v>
      </c>
      <c r="G91" s="410">
        <f t="shared" si="30"/>
        <v>3393.31</v>
      </c>
      <c r="H91" s="410">
        <f t="shared" si="30"/>
        <v>3103.63</v>
      </c>
      <c r="I91" s="410">
        <f t="shared" si="30"/>
        <v>3620.66</v>
      </c>
      <c r="J91" s="410">
        <f t="shared" si="30"/>
        <v>3763.26</v>
      </c>
      <c r="K91" s="410">
        <f t="shared" si="30"/>
        <v>3659.63</v>
      </c>
      <c r="L91" s="410">
        <f t="shared" si="30"/>
        <v>3589.18</v>
      </c>
      <c r="M91" s="410">
        <f t="shared" si="30"/>
        <v>3518.4</v>
      </c>
      <c r="N91" s="410">
        <f t="shared" si="30"/>
        <v>3326.8</v>
      </c>
      <c r="O91" s="410">
        <f t="shared" si="30"/>
        <v>3279</v>
      </c>
      <c r="P91" s="410">
        <f t="shared" si="30"/>
        <v>2995.0242749999998</v>
      </c>
      <c r="Q91" s="410">
        <f t="shared" si="30"/>
        <v>2917.898412</v>
      </c>
      <c r="R91" s="410">
        <f t="shared" si="30"/>
        <v>2918.085466</v>
      </c>
      <c r="S91" s="410">
        <f t="shared" si="30"/>
        <v>2473.6878350000002</v>
      </c>
      <c r="T91" s="410">
        <f t="shared" si="30"/>
        <v>2777.7795230000006</v>
      </c>
      <c r="U91" s="410">
        <f t="shared" si="30"/>
        <v>2984.4500000000003</v>
      </c>
      <c r="V91" s="410">
        <f t="shared" si="30"/>
        <v>2660.902</v>
      </c>
      <c r="W91" s="427">
        <f t="shared" si="30"/>
        <v>2769.27</v>
      </c>
    </row>
    <row r="92" spans="1:23">
      <c r="A92" s="399" t="s">
        <v>683</v>
      </c>
      <c r="B92" s="444"/>
      <c r="C92" s="422">
        <f t="shared" ref="C92:W92" si="31">C62</f>
        <v>9094.75</v>
      </c>
      <c r="D92" s="422">
        <f t="shared" si="31"/>
        <v>9594.92</v>
      </c>
      <c r="E92" s="422">
        <f t="shared" si="31"/>
        <v>10457.42</v>
      </c>
      <c r="F92" s="422">
        <f t="shared" si="31"/>
        <v>11069.1</v>
      </c>
      <c r="G92" s="422">
        <f t="shared" si="31"/>
        <v>11634.25</v>
      </c>
      <c r="H92" s="422">
        <f t="shared" si="31"/>
        <v>10961.27</v>
      </c>
      <c r="I92" s="422">
        <f t="shared" si="31"/>
        <v>12027.84</v>
      </c>
      <c r="J92" s="422">
        <f t="shared" si="31"/>
        <v>12537.810000000001</v>
      </c>
      <c r="K92" s="422">
        <f t="shared" si="31"/>
        <v>12929.63</v>
      </c>
      <c r="L92" s="422">
        <f t="shared" si="31"/>
        <v>13100.78</v>
      </c>
      <c r="M92" s="422">
        <f t="shared" si="31"/>
        <v>12987.85</v>
      </c>
      <c r="N92" s="422">
        <f t="shared" si="31"/>
        <v>13106.2</v>
      </c>
      <c r="O92" s="422">
        <f t="shared" si="31"/>
        <v>13719.85</v>
      </c>
      <c r="P92" s="422">
        <f t="shared" si="31"/>
        <v>14354.624274999998</v>
      </c>
      <c r="Q92" s="422">
        <f t="shared" si="31"/>
        <v>14916.948412</v>
      </c>
      <c r="R92" s="422">
        <f t="shared" si="31"/>
        <v>15769.885466</v>
      </c>
      <c r="S92" s="422">
        <f t="shared" si="31"/>
        <v>15130.137835</v>
      </c>
      <c r="T92" s="422">
        <f t="shared" si="31"/>
        <v>18547.009523000001</v>
      </c>
      <c r="U92" s="422">
        <f t="shared" si="31"/>
        <v>20429.919999999998</v>
      </c>
      <c r="V92" s="422">
        <f t="shared" si="31"/>
        <v>22242.425390058776</v>
      </c>
      <c r="W92" s="427">
        <f t="shared" si="31"/>
        <v>23794.080920272714</v>
      </c>
    </row>
    <row r="93" spans="1:23">
      <c r="A93" s="399" t="s">
        <v>684</v>
      </c>
      <c r="B93" s="444"/>
      <c r="C93" s="410">
        <f t="shared" ref="C93:W93" si="32">C92-C90</f>
        <v>8730.75</v>
      </c>
      <c r="D93" s="410">
        <f t="shared" si="32"/>
        <v>9032.92</v>
      </c>
      <c r="E93" s="410">
        <f t="shared" si="32"/>
        <v>9557.42</v>
      </c>
      <c r="F93" s="410">
        <f t="shared" si="32"/>
        <v>9828.1</v>
      </c>
      <c r="G93" s="410">
        <f t="shared" si="32"/>
        <v>10032.25</v>
      </c>
      <c r="H93" s="410">
        <f t="shared" si="32"/>
        <v>9139.27</v>
      </c>
      <c r="I93" s="410">
        <f t="shared" si="32"/>
        <v>9795.84</v>
      </c>
      <c r="J93" s="410">
        <f t="shared" si="32"/>
        <v>9863.8100000000013</v>
      </c>
      <c r="K93" s="410">
        <f t="shared" si="32"/>
        <v>9844.6299999999992</v>
      </c>
      <c r="L93" s="410">
        <f t="shared" si="32"/>
        <v>9682.7800000000007</v>
      </c>
      <c r="M93" s="410">
        <f t="shared" si="32"/>
        <v>9194.85</v>
      </c>
      <c r="N93" s="410">
        <f t="shared" si="32"/>
        <v>8502.2000000000007</v>
      </c>
      <c r="O93" s="410">
        <f t="shared" si="32"/>
        <v>8234.85</v>
      </c>
      <c r="P93" s="410">
        <f t="shared" si="32"/>
        <v>7583.6242749999983</v>
      </c>
      <c r="Q93" s="410">
        <f t="shared" si="32"/>
        <v>7324.9484119999997</v>
      </c>
      <c r="R93" s="410">
        <f t="shared" si="32"/>
        <v>7009.8854659999997</v>
      </c>
      <c r="S93" s="410">
        <f t="shared" si="32"/>
        <v>5506.1378349999995</v>
      </c>
      <c r="T93" s="410">
        <f t="shared" si="32"/>
        <v>5677.5195230000008</v>
      </c>
      <c r="U93" s="410">
        <f t="shared" si="32"/>
        <v>6038.9199999999983</v>
      </c>
      <c r="V93" s="410">
        <f t="shared" si="32"/>
        <v>5691.0542900587752</v>
      </c>
      <c r="W93" s="427">
        <f t="shared" si="32"/>
        <v>5774.0809202727141</v>
      </c>
    </row>
    <row r="94" spans="1:23">
      <c r="A94" s="399" t="s">
        <v>685</v>
      </c>
      <c r="B94" s="444"/>
      <c r="C94" s="410">
        <f t="shared" ref="C94:V94" si="33">C63</f>
        <v>53073.862000000001</v>
      </c>
      <c r="D94" s="410">
        <f t="shared" si="33"/>
        <v>56622.2</v>
      </c>
      <c r="E94" s="410">
        <f t="shared" si="33"/>
        <v>59786.3</v>
      </c>
      <c r="F94" s="410">
        <f t="shared" si="33"/>
        <v>62950.5</v>
      </c>
      <c r="G94" s="410">
        <f t="shared" si="33"/>
        <v>66114.600000000006</v>
      </c>
      <c r="H94" s="410">
        <f t="shared" si="33"/>
        <v>69055.842000000004</v>
      </c>
      <c r="I94" s="410">
        <f t="shared" si="33"/>
        <v>70305.637000000002</v>
      </c>
      <c r="J94" s="410">
        <f t="shared" si="33"/>
        <v>71976.08600000001</v>
      </c>
      <c r="K94" s="410">
        <f t="shared" si="33"/>
        <v>74013.456999999995</v>
      </c>
      <c r="L94" s="410">
        <f t="shared" si="33"/>
        <v>75232.240000000005</v>
      </c>
      <c r="M94" s="410">
        <f t="shared" si="33"/>
        <v>76972.075000000012</v>
      </c>
      <c r="N94" s="410">
        <f t="shared" si="33"/>
        <v>79113.159520000001</v>
      </c>
      <c r="O94" s="410">
        <f t="shared" si="33"/>
        <v>79539.320229200006</v>
      </c>
      <c r="P94" s="410">
        <f t="shared" si="33"/>
        <v>82096.893400000001</v>
      </c>
      <c r="Q94" s="410">
        <f t="shared" si="33"/>
        <v>87659.229800000001</v>
      </c>
      <c r="R94" s="410">
        <f t="shared" si="33"/>
        <v>91852.189671422413</v>
      </c>
      <c r="S94" s="410">
        <f t="shared" si="33"/>
        <v>91219.182144063059</v>
      </c>
      <c r="T94" s="410">
        <f t="shared" si="33"/>
        <v>97652.236021052639</v>
      </c>
      <c r="U94" s="410">
        <f t="shared" si="33"/>
        <v>104363.1038822587</v>
      </c>
      <c r="V94" s="410">
        <f t="shared" si="33"/>
        <v>109594.25734860027</v>
      </c>
      <c r="W94" s="427">
        <f>W63</f>
        <v>112766.78070875045</v>
      </c>
    </row>
    <row r="95" spans="1:23">
      <c r="B95" s="444"/>
    </row>
    <row r="96" spans="1:23">
      <c r="B96" s="444"/>
      <c r="C96" s="399">
        <v>2004</v>
      </c>
      <c r="D96" s="399">
        <v>2005</v>
      </c>
      <c r="E96" s="399">
        <v>2006</v>
      </c>
      <c r="F96" s="399">
        <v>2007</v>
      </c>
      <c r="G96" s="399">
        <v>2008</v>
      </c>
      <c r="H96" s="399">
        <v>2009</v>
      </c>
      <c r="I96" s="399">
        <v>2010</v>
      </c>
      <c r="J96" s="399">
        <v>2011</v>
      </c>
      <c r="K96" s="399">
        <v>2012</v>
      </c>
      <c r="L96" s="399">
        <v>2013</v>
      </c>
      <c r="M96" s="399">
        <v>2014</v>
      </c>
      <c r="N96" s="399">
        <v>2015</v>
      </c>
      <c r="O96" s="399">
        <v>2016</v>
      </c>
      <c r="P96" s="399">
        <v>2017</v>
      </c>
      <c r="Q96" s="399">
        <v>2018</v>
      </c>
      <c r="R96" s="399">
        <v>2019</v>
      </c>
      <c r="S96" s="399">
        <v>2020</v>
      </c>
      <c r="T96" s="399">
        <v>2021</v>
      </c>
      <c r="U96" s="399">
        <v>2022</v>
      </c>
      <c r="V96" s="399">
        <v>2023</v>
      </c>
      <c r="W96" s="400">
        <v>2024</v>
      </c>
    </row>
    <row r="97" spans="1:26">
      <c r="A97" s="399" t="s">
        <v>440</v>
      </c>
      <c r="B97" s="444"/>
      <c r="C97" s="422">
        <f t="shared" ref="C97:W97" si="34">C73</f>
        <v>11.410658307210031</v>
      </c>
      <c r="D97" s="422">
        <f t="shared" si="34"/>
        <v>17.453416149068321</v>
      </c>
      <c r="E97" s="422">
        <f t="shared" si="34"/>
        <v>27.607361963190183</v>
      </c>
      <c r="F97" s="422">
        <f t="shared" si="34"/>
        <v>37.72036474164134</v>
      </c>
      <c r="G97" s="422">
        <f t="shared" si="34"/>
        <v>48.108108108108112</v>
      </c>
      <c r="H97" s="422">
        <f t="shared" si="34"/>
        <v>54.226190476190474</v>
      </c>
      <c r="I97" s="422">
        <f t="shared" si="34"/>
        <v>65.647058823529406</v>
      </c>
      <c r="J97" s="422">
        <f t="shared" si="34"/>
        <v>77.959183673469397</v>
      </c>
      <c r="K97" s="422">
        <f t="shared" si="34"/>
        <v>88.649425287356323</v>
      </c>
      <c r="L97" s="422">
        <f t="shared" si="34"/>
        <v>97.10227272727272</v>
      </c>
      <c r="M97" s="422">
        <f t="shared" si="34"/>
        <v>106.84507042253522</v>
      </c>
      <c r="N97" s="422">
        <f t="shared" si="34"/>
        <v>128.24512534818942</v>
      </c>
      <c r="O97" s="422">
        <f t="shared" si="34"/>
        <v>151.51933701657458</v>
      </c>
      <c r="P97" s="422">
        <f t="shared" si="34"/>
        <v>184.49591280653951</v>
      </c>
      <c r="Q97" s="422">
        <f t="shared" si="34"/>
        <v>204.85698866702643</v>
      </c>
      <c r="R97" s="422">
        <f t="shared" si="34"/>
        <v>232.97872340425531</v>
      </c>
      <c r="S97" s="422">
        <f t="shared" si="34"/>
        <v>253.19652722967641</v>
      </c>
      <c r="T97" s="422">
        <f t="shared" si="34"/>
        <v>336.01801566579638</v>
      </c>
      <c r="U97" s="422">
        <f t="shared" si="34"/>
        <v>366.18320610687027</v>
      </c>
      <c r="V97" s="422">
        <f t="shared" si="34"/>
        <v>410.70399751861044</v>
      </c>
      <c r="W97" s="427">
        <f t="shared" si="34"/>
        <v>436.31961259079907</v>
      </c>
    </row>
    <row r="98" spans="1:26">
      <c r="A98" s="399" t="s">
        <v>441</v>
      </c>
      <c r="B98" s="444"/>
      <c r="C98" s="410">
        <f t="shared" ref="C98:W98" si="35">C72</f>
        <v>92.906269592476491</v>
      </c>
      <c r="D98" s="410">
        <f t="shared" si="35"/>
        <v>93.596894409937875</v>
      </c>
      <c r="E98" s="410">
        <f t="shared" si="35"/>
        <v>99.424846625766861</v>
      </c>
      <c r="F98" s="410">
        <f t="shared" si="35"/>
        <v>100.26474164133739</v>
      </c>
      <c r="G98" s="410">
        <f t="shared" si="35"/>
        <v>101.9012012012012</v>
      </c>
      <c r="H98" s="410">
        <f t="shared" si="35"/>
        <v>92.369940476190479</v>
      </c>
      <c r="I98" s="410">
        <f t="shared" si="35"/>
        <v>106.49</v>
      </c>
      <c r="J98" s="410">
        <f t="shared" si="35"/>
        <v>109.71603498542275</v>
      </c>
      <c r="K98" s="410">
        <f t="shared" si="35"/>
        <v>105.16178160919542</v>
      </c>
      <c r="L98" s="410">
        <f t="shared" si="35"/>
        <v>101.9653409090909</v>
      </c>
      <c r="M98" s="410">
        <f t="shared" si="35"/>
        <v>99.10985915492958</v>
      </c>
      <c r="N98" s="410">
        <f t="shared" si="35"/>
        <v>92.668523676880227</v>
      </c>
      <c r="O98" s="410">
        <f t="shared" si="35"/>
        <v>90.580110497237555</v>
      </c>
      <c r="P98" s="410">
        <f t="shared" si="35"/>
        <v>81.608290871934585</v>
      </c>
      <c r="Q98" s="410">
        <f t="shared" si="35"/>
        <v>78.734441770102535</v>
      </c>
      <c r="R98" s="410">
        <f t="shared" si="35"/>
        <v>77.608656010638299</v>
      </c>
      <c r="S98" s="410">
        <f t="shared" si="35"/>
        <v>65.079921994212057</v>
      </c>
      <c r="T98" s="410">
        <f t="shared" si="35"/>
        <v>72.526880496083578</v>
      </c>
      <c r="U98" s="410">
        <f t="shared" si="35"/>
        <v>75.940203562340983</v>
      </c>
      <c r="V98" s="410">
        <f t="shared" si="35"/>
        <v>66.027344913151367</v>
      </c>
      <c r="W98" s="427">
        <f t="shared" si="35"/>
        <v>67.052542372881362</v>
      </c>
    </row>
    <row r="99" spans="1:26">
      <c r="A99" s="399" t="s">
        <v>442</v>
      </c>
      <c r="B99" s="445"/>
      <c r="C99" s="446">
        <f t="shared" ref="C99:W99" si="36">C100-(C98+C97)</f>
        <v>180.78495297805648</v>
      </c>
      <c r="D99" s="446">
        <f t="shared" si="36"/>
        <v>186.92857142857142</v>
      </c>
      <c r="E99" s="446">
        <f t="shared" si="36"/>
        <v>193.74754601226991</v>
      </c>
      <c r="F99" s="446">
        <f t="shared" si="36"/>
        <v>198.46170212765961</v>
      </c>
      <c r="G99" s="446">
        <f t="shared" si="36"/>
        <v>199.36756756756759</v>
      </c>
      <c r="H99" s="446">
        <f t="shared" si="36"/>
        <v>179.63214285714284</v>
      </c>
      <c r="I99" s="446">
        <f t="shared" si="36"/>
        <v>181.62294117647059</v>
      </c>
      <c r="J99" s="446">
        <f t="shared" si="36"/>
        <v>177.85860058309044</v>
      </c>
      <c r="K99" s="446">
        <f t="shared" si="36"/>
        <v>177.72988505747125</v>
      </c>
      <c r="L99" s="446">
        <f t="shared" si="36"/>
        <v>173.11363636363637</v>
      </c>
      <c r="M99" s="446">
        <f t="shared" si="36"/>
        <v>159.90000000000003</v>
      </c>
      <c r="N99" s="446">
        <f t="shared" si="36"/>
        <v>144.16155988857943</v>
      </c>
      <c r="O99" s="446">
        <f t="shared" si="36"/>
        <v>136.90193370165747</v>
      </c>
      <c r="P99" s="446">
        <f t="shared" si="36"/>
        <v>125.02997275204353</v>
      </c>
      <c r="Q99" s="446">
        <f t="shared" si="36"/>
        <v>118.91662169454935</v>
      </c>
      <c r="R99" s="446">
        <f t="shared" si="36"/>
        <v>108.82446808510639</v>
      </c>
      <c r="S99" s="446">
        <f t="shared" si="36"/>
        <v>79.780320968166279</v>
      </c>
      <c r="T99" s="446">
        <f t="shared" si="36"/>
        <v>75.711227154047037</v>
      </c>
      <c r="U99" s="446">
        <f t="shared" si="36"/>
        <v>77.721882951653924</v>
      </c>
      <c r="V99" s="446">
        <f t="shared" si="36"/>
        <v>75.189883128009399</v>
      </c>
      <c r="W99" s="447">
        <f t="shared" si="36"/>
        <v>72.755712355271555</v>
      </c>
    </row>
    <row r="100" spans="1:26">
      <c r="A100" s="399" t="s">
        <v>443</v>
      </c>
      <c r="C100" s="410">
        <f t="shared" ref="C100:W100" si="37">C74</f>
        <v>285.10188087774299</v>
      </c>
      <c r="D100" s="410">
        <f t="shared" si="37"/>
        <v>297.97888198757761</v>
      </c>
      <c r="E100" s="410">
        <f t="shared" si="37"/>
        <v>320.77975460122695</v>
      </c>
      <c r="F100" s="410">
        <f t="shared" si="37"/>
        <v>336.44680851063833</v>
      </c>
      <c r="G100" s="410">
        <f t="shared" si="37"/>
        <v>349.37687687687691</v>
      </c>
      <c r="H100" s="410">
        <f t="shared" si="37"/>
        <v>326.22827380952378</v>
      </c>
      <c r="I100" s="410">
        <f t="shared" si="37"/>
        <v>353.76</v>
      </c>
      <c r="J100" s="410">
        <f t="shared" si="37"/>
        <v>365.5338192419826</v>
      </c>
      <c r="K100" s="410">
        <f t="shared" si="37"/>
        <v>371.54109195402299</v>
      </c>
      <c r="L100" s="410">
        <f t="shared" si="37"/>
        <v>372.18124999999998</v>
      </c>
      <c r="M100" s="410">
        <f t="shared" si="37"/>
        <v>365.85492957746482</v>
      </c>
      <c r="N100" s="410">
        <f t="shared" si="37"/>
        <v>365.07520891364908</v>
      </c>
      <c r="O100" s="410">
        <f t="shared" si="37"/>
        <v>379.00138121546962</v>
      </c>
      <c r="P100" s="410">
        <f t="shared" si="37"/>
        <v>391.13417643051764</v>
      </c>
      <c r="Q100" s="410">
        <f t="shared" si="37"/>
        <v>402.50805213167831</v>
      </c>
      <c r="R100" s="410">
        <f t="shared" si="37"/>
        <v>419.41184749999996</v>
      </c>
      <c r="S100" s="410">
        <f t="shared" si="37"/>
        <v>398.05677019205473</v>
      </c>
      <c r="T100" s="410">
        <f t="shared" si="37"/>
        <v>484.25612331592697</v>
      </c>
      <c r="U100" s="410">
        <f t="shared" si="37"/>
        <v>519.84529262086517</v>
      </c>
      <c r="V100" s="410">
        <f t="shared" si="37"/>
        <v>551.92122555977119</v>
      </c>
      <c r="W100" s="427">
        <f t="shared" si="37"/>
        <v>576.12786731895198</v>
      </c>
    </row>
    <row r="101" spans="1:26">
      <c r="A101" s="459" t="s">
        <v>966</v>
      </c>
      <c r="B101" s="460"/>
      <c r="C101" s="461" t="e">
        <f t="shared" ref="C101:V101" si="38">C92/C107</f>
        <v>#DIV/0!</v>
      </c>
      <c r="D101" s="461" t="e">
        <f t="shared" si="38"/>
        <v>#DIV/0!</v>
      </c>
      <c r="E101" s="461">
        <f t="shared" si="38"/>
        <v>840.79961599907381</v>
      </c>
      <c r="F101" s="461">
        <f t="shared" si="38"/>
        <v>874.48051278587354</v>
      </c>
      <c r="G101" s="461">
        <f t="shared" si="38"/>
        <v>903.39530809823611</v>
      </c>
      <c r="H101" s="461">
        <f t="shared" si="38"/>
        <v>836.81450330774453</v>
      </c>
      <c r="I101" s="461">
        <f t="shared" si="38"/>
        <v>903.04183794132553</v>
      </c>
      <c r="J101" s="461">
        <f t="shared" si="38"/>
        <v>941.23356917079286</v>
      </c>
      <c r="K101" s="461">
        <f t="shared" si="38"/>
        <v>945.8274101604668</v>
      </c>
      <c r="L101" s="461">
        <f t="shared" si="38"/>
        <v>947.96050119956897</v>
      </c>
      <c r="M101" s="461">
        <f t="shared" si="38"/>
        <v>936.32248679974066</v>
      </c>
      <c r="N101" s="461">
        <f t="shared" si="38"/>
        <v>938.05979614080115</v>
      </c>
      <c r="O101" s="461">
        <f t="shared" si="38"/>
        <v>974.96965444835837</v>
      </c>
      <c r="P101" s="461">
        <f t="shared" si="38"/>
        <v>1007.4162171193229</v>
      </c>
      <c r="Q101" s="461">
        <f t="shared" si="38"/>
        <v>1033.8855577223721</v>
      </c>
      <c r="R101" s="461">
        <f t="shared" si="38"/>
        <v>1079.4347443833558</v>
      </c>
      <c r="S101" s="461">
        <f t="shared" si="38"/>
        <v>1022.7891467856992</v>
      </c>
      <c r="T101" s="461">
        <f t="shared" si="38"/>
        <v>1238.2056597325538</v>
      </c>
      <c r="U101" s="461">
        <f t="shared" si="38"/>
        <v>1346.9793215908669</v>
      </c>
      <c r="V101" s="461">
        <f t="shared" si="38"/>
        <v>1448.2774804706883</v>
      </c>
      <c r="W101" s="461">
        <f>W92/W107</f>
        <v>1539.6314913728593</v>
      </c>
    </row>
    <row r="102" spans="1:26">
      <c r="B102" s="434"/>
      <c r="C102" s="410"/>
      <c r="D102" s="410"/>
      <c r="E102" s="410"/>
      <c r="F102" s="410"/>
      <c r="G102" s="410"/>
      <c r="H102" s="410"/>
      <c r="I102" s="410"/>
      <c r="J102" s="410"/>
      <c r="K102" s="410"/>
      <c r="L102" s="410"/>
      <c r="M102" s="410"/>
      <c r="N102" s="410"/>
      <c r="O102" s="410"/>
      <c r="P102" s="410"/>
      <c r="Q102" s="410"/>
      <c r="R102" s="410"/>
      <c r="S102" s="410"/>
    </row>
    <row r="103" spans="1:26">
      <c r="A103" s="399" t="s">
        <v>686</v>
      </c>
      <c r="C103" s="410">
        <f t="shared" ref="C103:W103" si="39">C64</f>
        <v>17.136024508636659</v>
      </c>
      <c r="D103" s="410">
        <f t="shared" si="39"/>
        <v>16.945509005301808</v>
      </c>
      <c r="E103" s="410">
        <f t="shared" si="39"/>
        <v>17.491331626141772</v>
      </c>
      <c r="F103" s="410">
        <f t="shared" si="39"/>
        <v>17.583815855314892</v>
      </c>
      <c r="G103" s="410">
        <f t="shared" si="39"/>
        <v>17.597096556585079</v>
      </c>
      <c r="H103" s="410">
        <f t="shared" si="39"/>
        <v>15.873052420387545</v>
      </c>
      <c r="I103" s="410">
        <f t="shared" si="39"/>
        <v>17.107931189073785</v>
      </c>
      <c r="J103" s="410">
        <f t="shared" si="39"/>
        <v>17.419410663702941</v>
      </c>
      <c r="K103" s="410">
        <f t="shared" si="39"/>
        <v>17.46929615785951</v>
      </c>
      <c r="L103" s="410">
        <f t="shared" si="39"/>
        <v>17.4137843031126</v>
      </c>
      <c r="M103" s="410">
        <f t="shared" si="39"/>
        <v>16.873457029708501</v>
      </c>
      <c r="N103" s="410">
        <f t="shared" si="39"/>
        <v>16.566396892146269</v>
      </c>
      <c r="O103" s="410">
        <f t="shared" si="39"/>
        <v>17.249141632672956</v>
      </c>
      <c r="P103" s="410">
        <f t="shared" si="39"/>
        <v>17.484978639886023</v>
      </c>
      <c r="Q103" s="410">
        <f t="shared" si="39"/>
        <v>17.016974077953854</v>
      </c>
      <c r="R103" s="410">
        <f t="shared" si="39"/>
        <v>17.168763774073007</v>
      </c>
      <c r="S103" s="410">
        <f t="shared" si="39"/>
        <v>16.586574752561223</v>
      </c>
      <c r="T103" s="410">
        <f t="shared" si="39"/>
        <v>18.992918420220803</v>
      </c>
      <c r="U103" s="410">
        <f t="shared" si="39"/>
        <v>19.575807196237484</v>
      </c>
      <c r="V103" s="410">
        <f t="shared" si="39"/>
        <v>20.295247149044947</v>
      </c>
      <c r="W103" s="427">
        <f t="shared" si="39"/>
        <v>21.100257337067305</v>
      </c>
    </row>
    <row r="104" spans="1:26">
      <c r="A104" s="399" t="s">
        <v>668</v>
      </c>
      <c r="C104" s="410">
        <f t="shared" ref="C104:W104" si="40">C69</f>
        <v>32.587041974765661</v>
      </c>
      <c r="D104" s="410">
        <f t="shared" si="40"/>
        <v>31.410579765125707</v>
      </c>
      <c r="E104" s="410">
        <f t="shared" si="40"/>
        <v>30.994738664029942</v>
      </c>
      <c r="F104" s="410">
        <f t="shared" si="40"/>
        <v>29.801067837493562</v>
      </c>
      <c r="G104" s="410">
        <f t="shared" si="40"/>
        <v>29.166555643896253</v>
      </c>
      <c r="H104" s="410">
        <f t="shared" si="40"/>
        <v>28.31451100100627</v>
      </c>
      <c r="I104" s="410">
        <f t="shared" si="40"/>
        <v>30.102329262777022</v>
      </c>
      <c r="J104" s="410">
        <f t="shared" si="40"/>
        <v>30.015289751559482</v>
      </c>
      <c r="K104" s="410">
        <f t="shared" si="40"/>
        <v>28.304212881575115</v>
      </c>
      <c r="L104" s="410">
        <f t="shared" si="40"/>
        <v>27.396689357427572</v>
      </c>
      <c r="M104" s="410">
        <f t="shared" si="40"/>
        <v>27.089934053750238</v>
      </c>
      <c r="N104" s="410">
        <f t="shared" si="40"/>
        <v>25.38340632677664</v>
      </c>
      <c r="O104" s="410">
        <f t="shared" si="40"/>
        <v>23.899678203478899</v>
      </c>
      <c r="P104" s="410">
        <f t="shared" si="40"/>
        <v>20.864525727894751</v>
      </c>
      <c r="Q104" s="410">
        <f t="shared" si="40"/>
        <v>19.56096066976195</v>
      </c>
      <c r="R104" s="410">
        <f t="shared" si="40"/>
        <v>18.504163979449412</v>
      </c>
      <c r="S104" s="410">
        <f t="shared" si="40"/>
        <v>16.349407136779071</v>
      </c>
      <c r="T104" s="410">
        <f t="shared" si="40"/>
        <v>14.976967146942465</v>
      </c>
      <c r="U104" s="410">
        <f t="shared" si="40"/>
        <v>14.608231456608742</v>
      </c>
      <c r="V104" s="410">
        <f t="shared" si="40"/>
        <v>11.963182761486465</v>
      </c>
      <c r="W104" s="427">
        <f t="shared" si="40"/>
        <v>11.638482735597337</v>
      </c>
    </row>
    <row r="105" spans="1:26">
      <c r="A105" s="399" t="s">
        <v>669</v>
      </c>
      <c r="C105" s="422">
        <f t="shared" ref="C105:W105" si="41">C70</f>
        <v>4.0023090244371753</v>
      </c>
      <c r="D105" s="422">
        <f t="shared" si="41"/>
        <v>5.8572661366639851</v>
      </c>
      <c r="E105" s="422">
        <f t="shared" si="41"/>
        <v>8.6063292858085454</v>
      </c>
      <c r="F105" s="422">
        <f t="shared" si="41"/>
        <v>11.211390266598006</v>
      </c>
      <c r="G105" s="422">
        <f t="shared" si="41"/>
        <v>13.76968863484969</v>
      </c>
      <c r="H105" s="422">
        <f t="shared" si="41"/>
        <v>16.622161483112812</v>
      </c>
      <c r="I105" s="422">
        <f t="shared" si="41"/>
        <v>18.556947880916276</v>
      </c>
      <c r="J105" s="422">
        <f t="shared" si="41"/>
        <v>21.327488612445077</v>
      </c>
      <c r="K105" s="422">
        <f t="shared" si="41"/>
        <v>23.859924839303215</v>
      </c>
      <c r="L105" s="422">
        <f t="shared" si="41"/>
        <v>26.090049600100144</v>
      </c>
      <c r="M105" s="422">
        <f t="shared" si="41"/>
        <v>29.20421778816355</v>
      </c>
      <c r="N105" s="422">
        <f t="shared" si="41"/>
        <v>35.128412507057725</v>
      </c>
      <c r="O105" s="422">
        <f t="shared" si="41"/>
        <v>39.978571194291476</v>
      </c>
      <c r="P105" s="422">
        <f t="shared" si="41"/>
        <v>47.169468669356732</v>
      </c>
      <c r="Q105" s="422">
        <f t="shared" si="41"/>
        <v>50.895128080570316</v>
      </c>
      <c r="R105" s="422">
        <f t="shared" si="41"/>
        <v>55.548913268182133</v>
      </c>
      <c r="S105" s="422">
        <f t="shared" si="41"/>
        <v>63.608144915488808</v>
      </c>
      <c r="T105" s="422">
        <f t="shared" si="41"/>
        <v>69.388490818644627</v>
      </c>
      <c r="U105" s="422">
        <f t="shared" si="41"/>
        <v>70.440804467173649</v>
      </c>
      <c r="V105" s="422">
        <f t="shared" si="41"/>
        <v>74.413517454789869</v>
      </c>
      <c r="W105" s="427">
        <f t="shared" si="41"/>
        <v>75.733120604153441</v>
      </c>
    </row>
    <row r="106" spans="1:26">
      <c r="A106" s="399" t="s">
        <v>635</v>
      </c>
      <c r="C106" s="410">
        <f t="shared" ref="C106:H106" si="42">C71</f>
        <v>31.9</v>
      </c>
      <c r="D106" s="410">
        <f t="shared" si="42"/>
        <v>32.200000000000003</v>
      </c>
      <c r="E106" s="410">
        <f t="shared" si="42"/>
        <v>32.6</v>
      </c>
      <c r="F106" s="410">
        <f t="shared" si="42"/>
        <v>32.9</v>
      </c>
      <c r="G106" s="410">
        <f t="shared" si="42"/>
        <v>33.299999999999997</v>
      </c>
      <c r="H106" s="410">
        <f t="shared" si="42"/>
        <v>33.6</v>
      </c>
      <c r="I106" s="410">
        <v>34</v>
      </c>
      <c r="J106" s="410">
        <v>34.299999999999997</v>
      </c>
      <c r="K106" s="410">
        <v>34.799999999999997</v>
      </c>
      <c r="L106" s="410">
        <v>35.200000000000003</v>
      </c>
      <c r="M106" s="410">
        <v>35.5</v>
      </c>
      <c r="N106" s="410">
        <v>35.9</v>
      </c>
      <c r="O106" s="410">
        <v>36.200000000000003</v>
      </c>
      <c r="P106" s="410">
        <v>36.700000000000003</v>
      </c>
      <c r="Q106" s="410">
        <v>37.06</v>
      </c>
      <c r="R106" s="410">
        <v>37.6</v>
      </c>
      <c r="S106" s="410">
        <v>38.027999999999999</v>
      </c>
      <c r="T106" s="410">
        <v>38.238999999999997</v>
      </c>
      <c r="U106" s="410">
        <v>38.939</v>
      </c>
      <c r="V106" s="410">
        <v>40.097000000000001</v>
      </c>
      <c r="W106" s="400">
        <v>41.287999999999997</v>
      </c>
    </row>
    <row r="107" spans="1:26">
      <c r="A107" s="399" t="s">
        <v>636</v>
      </c>
      <c r="C107" s="410"/>
      <c r="D107" s="410"/>
      <c r="E107" s="410">
        <v>12.437469999999999</v>
      </c>
      <c r="F107" s="410">
        <v>12.657914999999999</v>
      </c>
      <c r="G107" s="410">
        <v>12.878360000000001</v>
      </c>
      <c r="H107" s="410">
        <v>13.098805</v>
      </c>
      <c r="I107" s="410">
        <v>13.31925</v>
      </c>
      <c r="J107" s="410">
        <v>13.320615</v>
      </c>
      <c r="K107" s="410">
        <v>13.670178999999999</v>
      </c>
      <c r="L107" s="410">
        <v>13.819964000000001</v>
      </c>
      <c r="M107" s="410">
        <v>13.871129</v>
      </c>
      <c r="N107" s="410">
        <v>13.971603999999999</v>
      </c>
      <c r="O107" s="410">
        <v>14.072079</v>
      </c>
      <c r="P107" s="410">
        <v>14.248950960951001</v>
      </c>
      <c r="Q107" s="410">
        <v>14.428046025579194</v>
      </c>
      <c r="R107" s="410">
        <v>14.609392136074698</v>
      </c>
      <c r="S107" s="410">
        <v>14.79301758583302</v>
      </c>
      <c r="T107" s="410">
        <v>14.978941000000001</v>
      </c>
      <c r="U107" s="410">
        <v>15.167211309429</v>
      </c>
      <c r="V107" s="410">
        <v>15.357847988377211</v>
      </c>
      <c r="W107" s="463">
        <v>15.4544</v>
      </c>
      <c r="X107">
        <v>6163.2370799999999</v>
      </c>
      <c r="Y107">
        <f>X107/W106</f>
        <v>149.27429471032747</v>
      </c>
    </row>
    <row r="108" spans="1:26">
      <c r="C108" s="410"/>
      <c r="D108" s="410"/>
      <c r="E108" s="410"/>
      <c r="F108" s="410"/>
      <c r="G108" s="410"/>
      <c r="H108" s="410"/>
      <c r="I108" s="410"/>
      <c r="J108" s="410"/>
      <c r="K108" s="410"/>
      <c r="L108" s="410"/>
      <c r="M108" s="410"/>
      <c r="N108" s="410"/>
      <c r="O108" s="410"/>
      <c r="P108" s="410"/>
      <c r="Q108" s="410"/>
      <c r="R108" s="410"/>
      <c r="S108" s="410"/>
      <c r="T108" s="410"/>
      <c r="U108" s="410"/>
      <c r="V108" s="410"/>
      <c r="W108" s="427"/>
      <c r="Y108">
        <v>1426</v>
      </c>
      <c r="Z108">
        <f>Y107/1.3698</f>
        <v>108.97524799994706</v>
      </c>
    </row>
    <row r="109" spans="1:26">
      <c r="A109" s="399" t="s">
        <v>625</v>
      </c>
      <c r="C109" s="410">
        <v>1.5357000000000001</v>
      </c>
      <c r="D109" s="410">
        <v>1.5098</v>
      </c>
      <c r="E109" s="410">
        <v>1.474</v>
      </c>
      <c r="F109" s="410">
        <v>1.4423999999999999</v>
      </c>
      <c r="G109" s="410">
        <v>1.3986000000000001</v>
      </c>
      <c r="H109" s="410">
        <v>1.4023000000000001</v>
      </c>
      <c r="I109" s="410">
        <v>1.389</v>
      </c>
      <c r="J109" s="410">
        <v>1.3472</v>
      </c>
      <c r="K109" s="410">
        <v>1.3272999999999999</v>
      </c>
      <c r="L109" s="410">
        <v>1.3122</v>
      </c>
      <c r="M109" s="410">
        <v>1.282</v>
      </c>
      <c r="N109" s="410">
        <v>1.2688999999999999</v>
      </c>
      <c r="O109" s="410">
        <v>1.2502</v>
      </c>
      <c r="P109" s="410">
        <v>1.2377</v>
      </c>
      <c r="Q109" s="410">
        <v>1.2081</v>
      </c>
      <c r="R109" s="410">
        <v>1.1841999999999999</v>
      </c>
      <c r="S109" s="410">
        <v>1.1414</v>
      </c>
      <c r="T109" s="399">
        <v>1.1414</v>
      </c>
      <c r="U109" s="399">
        <v>1.0556000000000001</v>
      </c>
      <c r="V109" s="399">
        <v>1.0266999999999999</v>
      </c>
      <c r="W109" s="400">
        <v>1</v>
      </c>
      <c r="Y109">
        <f>Y108/W106</f>
        <v>34.537880255764392</v>
      </c>
    </row>
    <row r="110" spans="1:26">
      <c r="C110" s="399">
        <v>2004</v>
      </c>
      <c r="D110" s="399">
        <v>2005</v>
      </c>
      <c r="E110" s="399">
        <v>2006</v>
      </c>
      <c r="F110" s="399">
        <v>2007</v>
      </c>
      <c r="G110" s="399">
        <v>2008</v>
      </c>
      <c r="H110" s="399">
        <v>2009</v>
      </c>
      <c r="I110" s="399">
        <v>2010</v>
      </c>
      <c r="J110" s="399">
        <v>2011</v>
      </c>
      <c r="K110" s="399">
        <v>2012</v>
      </c>
      <c r="L110" s="399">
        <v>2013</v>
      </c>
      <c r="M110" s="399">
        <v>2014</v>
      </c>
      <c r="N110" s="399">
        <v>2015</v>
      </c>
      <c r="O110" s="399">
        <v>2016</v>
      </c>
      <c r="P110" s="399">
        <v>2017</v>
      </c>
      <c r="Q110" s="399">
        <v>2018</v>
      </c>
      <c r="R110" s="399">
        <v>2019</v>
      </c>
      <c r="S110" s="399">
        <v>2020</v>
      </c>
      <c r="T110" s="399">
        <v>2021</v>
      </c>
      <c r="U110" s="399">
        <v>2022</v>
      </c>
      <c r="V110" s="399">
        <v>2023</v>
      </c>
      <c r="W110" s="400">
        <v>2024</v>
      </c>
    </row>
    <row r="111" spans="1:26">
      <c r="A111" s="399" t="s">
        <v>626</v>
      </c>
      <c r="B111" s="399" t="s">
        <v>626</v>
      </c>
      <c r="C111" s="410">
        <f t="shared" ref="C111:W111" si="43">C91*C109</f>
        <v>4551.369447</v>
      </c>
      <c r="D111" s="410">
        <f t="shared" si="43"/>
        <v>4550.2654359999997</v>
      </c>
      <c r="E111" s="410">
        <f t="shared" si="43"/>
        <v>4777.6025</v>
      </c>
      <c r="F111" s="410">
        <f t="shared" si="43"/>
        <v>4758.0593039999994</v>
      </c>
      <c r="G111" s="410">
        <f t="shared" si="43"/>
        <v>4745.883366</v>
      </c>
      <c r="H111" s="410">
        <f t="shared" si="43"/>
        <v>4352.2203490000002</v>
      </c>
      <c r="I111" s="410">
        <f t="shared" si="43"/>
        <v>5029.09674</v>
      </c>
      <c r="J111" s="410">
        <f t="shared" si="43"/>
        <v>5069.8638719999999</v>
      </c>
      <c r="K111" s="410">
        <f t="shared" si="43"/>
        <v>4857.426899</v>
      </c>
      <c r="L111" s="410">
        <f t="shared" si="43"/>
        <v>4709.7219960000002</v>
      </c>
      <c r="M111" s="410">
        <f t="shared" si="43"/>
        <v>4510.5888000000004</v>
      </c>
      <c r="N111" s="410">
        <f t="shared" si="43"/>
        <v>4221.3765199999998</v>
      </c>
      <c r="O111" s="410">
        <f t="shared" si="43"/>
        <v>4099.4057999999995</v>
      </c>
      <c r="P111" s="410">
        <f t="shared" si="43"/>
        <v>3706.9415451675</v>
      </c>
      <c r="Q111" s="410">
        <f t="shared" si="43"/>
        <v>3525.1130715372001</v>
      </c>
      <c r="R111" s="410">
        <f t="shared" si="43"/>
        <v>3455.5968088371997</v>
      </c>
      <c r="S111" s="410">
        <f t="shared" si="43"/>
        <v>2823.4672948689999</v>
      </c>
      <c r="T111" s="410">
        <f t="shared" si="43"/>
        <v>3170.5575475522005</v>
      </c>
      <c r="U111" s="410">
        <f t="shared" si="43"/>
        <v>3150.3854200000005</v>
      </c>
      <c r="V111" s="410">
        <f t="shared" si="43"/>
        <v>2731.9480834000001</v>
      </c>
      <c r="W111" s="427">
        <f t="shared" si="43"/>
        <v>2769.27</v>
      </c>
    </row>
    <row r="112" spans="1:26">
      <c r="A112" s="399" t="s">
        <v>627</v>
      </c>
      <c r="B112" s="399" t="s">
        <v>627</v>
      </c>
      <c r="C112" s="410">
        <f t="shared" ref="C112:V112" si="44">C90*C109</f>
        <v>558.99480000000005</v>
      </c>
      <c r="D112" s="410">
        <f t="shared" si="44"/>
        <v>848.50760000000002</v>
      </c>
      <c r="E112" s="410">
        <f t="shared" si="44"/>
        <v>1326.6</v>
      </c>
      <c r="F112" s="410">
        <f t="shared" si="44"/>
        <v>1790.0183999999999</v>
      </c>
      <c r="G112" s="410">
        <f t="shared" si="44"/>
        <v>2240.5572000000002</v>
      </c>
      <c r="H112" s="410">
        <f t="shared" si="44"/>
        <v>2554.9906000000001</v>
      </c>
      <c r="I112" s="410">
        <f t="shared" si="44"/>
        <v>3100.248</v>
      </c>
      <c r="J112" s="410">
        <f t="shared" si="44"/>
        <v>3602.4128000000001</v>
      </c>
      <c r="K112" s="410">
        <f t="shared" si="44"/>
        <v>4094.7204999999999</v>
      </c>
      <c r="L112" s="410">
        <f t="shared" si="44"/>
        <v>4485.0996000000005</v>
      </c>
      <c r="M112" s="410">
        <f t="shared" si="44"/>
        <v>4862.6260000000002</v>
      </c>
      <c r="N112" s="410">
        <f t="shared" si="44"/>
        <v>5842.0155999999997</v>
      </c>
      <c r="O112" s="410">
        <f t="shared" si="44"/>
        <v>6857.3469999999998</v>
      </c>
      <c r="P112" s="410">
        <f t="shared" si="44"/>
        <v>8380.4667000000009</v>
      </c>
      <c r="Q112" s="410">
        <f t="shared" si="44"/>
        <v>9171.895199999999</v>
      </c>
      <c r="R112" s="410">
        <f t="shared" si="44"/>
        <v>10373.591999999999</v>
      </c>
      <c r="S112" s="410">
        <f t="shared" si="44"/>
        <v>10984.8336</v>
      </c>
      <c r="T112" s="410">
        <f t="shared" si="44"/>
        <v>14689.235885999999</v>
      </c>
      <c r="U112" s="410">
        <f t="shared" si="44"/>
        <v>15191.139600000002</v>
      </c>
      <c r="V112" s="410">
        <f t="shared" si="44"/>
        <v>16993.292708369998</v>
      </c>
      <c r="W112" s="427">
        <f>W90*W109</f>
        <v>18020</v>
      </c>
    </row>
    <row r="113" spans="1:24">
      <c r="A113" s="399" t="s">
        <v>628</v>
      </c>
      <c r="B113" s="399" t="s">
        <v>628</v>
      </c>
      <c r="C113" s="410">
        <f t="shared" ref="C113:V113" si="45">C92*C109</f>
        <v>13966.807575000001</v>
      </c>
      <c r="D113" s="410">
        <f t="shared" si="45"/>
        <v>14486.410216</v>
      </c>
      <c r="E113" s="410">
        <f t="shared" si="45"/>
        <v>15414.237079999999</v>
      </c>
      <c r="F113" s="410">
        <f t="shared" si="45"/>
        <v>15966.06984</v>
      </c>
      <c r="G113" s="410">
        <f t="shared" si="45"/>
        <v>16271.662050000001</v>
      </c>
      <c r="H113" s="410">
        <f t="shared" si="45"/>
        <v>15370.988921000002</v>
      </c>
      <c r="I113" s="410">
        <f t="shared" si="45"/>
        <v>16706.669760000001</v>
      </c>
      <c r="J113" s="410">
        <f t="shared" si="45"/>
        <v>16890.937632000001</v>
      </c>
      <c r="K113" s="410">
        <f t="shared" si="45"/>
        <v>17161.497898999998</v>
      </c>
      <c r="L113" s="410">
        <f t="shared" si="45"/>
        <v>17190.843516000001</v>
      </c>
      <c r="M113" s="410">
        <f t="shared" si="45"/>
        <v>16650.423699999999</v>
      </c>
      <c r="N113" s="410">
        <f t="shared" si="45"/>
        <v>16630.457180000001</v>
      </c>
      <c r="O113" s="410">
        <f t="shared" si="45"/>
        <v>17152.55647</v>
      </c>
      <c r="P113" s="410">
        <f t="shared" si="45"/>
        <v>17766.718465167498</v>
      </c>
      <c r="Q113" s="410">
        <f t="shared" si="45"/>
        <v>18021.165376537199</v>
      </c>
      <c r="R113" s="410">
        <f t="shared" si="45"/>
        <v>18674.698368837198</v>
      </c>
      <c r="S113" s="410">
        <f t="shared" si="45"/>
        <v>17269.539324868998</v>
      </c>
      <c r="T113" s="410">
        <f t="shared" si="45"/>
        <v>21169.556669552199</v>
      </c>
      <c r="U113" s="410">
        <f t="shared" si="45"/>
        <v>21565.823552000002</v>
      </c>
      <c r="V113" s="410">
        <f t="shared" si="45"/>
        <v>22836.298147973343</v>
      </c>
      <c r="W113" s="427">
        <f>W92*W109</f>
        <v>23794.080920272714</v>
      </c>
    </row>
    <row r="114" spans="1:24"/>
    <row r="115" spans="1:24">
      <c r="C115" s="399">
        <v>2004</v>
      </c>
      <c r="D115" s="399">
        <v>2005</v>
      </c>
      <c r="E115" s="399">
        <v>2006</v>
      </c>
      <c r="F115" s="399">
        <v>2007</v>
      </c>
      <c r="G115" s="399">
        <v>2008</v>
      </c>
      <c r="H115" s="418">
        <v>2009</v>
      </c>
      <c r="I115" s="399">
        <v>2010</v>
      </c>
      <c r="J115" s="399">
        <v>2011</v>
      </c>
      <c r="K115" s="399">
        <v>2012</v>
      </c>
      <c r="L115" s="399">
        <v>2013</v>
      </c>
      <c r="M115" s="399">
        <v>2014</v>
      </c>
      <c r="N115" s="399">
        <v>2015</v>
      </c>
      <c r="O115" s="399">
        <v>2016</v>
      </c>
      <c r="P115" s="399">
        <v>2017</v>
      </c>
      <c r="Q115" s="399">
        <v>2018</v>
      </c>
      <c r="R115" s="399">
        <v>2019</v>
      </c>
      <c r="S115" s="399">
        <v>2020</v>
      </c>
      <c r="T115" s="399">
        <v>2021</v>
      </c>
      <c r="U115" s="400">
        <v>2022</v>
      </c>
      <c r="V115" s="399">
        <v>2023</v>
      </c>
      <c r="W115" s="400">
        <v>2024</v>
      </c>
    </row>
    <row r="116" spans="1:24">
      <c r="A116" s="399" t="s">
        <v>629</v>
      </c>
      <c r="B116" s="399" t="s">
        <v>629</v>
      </c>
      <c r="C116" s="410">
        <f t="shared" ref="C116:V116" si="46">C98*C109</f>
        <v>142.67615821316616</v>
      </c>
      <c r="D116" s="410">
        <f t="shared" si="46"/>
        <v>141.3125911801242</v>
      </c>
      <c r="E116" s="410">
        <f t="shared" si="46"/>
        <v>146.55222392638035</v>
      </c>
      <c r="F116" s="410">
        <f t="shared" si="46"/>
        <v>144.62186334346504</v>
      </c>
      <c r="G116" s="410">
        <f t="shared" si="46"/>
        <v>142.51902000000001</v>
      </c>
      <c r="H116" s="410">
        <f t="shared" si="46"/>
        <v>129.53036752976192</v>
      </c>
      <c r="I116" s="410">
        <f t="shared" si="46"/>
        <v>147.91460999999998</v>
      </c>
      <c r="J116" s="448">
        <f t="shared" si="46"/>
        <v>147.80944233236153</v>
      </c>
      <c r="K116" s="448">
        <f t="shared" si="46"/>
        <v>139.58123272988507</v>
      </c>
      <c r="L116" s="448">
        <f t="shared" si="46"/>
        <v>133.79892034090909</v>
      </c>
      <c r="M116" s="448">
        <f t="shared" si="46"/>
        <v>127.05883943661972</v>
      </c>
      <c r="N116" s="448">
        <f t="shared" si="46"/>
        <v>117.58708969359331</v>
      </c>
      <c r="O116" s="448">
        <f t="shared" si="46"/>
        <v>113.2432541436464</v>
      </c>
      <c r="P116" s="449">
        <f t="shared" si="46"/>
        <v>101.00658161219344</v>
      </c>
      <c r="Q116" s="449">
        <f t="shared" si="46"/>
        <v>95.119079102460873</v>
      </c>
      <c r="R116" s="448">
        <f t="shared" si="46"/>
        <v>91.904170447797867</v>
      </c>
      <c r="S116" s="450">
        <f t="shared" si="46"/>
        <v>74.282222964193636</v>
      </c>
      <c r="T116" s="451">
        <f t="shared" si="46"/>
        <v>82.782181398229795</v>
      </c>
      <c r="U116" s="450">
        <f t="shared" si="46"/>
        <v>80.16247888040715</v>
      </c>
      <c r="V116" s="450">
        <f t="shared" si="46"/>
        <v>67.790275022332509</v>
      </c>
      <c r="W116" s="427">
        <f>W98*W109</f>
        <v>67.052542372881362</v>
      </c>
    </row>
    <row r="117" spans="1:24">
      <c r="A117" s="399" t="s">
        <v>630</v>
      </c>
      <c r="B117" s="399" t="s">
        <v>630</v>
      </c>
      <c r="C117" s="410">
        <f t="shared" ref="C117:V117" si="47">C97*C109</f>
        <v>17.523347962382445</v>
      </c>
      <c r="D117" s="410">
        <f t="shared" si="47"/>
        <v>26.351167701863353</v>
      </c>
      <c r="E117" s="410">
        <f t="shared" si="47"/>
        <v>40.693251533742327</v>
      </c>
      <c r="F117" s="410">
        <f t="shared" si="47"/>
        <v>54.407854103343468</v>
      </c>
      <c r="G117" s="410">
        <f t="shared" si="47"/>
        <v>67.284000000000006</v>
      </c>
      <c r="H117" s="410">
        <f t="shared" si="47"/>
        <v>76.041386904761907</v>
      </c>
      <c r="I117" s="410">
        <f t="shared" si="47"/>
        <v>91.183764705882339</v>
      </c>
      <c r="J117" s="410">
        <f t="shared" si="47"/>
        <v>105.02661224489796</v>
      </c>
      <c r="K117" s="410">
        <f t="shared" si="47"/>
        <v>117.66438218390805</v>
      </c>
      <c r="L117" s="410">
        <f t="shared" si="47"/>
        <v>127.41760227272727</v>
      </c>
      <c r="M117" s="410">
        <f t="shared" si="47"/>
        <v>136.97538028169015</v>
      </c>
      <c r="N117" s="410">
        <f t="shared" si="47"/>
        <v>162.73023955431754</v>
      </c>
      <c r="O117" s="410">
        <f t="shared" si="47"/>
        <v>189.42947513812155</v>
      </c>
      <c r="P117" s="410">
        <f t="shared" si="47"/>
        <v>228.35059128065396</v>
      </c>
      <c r="Q117" s="410">
        <f t="shared" si="47"/>
        <v>247.4877280086346</v>
      </c>
      <c r="R117" s="410">
        <f t="shared" si="47"/>
        <v>275.89340425531913</v>
      </c>
      <c r="S117" s="410">
        <f t="shared" si="47"/>
        <v>288.99851617995262</v>
      </c>
      <c r="T117" s="410">
        <f t="shared" si="47"/>
        <v>383.53096308093996</v>
      </c>
      <c r="U117" s="410">
        <f t="shared" si="47"/>
        <v>386.54299236641231</v>
      </c>
      <c r="V117" s="410">
        <f t="shared" si="47"/>
        <v>421.66979425235729</v>
      </c>
      <c r="W117" s="427">
        <f>W97*W109</f>
        <v>436.31961259079907</v>
      </c>
    </row>
    <row r="118" spans="1:24">
      <c r="A118" s="399" t="s">
        <v>631</v>
      </c>
      <c r="B118" s="399" t="s">
        <v>631</v>
      </c>
      <c r="C118" s="422">
        <f t="shared" ref="C118:V118" si="48">C100*C109</f>
        <v>437.83095846394991</v>
      </c>
      <c r="D118" s="422">
        <f t="shared" si="48"/>
        <v>449.88851602484471</v>
      </c>
      <c r="E118" s="422">
        <f t="shared" si="48"/>
        <v>472.82935828220855</v>
      </c>
      <c r="F118" s="422">
        <f t="shared" si="48"/>
        <v>485.29087659574469</v>
      </c>
      <c r="G118" s="422">
        <f t="shared" si="48"/>
        <v>488.63850000000008</v>
      </c>
      <c r="H118" s="422">
        <f t="shared" si="48"/>
        <v>457.46990836309521</v>
      </c>
      <c r="I118" s="422">
        <f t="shared" si="48"/>
        <v>491.37263999999999</v>
      </c>
      <c r="J118" s="422">
        <f t="shared" si="48"/>
        <v>492.44716128279896</v>
      </c>
      <c r="K118" s="422">
        <f t="shared" si="48"/>
        <v>493.14649135057471</v>
      </c>
      <c r="L118" s="422">
        <f t="shared" si="48"/>
        <v>488.37623624999998</v>
      </c>
      <c r="M118" s="422">
        <f t="shared" si="48"/>
        <v>469.0260197183099</v>
      </c>
      <c r="N118" s="422">
        <f t="shared" si="48"/>
        <v>463.24393259052931</v>
      </c>
      <c r="O118" s="422">
        <f t="shared" si="48"/>
        <v>473.82752679558013</v>
      </c>
      <c r="P118" s="422">
        <f t="shared" si="48"/>
        <v>484.1067701680517</v>
      </c>
      <c r="Q118" s="422">
        <f t="shared" si="48"/>
        <v>486.26997778028056</v>
      </c>
      <c r="R118" s="422">
        <f t="shared" si="48"/>
        <v>496.6675098094999</v>
      </c>
      <c r="S118" s="422">
        <f t="shared" si="48"/>
        <v>454.34199749721125</v>
      </c>
      <c r="T118" s="422">
        <f t="shared" si="48"/>
        <v>552.72993915279903</v>
      </c>
      <c r="U118" s="422">
        <f t="shared" si="48"/>
        <v>548.74869089058529</v>
      </c>
      <c r="V118" s="422">
        <f t="shared" si="48"/>
        <v>566.65752228221709</v>
      </c>
      <c r="W118" s="427">
        <f>W100*W109</f>
        <v>576.12786731895198</v>
      </c>
    </row>
    <row r="119" spans="1:24">
      <c r="A119" s="399" t="s">
        <v>632</v>
      </c>
      <c r="C119" s="410">
        <f t="shared" ref="C119:V119" si="49">C92*C109</f>
        <v>13966.807575000001</v>
      </c>
      <c r="D119" s="410">
        <f t="shared" si="49"/>
        <v>14486.410216</v>
      </c>
      <c r="E119" s="410">
        <f t="shared" si="49"/>
        <v>15414.237079999999</v>
      </c>
      <c r="F119" s="410">
        <f t="shared" si="49"/>
        <v>15966.06984</v>
      </c>
      <c r="G119" s="410">
        <f t="shared" si="49"/>
        <v>16271.662050000001</v>
      </c>
      <c r="H119" s="410">
        <f t="shared" si="49"/>
        <v>15370.988921000002</v>
      </c>
      <c r="I119" s="410">
        <f t="shared" si="49"/>
        <v>16706.669760000001</v>
      </c>
      <c r="J119" s="410">
        <f t="shared" si="49"/>
        <v>16890.937632000001</v>
      </c>
      <c r="K119" s="410">
        <f t="shared" si="49"/>
        <v>17161.497898999998</v>
      </c>
      <c r="L119" s="410">
        <f t="shared" si="49"/>
        <v>17190.843516000001</v>
      </c>
      <c r="M119" s="410">
        <f t="shared" si="49"/>
        <v>16650.423699999999</v>
      </c>
      <c r="N119" s="410">
        <f t="shared" si="49"/>
        <v>16630.457180000001</v>
      </c>
      <c r="O119" s="410">
        <f t="shared" si="49"/>
        <v>17152.55647</v>
      </c>
      <c r="P119" s="410">
        <f t="shared" si="49"/>
        <v>17766.718465167498</v>
      </c>
      <c r="Q119" s="410">
        <f t="shared" si="49"/>
        <v>18021.165376537199</v>
      </c>
      <c r="R119" s="410">
        <f t="shared" si="49"/>
        <v>18674.698368837198</v>
      </c>
      <c r="S119" s="410">
        <f t="shared" si="49"/>
        <v>17269.539324868998</v>
      </c>
      <c r="T119" s="410">
        <f t="shared" si="49"/>
        <v>21169.556669552199</v>
      </c>
      <c r="U119" s="410">
        <f t="shared" si="49"/>
        <v>21565.823552000002</v>
      </c>
      <c r="V119" s="410">
        <f t="shared" si="49"/>
        <v>22836.298147973343</v>
      </c>
      <c r="W119" s="427">
        <f>W92*W109</f>
        <v>23794.080920272714</v>
      </c>
    </row>
    <row r="120" spans="1:24">
      <c r="A120" s="459" t="s">
        <v>967</v>
      </c>
      <c r="B120" s="459"/>
      <c r="C120" s="467">
        <f>C94*C109</f>
        <v>81505.52987340001</v>
      </c>
      <c r="D120" s="467">
        <f t="shared" ref="D120:W120" si="50">D94*D109</f>
        <v>85488.197560000001</v>
      </c>
      <c r="E120" s="467">
        <f t="shared" si="50"/>
        <v>88125.006200000003</v>
      </c>
      <c r="F120" s="467">
        <f t="shared" si="50"/>
        <v>90799.801199999987</v>
      </c>
      <c r="G120" s="467">
        <f t="shared" si="50"/>
        <v>92467.879560000016</v>
      </c>
      <c r="H120" s="467">
        <f t="shared" si="50"/>
        <v>96837.007236600009</v>
      </c>
      <c r="I120" s="467">
        <f t="shared" si="50"/>
        <v>97654.529793000009</v>
      </c>
      <c r="J120" s="467">
        <f t="shared" si="50"/>
        <v>96966.183059200004</v>
      </c>
      <c r="K120" s="467">
        <f t="shared" si="50"/>
        <v>98238.061476099989</v>
      </c>
      <c r="L120" s="467">
        <f t="shared" si="50"/>
        <v>98719.745328000005</v>
      </c>
      <c r="M120" s="467">
        <f t="shared" si="50"/>
        <v>98678.200150000019</v>
      </c>
      <c r="N120" s="467">
        <f t="shared" si="50"/>
        <v>100386.68811492799</v>
      </c>
      <c r="O120" s="467">
        <f t="shared" si="50"/>
        <v>99440.058150545839</v>
      </c>
      <c r="P120" s="467">
        <f t="shared" si="50"/>
        <v>101611.32496118</v>
      </c>
      <c r="Q120" s="467">
        <f t="shared" si="50"/>
        <v>105901.11552137999</v>
      </c>
      <c r="R120" s="467">
        <f t="shared" si="50"/>
        <v>108771.36300889842</v>
      </c>
      <c r="S120" s="467">
        <f t="shared" si="50"/>
        <v>104117.57449923357</v>
      </c>
      <c r="T120" s="467">
        <f t="shared" si="50"/>
        <v>111460.26219442948</v>
      </c>
      <c r="U120" s="467">
        <f t="shared" si="50"/>
        <v>110165.69245811229</v>
      </c>
      <c r="V120" s="467">
        <f t="shared" si="50"/>
        <v>112520.42401980789</v>
      </c>
      <c r="W120" s="467">
        <f t="shared" si="50"/>
        <v>112766.78070875045</v>
      </c>
      <c r="X120" s="36"/>
    </row>
    <row r="121" spans="1:24">
      <c r="C121" s="399">
        <v>2004</v>
      </c>
      <c r="D121" s="399">
        <v>2005</v>
      </c>
      <c r="E121" s="399">
        <v>2006</v>
      </c>
      <c r="F121" s="399">
        <v>2007</v>
      </c>
      <c r="G121" s="399">
        <v>2008</v>
      </c>
      <c r="H121" s="399">
        <v>2009</v>
      </c>
      <c r="I121" s="399">
        <v>2010</v>
      </c>
      <c r="J121" s="399">
        <v>2011</v>
      </c>
      <c r="K121" s="399">
        <v>2012</v>
      </c>
      <c r="L121" s="399">
        <v>2013</v>
      </c>
      <c r="M121" s="399">
        <v>2014</v>
      </c>
      <c r="N121" s="399">
        <v>2015</v>
      </c>
      <c r="O121" s="399">
        <v>2016</v>
      </c>
      <c r="P121" s="399">
        <v>2017</v>
      </c>
      <c r="Q121" s="399">
        <v>2018</v>
      </c>
      <c r="R121" s="399">
        <v>2019</v>
      </c>
      <c r="S121" s="399">
        <v>2020</v>
      </c>
      <c r="T121" s="399">
        <v>2021</v>
      </c>
      <c r="U121" s="399">
        <v>2022</v>
      </c>
      <c r="V121" s="399">
        <v>2023</v>
      </c>
      <c r="W121" s="400">
        <v>2024</v>
      </c>
    </row>
    <row r="122" spans="1:24">
      <c r="A122" s="399" t="s">
        <v>633</v>
      </c>
      <c r="C122" s="410">
        <v>1331178</v>
      </c>
      <c r="D122" s="410">
        <v>1417028</v>
      </c>
      <c r="E122" s="410">
        <v>1492207</v>
      </c>
      <c r="F122" s="410">
        <v>1573532</v>
      </c>
      <c r="G122" s="410">
        <v>1652923</v>
      </c>
      <c r="H122" s="410">
        <v>1567365</v>
      </c>
      <c r="I122" s="410">
        <v>1662130</v>
      </c>
      <c r="J122" s="410">
        <v>1769921</v>
      </c>
      <c r="K122" s="410">
        <v>1822808</v>
      </c>
      <c r="L122" s="410">
        <v>1897531</v>
      </c>
      <c r="M122" s="410">
        <v>1994898</v>
      </c>
      <c r="N122" s="410">
        <v>1990441</v>
      </c>
      <c r="O122" s="410">
        <v>2025535</v>
      </c>
      <c r="P122" s="410">
        <v>2141107</v>
      </c>
      <c r="Q122" s="410">
        <v>2223856</v>
      </c>
      <c r="R122" s="410">
        <v>2313563</v>
      </c>
      <c r="S122" s="410">
        <v>2209681</v>
      </c>
      <c r="T122" s="410">
        <v>2517123</v>
      </c>
      <c r="U122" s="410">
        <v>2813289</v>
      </c>
      <c r="V122" s="464">
        <v>2952432</v>
      </c>
      <c r="W122" s="461">
        <v>3108551</v>
      </c>
    </row>
    <row r="123" spans="1:24">
      <c r="A123" s="399" t="s">
        <v>438</v>
      </c>
      <c r="C123" s="410">
        <f t="shared" ref="C123:W123" si="51">C92/C122*100</f>
        <v>0.68321066003194164</v>
      </c>
      <c r="D123" s="410">
        <f t="shared" si="51"/>
        <v>0.67711576623750558</v>
      </c>
      <c r="E123" s="410">
        <f t="shared" si="51"/>
        <v>0.70080223454252655</v>
      </c>
      <c r="F123" s="410">
        <f t="shared" si="51"/>
        <v>0.70345566534395243</v>
      </c>
      <c r="G123" s="410">
        <f t="shared" si="51"/>
        <v>0.70385916343350541</v>
      </c>
      <c r="H123" s="410">
        <f t="shared" si="51"/>
        <v>0.69934380313456024</v>
      </c>
      <c r="I123" s="410">
        <f t="shared" si="51"/>
        <v>0.72364014848417391</v>
      </c>
      <c r="J123" s="410">
        <f t="shared" si="51"/>
        <v>0.70838246452807796</v>
      </c>
      <c r="K123" s="410">
        <f t="shared" si="51"/>
        <v>0.70932484386726402</v>
      </c>
      <c r="L123" s="410">
        <f t="shared" si="51"/>
        <v>0.69041190894905013</v>
      </c>
      <c r="M123" s="410">
        <f t="shared" si="51"/>
        <v>0.65105333706284729</v>
      </c>
      <c r="N123" s="410">
        <f t="shared" si="51"/>
        <v>0.65845709568884481</v>
      </c>
      <c r="O123" s="410">
        <f t="shared" si="51"/>
        <v>0.67734450404461044</v>
      </c>
      <c r="P123" s="410">
        <f t="shared" si="51"/>
        <v>0.67043002871878887</v>
      </c>
      <c r="Q123" s="410">
        <f t="shared" si="51"/>
        <v>0.67076952878243912</v>
      </c>
      <c r="R123" s="410">
        <f t="shared" si="51"/>
        <v>0.68162766546664166</v>
      </c>
      <c r="S123" s="410">
        <f t="shared" si="51"/>
        <v>0.68472045670845705</v>
      </c>
      <c r="T123" s="410">
        <f t="shared" si="51"/>
        <v>0.73683365981718019</v>
      </c>
      <c r="U123" s="410">
        <f t="shared" si="51"/>
        <v>0.72619343409084514</v>
      </c>
      <c r="V123" s="410">
        <f t="shared" si="51"/>
        <v>0.7533594470612287</v>
      </c>
      <c r="W123" s="427">
        <f t="shared" si="51"/>
        <v>0.76543961866067878</v>
      </c>
    </row>
    <row r="124" spans="1:24">
      <c r="A124" s="399" t="s">
        <v>634</v>
      </c>
      <c r="C124" s="422">
        <f t="shared" ref="C124:W124" si="52">C94/C122</f>
        <v>3.9869846106230726E-2</v>
      </c>
      <c r="D124" s="422">
        <f t="shared" si="52"/>
        <v>3.9958420017106221E-2</v>
      </c>
      <c r="E124" s="422">
        <f t="shared" si="52"/>
        <v>4.0065687937397426E-2</v>
      </c>
      <c r="F124" s="422">
        <f t="shared" si="52"/>
        <v>4.0005859429614397E-2</v>
      </c>
      <c r="G124" s="422">
        <f t="shared" si="52"/>
        <v>3.999859642584682E-2</v>
      </c>
      <c r="H124" s="422">
        <f t="shared" si="52"/>
        <v>4.4058558153333781E-2</v>
      </c>
      <c r="I124" s="422">
        <f t="shared" si="52"/>
        <v>4.2298518768086733E-2</v>
      </c>
      <c r="J124" s="422">
        <f t="shared" si="52"/>
        <v>4.0666270415459227E-2</v>
      </c>
      <c r="K124" s="422">
        <f t="shared" si="52"/>
        <v>4.0604088307709861E-2</v>
      </c>
      <c r="L124" s="422">
        <f t="shared" si="52"/>
        <v>3.9647436589968756E-2</v>
      </c>
      <c r="M124" s="422">
        <f t="shared" si="52"/>
        <v>3.8584466473975114E-2</v>
      </c>
      <c r="N124" s="422">
        <f t="shared" si="52"/>
        <v>3.9746548388020546E-2</v>
      </c>
      <c r="O124" s="422">
        <f t="shared" si="52"/>
        <v>3.9268302067947486E-2</v>
      </c>
      <c r="P124" s="422">
        <f t="shared" si="52"/>
        <v>3.8343199756014065E-2</v>
      </c>
      <c r="Q124" s="422">
        <f t="shared" si="52"/>
        <v>3.941767353641603E-2</v>
      </c>
      <c r="R124" s="422">
        <f t="shared" si="52"/>
        <v>3.9701615936727212E-2</v>
      </c>
      <c r="S124" s="465">
        <f t="shared" si="52"/>
        <v>4.128160677675332E-2</v>
      </c>
      <c r="T124" s="465">
        <f t="shared" si="52"/>
        <v>3.8795178472030421E-2</v>
      </c>
      <c r="U124" s="465">
        <f t="shared" si="52"/>
        <v>3.7096474582689054E-2</v>
      </c>
      <c r="V124" s="465">
        <f t="shared" si="52"/>
        <v>3.7119993736892253E-2</v>
      </c>
      <c r="W124" s="426">
        <f t="shared" si="52"/>
        <v>3.6276316749749467E-2</v>
      </c>
    </row>
    <row r="125" spans="1:24">
      <c r="G125" s="416"/>
      <c r="H125" s="416"/>
      <c r="I125" s="416"/>
      <c r="J125" s="416"/>
      <c r="K125" s="416"/>
    </row>
    <row r="126" spans="1:24">
      <c r="A126" s="399" t="s">
        <v>630</v>
      </c>
      <c r="B126" s="399" t="s">
        <v>630</v>
      </c>
      <c r="C126" s="410">
        <f t="shared" ref="C126:W126" si="53">C106*C117</f>
        <v>558.99479999999994</v>
      </c>
      <c r="D126" s="410">
        <f t="shared" si="53"/>
        <v>848.50760000000002</v>
      </c>
      <c r="E126" s="410">
        <f t="shared" si="53"/>
        <v>1326.6</v>
      </c>
      <c r="F126" s="410">
        <f t="shared" si="53"/>
        <v>1790.0183999999999</v>
      </c>
      <c r="G126" s="410">
        <f t="shared" si="53"/>
        <v>2240.5572000000002</v>
      </c>
      <c r="H126" s="410">
        <f t="shared" si="53"/>
        <v>2554.9906000000001</v>
      </c>
      <c r="I126" s="410">
        <f t="shared" si="53"/>
        <v>3100.2479999999996</v>
      </c>
      <c r="J126" s="410">
        <f t="shared" si="53"/>
        <v>3602.4127999999996</v>
      </c>
      <c r="K126" s="410">
        <f t="shared" si="53"/>
        <v>4094.7204999999994</v>
      </c>
      <c r="L126" s="410">
        <f t="shared" si="53"/>
        <v>4485.0996000000005</v>
      </c>
      <c r="M126" s="410">
        <f t="shared" si="53"/>
        <v>4862.6260000000002</v>
      </c>
      <c r="N126" s="410">
        <f t="shared" si="53"/>
        <v>5842.0155999999997</v>
      </c>
      <c r="O126" s="410">
        <f t="shared" si="53"/>
        <v>6857.3470000000007</v>
      </c>
      <c r="P126" s="410">
        <f t="shared" si="53"/>
        <v>8380.4667000000009</v>
      </c>
      <c r="Q126" s="410">
        <f t="shared" si="53"/>
        <v>9171.895199999999</v>
      </c>
      <c r="R126" s="410">
        <f t="shared" si="53"/>
        <v>10373.591999999999</v>
      </c>
      <c r="S126" s="410">
        <f t="shared" si="53"/>
        <v>10990.035573291238</v>
      </c>
      <c r="T126" s="410">
        <f t="shared" si="53"/>
        <v>14665.840497252062</v>
      </c>
      <c r="U126" s="410">
        <f t="shared" si="53"/>
        <v>15051.597579755729</v>
      </c>
      <c r="V126" s="410">
        <f t="shared" si="53"/>
        <v>16907.693740136772</v>
      </c>
      <c r="W126" s="410">
        <f t="shared" si="53"/>
        <v>18014.76416464891</v>
      </c>
    </row>
    <row r="127" spans="1:24">
      <c r="A127" s="399" t="s">
        <v>631</v>
      </c>
      <c r="B127" s="399" t="s">
        <v>631</v>
      </c>
      <c r="C127" s="410">
        <f t="shared" ref="C127:W127" si="54">C109*C117</f>
        <v>26.910605465830724</v>
      </c>
      <c r="D127" s="410">
        <f t="shared" si="54"/>
        <v>39.784992996273289</v>
      </c>
      <c r="E127" s="410">
        <f t="shared" si="54"/>
        <v>59.981852760736189</v>
      </c>
      <c r="F127" s="410">
        <f t="shared" si="54"/>
        <v>78.477888758662615</v>
      </c>
      <c r="G127" s="410">
        <f t="shared" si="54"/>
        <v>94.103402400000007</v>
      </c>
      <c r="H127" s="410">
        <f t="shared" si="54"/>
        <v>106.63283685654763</v>
      </c>
      <c r="I127" s="410">
        <f t="shared" si="54"/>
        <v>126.65424917647057</v>
      </c>
      <c r="J127" s="410">
        <f t="shared" si="54"/>
        <v>141.49185201632653</v>
      </c>
      <c r="K127" s="410">
        <f t="shared" si="54"/>
        <v>156.17593447270113</v>
      </c>
      <c r="L127" s="410">
        <f t="shared" si="54"/>
        <v>167.19737770227272</v>
      </c>
      <c r="M127" s="410">
        <f t="shared" si="54"/>
        <v>175.60243752112677</v>
      </c>
      <c r="N127" s="410">
        <f t="shared" si="54"/>
        <v>206.48840097047352</v>
      </c>
      <c r="O127" s="410">
        <f t="shared" si="54"/>
        <v>236.82472981767955</v>
      </c>
      <c r="P127" s="410">
        <f t="shared" si="54"/>
        <v>282.62952682806542</v>
      </c>
      <c r="Q127" s="410">
        <f t="shared" si="54"/>
        <v>298.98992420723147</v>
      </c>
      <c r="R127" s="410">
        <f t="shared" si="54"/>
        <v>326.7129693191489</v>
      </c>
      <c r="S127" s="410">
        <f t="shared" si="54"/>
        <v>329.8629063677979</v>
      </c>
      <c r="T127" s="410">
        <f t="shared" si="54"/>
        <v>437.76224126058486</v>
      </c>
      <c r="U127" s="410">
        <f t="shared" si="54"/>
        <v>408.03478274198488</v>
      </c>
      <c r="V127" s="410">
        <f t="shared" si="54"/>
        <v>432.92837775889518</v>
      </c>
      <c r="W127" s="410">
        <f t="shared" si="54"/>
        <v>436.31961259079907</v>
      </c>
    </row>
    <row r="128" spans="1:24">
      <c r="A128" s="399" t="s">
        <v>632</v>
      </c>
      <c r="C128" s="410">
        <f t="shared" ref="C128:W128" si="55">C109*C92</f>
        <v>13966.807575000001</v>
      </c>
      <c r="D128" s="410">
        <f t="shared" si="55"/>
        <v>14486.410216</v>
      </c>
      <c r="E128" s="410">
        <f t="shared" si="55"/>
        <v>15414.237079999999</v>
      </c>
      <c r="F128" s="410">
        <f t="shared" si="55"/>
        <v>15966.06984</v>
      </c>
      <c r="G128" s="410">
        <f t="shared" si="55"/>
        <v>16271.662050000001</v>
      </c>
      <c r="H128" s="410">
        <f t="shared" si="55"/>
        <v>15370.988921000002</v>
      </c>
      <c r="I128" s="410">
        <f t="shared" si="55"/>
        <v>16706.669760000001</v>
      </c>
      <c r="J128" s="410">
        <f t="shared" si="55"/>
        <v>16890.937632000001</v>
      </c>
      <c r="K128" s="410">
        <f t="shared" si="55"/>
        <v>17161.497898999998</v>
      </c>
      <c r="L128" s="410">
        <f t="shared" si="55"/>
        <v>17190.843516000001</v>
      </c>
      <c r="M128" s="410">
        <f t="shared" si="55"/>
        <v>16650.423699999999</v>
      </c>
      <c r="N128" s="410">
        <f t="shared" si="55"/>
        <v>16630.457180000001</v>
      </c>
      <c r="O128" s="410">
        <f t="shared" si="55"/>
        <v>17152.55647</v>
      </c>
      <c r="P128" s="410">
        <f t="shared" si="55"/>
        <v>17766.718465167498</v>
      </c>
      <c r="Q128" s="410">
        <f t="shared" si="55"/>
        <v>18021.165376537199</v>
      </c>
      <c r="R128" s="410">
        <f t="shared" si="55"/>
        <v>18674.698368837198</v>
      </c>
      <c r="S128" s="410">
        <f t="shared" si="55"/>
        <v>17269.539324868998</v>
      </c>
      <c r="T128" s="410">
        <f t="shared" si="55"/>
        <v>21169.556669552199</v>
      </c>
      <c r="U128" s="410">
        <f t="shared" si="55"/>
        <v>21565.823552000002</v>
      </c>
      <c r="V128" s="410">
        <f t="shared" si="55"/>
        <v>22836.298147973343</v>
      </c>
      <c r="W128" s="410">
        <f t="shared" si="55"/>
        <v>23794.080920272714</v>
      </c>
    </row>
    <row r="129" spans="1:25">
      <c r="C129" s="402">
        <v>2004</v>
      </c>
      <c r="D129" s="402">
        <v>2005</v>
      </c>
      <c r="E129" s="402">
        <v>2006</v>
      </c>
      <c r="F129" s="402">
        <v>2007</v>
      </c>
      <c r="G129" s="402">
        <v>2008</v>
      </c>
      <c r="H129" s="402">
        <v>2009</v>
      </c>
      <c r="I129" s="402">
        <v>2010</v>
      </c>
      <c r="J129" s="402">
        <v>2011</v>
      </c>
      <c r="K129" s="402">
        <v>2012</v>
      </c>
      <c r="L129" s="402">
        <v>2013</v>
      </c>
      <c r="M129" s="402">
        <v>2014</v>
      </c>
      <c r="N129" s="402">
        <v>2015</v>
      </c>
      <c r="O129" s="402">
        <v>2016</v>
      </c>
      <c r="P129" s="402">
        <v>2017</v>
      </c>
      <c r="Q129" s="402">
        <v>2018</v>
      </c>
      <c r="R129" s="402">
        <v>2019</v>
      </c>
      <c r="S129" s="402">
        <v>2020</v>
      </c>
      <c r="T129" s="402">
        <v>2021</v>
      </c>
      <c r="U129" s="402">
        <v>2022</v>
      </c>
      <c r="V129" s="402">
        <v>2023</v>
      </c>
      <c r="W129" s="403">
        <v>2024</v>
      </c>
    </row>
    <row r="130" spans="1:25">
      <c r="A130" s="399" t="s">
        <v>633</v>
      </c>
      <c r="C130" s="410">
        <v>1331178</v>
      </c>
      <c r="D130" s="410">
        <v>1417028</v>
      </c>
      <c r="E130" s="410">
        <v>1492207</v>
      </c>
      <c r="F130" s="410">
        <v>1573532</v>
      </c>
      <c r="G130" s="410">
        <v>1652923</v>
      </c>
      <c r="H130" s="410">
        <v>1567365</v>
      </c>
      <c r="I130" s="410">
        <v>1662130</v>
      </c>
      <c r="J130" s="410">
        <v>1769921</v>
      </c>
      <c r="K130" s="410">
        <v>1822808</v>
      </c>
      <c r="L130" s="410">
        <v>1897531</v>
      </c>
      <c r="M130" s="410">
        <v>1994898</v>
      </c>
      <c r="N130" s="410">
        <v>1990441</v>
      </c>
      <c r="O130" s="410">
        <v>2025535</v>
      </c>
      <c r="P130" s="410">
        <v>2141107</v>
      </c>
      <c r="Q130" s="410">
        <v>2223856</v>
      </c>
      <c r="R130" s="443">
        <v>2313563</v>
      </c>
      <c r="S130" s="443">
        <v>2209681</v>
      </c>
      <c r="T130" s="443">
        <v>2517123</v>
      </c>
      <c r="U130" s="427">
        <v>2813289</v>
      </c>
      <c r="V130" s="452">
        <v>2952432</v>
      </c>
      <c r="W130" s="461">
        <v>3108551</v>
      </c>
    </row>
    <row r="131" spans="1:25">
      <c r="A131" s="399" t="s">
        <v>438</v>
      </c>
      <c r="C131" s="425">
        <f t="shared" ref="C131:V131" si="56">C92/C130*100</f>
        <v>0.68321066003194164</v>
      </c>
      <c r="D131" s="425">
        <f t="shared" si="56"/>
        <v>0.67711576623750558</v>
      </c>
      <c r="E131" s="425">
        <f t="shared" si="56"/>
        <v>0.70080223454252655</v>
      </c>
      <c r="F131" s="425">
        <f t="shared" si="56"/>
        <v>0.70345566534395243</v>
      </c>
      <c r="G131" s="425">
        <f t="shared" si="56"/>
        <v>0.70385916343350541</v>
      </c>
      <c r="H131" s="425">
        <f t="shared" si="56"/>
        <v>0.69934380313456024</v>
      </c>
      <c r="I131" s="425">
        <f t="shared" si="56"/>
        <v>0.72364014848417391</v>
      </c>
      <c r="J131" s="425">
        <f t="shared" si="56"/>
        <v>0.70838246452807796</v>
      </c>
      <c r="K131" s="425">
        <f t="shared" si="56"/>
        <v>0.70932484386726402</v>
      </c>
      <c r="L131" s="425">
        <f t="shared" si="56"/>
        <v>0.69041190894905013</v>
      </c>
      <c r="M131" s="425">
        <f t="shared" si="56"/>
        <v>0.65105333706284729</v>
      </c>
      <c r="N131" s="425">
        <f t="shared" si="56"/>
        <v>0.65845709568884481</v>
      </c>
      <c r="O131" s="425">
        <f t="shared" si="56"/>
        <v>0.67734450404461044</v>
      </c>
      <c r="P131" s="425">
        <f t="shared" si="56"/>
        <v>0.67043002871878887</v>
      </c>
      <c r="Q131" s="425">
        <f t="shared" si="56"/>
        <v>0.67076952878243912</v>
      </c>
      <c r="R131" s="425">
        <f t="shared" si="56"/>
        <v>0.68162766546664166</v>
      </c>
      <c r="S131" s="425">
        <f t="shared" si="56"/>
        <v>0.68472045670845705</v>
      </c>
      <c r="T131" s="425">
        <f t="shared" si="56"/>
        <v>0.73683365981718019</v>
      </c>
      <c r="U131" s="425">
        <f t="shared" si="56"/>
        <v>0.72619343409084514</v>
      </c>
      <c r="V131" s="425">
        <f t="shared" si="56"/>
        <v>0.7533594470612287</v>
      </c>
      <c r="W131" s="425">
        <f>W92/W130*100</f>
        <v>0.76543961866067878</v>
      </c>
    </row>
    <row r="132" spans="1:25">
      <c r="A132" s="399" t="s">
        <v>634</v>
      </c>
      <c r="C132" s="466">
        <f t="shared" ref="C132:V132" si="57">C94/C130</f>
        <v>3.9869846106230726E-2</v>
      </c>
      <c r="D132" s="466">
        <f t="shared" si="57"/>
        <v>3.9958420017106221E-2</v>
      </c>
      <c r="E132" s="466">
        <f t="shared" si="57"/>
        <v>4.0065687937397426E-2</v>
      </c>
      <c r="F132" s="466">
        <f t="shared" si="57"/>
        <v>4.0005859429614397E-2</v>
      </c>
      <c r="G132" s="466">
        <f t="shared" si="57"/>
        <v>3.999859642584682E-2</v>
      </c>
      <c r="H132" s="466">
        <f t="shared" si="57"/>
        <v>4.4058558153333781E-2</v>
      </c>
      <c r="I132" s="466">
        <f t="shared" si="57"/>
        <v>4.2298518768086733E-2</v>
      </c>
      <c r="J132" s="466">
        <f t="shared" si="57"/>
        <v>4.0666270415459227E-2</v>
      </c>
      <c r="K132" s="466">
        <f t="shared" si="57"/>
        <v>4.0604088307709861E-2</v>
      </c>
      <c r="L132" s="466">
        <f t="shared" si="57"/>
        <v>3.9647436589968756E-2</v>
      </c>
      <c r="M132" s="466">
        <f t="shared" si="57"/>
        <v>3.8584466473975114E-2</v>
      </c>
      <c r="N132" s="466">
        <f t="shared" si="57"/>
        <v>3.9746548388020546E-2</v>
      </c>
      <c r="O132" s="466">
        <f t="shared" si="57"/>
        <v>3.9268302067947486E-2</v>
      </c>
      <c r="P132" s="466">
        <f t="shared" si="57"/>
        <v>3.8343199756014065E-2</v>
      </c>
      <c r="Q132" s="466">
        <f t="shared" si="57"/>
        <v>3.941767353641603E-2</v>
      </c>
      <c r="R132" s="466">
        <f t="shared" si="57"/>
        <v>3.9701615936727212E-2</v>
      </c>
      <c r="S132" s="466">
        <f t="shared" si="57"/>
        <v>4.128160677675332E-2</v>
      </c>
      <c r="T132" s="466">
        <f t="shared" si="57"/>
        <v>3.8795178472030421E-2</v>
      </c>
      <c r="U132" s="466">
        <f t="shared" si="57"/>
        <v>3.7096474582689054E-2</v>
      </c>
      <c r="V132" s="466">
        <f t="shared" si="57"/>
        <v>3.7119993736892253E-2</v>
      </c>
      <c r="W132" s="466">
        <f>W94/W130</f>
        <v>3.6276316749749467E-2</v>
      </c>
      <c r="X132" s="457"/>
      <c r="Y132" s="457"/>
    </row>
    <row r="133" spans="1:25" s="457" customFormat="1">
      <c r="A133" s="399"/>
      <c r="B133" s="399"/>
      <c r="C133" s="399"/>
      <c r="D133" s="399"/>
      <c r="E133" s="399"/>
      <c r="F133" s="399"/>
      <c r="G133" s="399"/>
      <c r="H133" s="399"/>
      <c r="I133" s="399"/>
      <c r="J133" s="399"/>
      <c r="K133" s="399"/>
      <c r="L133" s="399"/>
      <c r="M133" s="399"/>
      <c r="N133" s="399"/>
      <c r="O133" s="399"/>
      <c r="P133" s="399"/>
      <c r="Q133" s="399"/>
      <c r="R133" s="399"/>
      <c r="S133" s="399"/>
      <c r="T133" s="399"/>
      <c r="U133" s="399"/>
      <c r="V133" s="399"/>
      <c r="W133" s="403"/>
      <c r="X133"/>
      <c r="Y133"/>
    </row>
    <row r="134" spans="1:25">
      <c r="A134" s="439" t="s">
        <v>687</v>
      </c>
      <c r="B134" s="439"/>
      <c r="C134" s="459">
        <f>C94*C109</f>
        <v>81505.52987340001</v>
      </c>
      <c r="D134" s="459">
        <f t="shared" ref="D134:W134" si="58">D94*D109</f>
        <v>85488.197560000001</v>
      </c>
      <c r="E134" s="459">
        <f t="shared" si="58"/>
        <v>88125.006200000003</v>
      </c>
      <c r="F134" s="459">
        <f t="shared" si="58"/>
        <v>90799.801199999987</v>
      </c>
      <c r="G134" s="459">
        <f t="shared" si="58"/>
        <v>92467.879560000016</v>
      </c>
      <c r="H134" s="459">
        <f t="shared" si="58"/>
        <v>96837.007236600009</v>
      </c>
      <c r="I134" s="459">
        <f t="shared" si="58"/>
        <v>97654.529793000009</v>
      </c>
      <c r="J134" s="459">
        <f t="shared" si="58"/>
        <v>96966.183059200004</v>
      </c>
      <c r="K134" s="459">
        <f t="shared" si="58"/>
        <v>98238.061476099989</v>
      </c>
      <c r="L134" s="459">
        <f t="shared" si="58"/>
        <v>98719.745328000005</v>
      </c>
      <c r="M134" s="459">
        <f t="shared" si="58"/>
        <v>98678.200150000019</v>
      </c>
      <c r="N134" s="459">
        <f t="shared" si="58"/>
        <v>100386.68811492799</v>
      </c>
      <c r="O134" s="459">
        <f t="shared" si="58"/>
        <v>99440.058150545839</v>
      </c>
      <c r="P134" s="459">
        <f t="shared" si="58"/>
        <v>101611.32496118</v>
      </c>
      <c r="Q134" s="459">
        <f t="shared" si="58"/>
        <v>105901.11552137999</v>
      </c>
      <c r="R134" s="459">
        <f t="shared" si="58"/>
        <v>108771.36300889842</v>
      </c>
      <c r="S134" s="459">
        <f t="shared" si="58"/>
        <v>104117.57449923357</v>
      </c>
      <c r="T134" s="459">
        <f t="shared" si="58"/>
        <v>111460.26219442948</v>
      </c>
      <c r="U134" s="459">
        <f t="shared" si="58"/>
        <v>110165.69245811229</v>
      </c>
      <c r="V134" s="459">
        <f t="shared" si="58"/>
        <v>112520.42401980789</v>
      </c>
      <c r="W134" s="459">
        <f t="shared" si="58"/>
        <v>112766.78070875045</v>
      </c>
    </row>
    <row r="135" spans="1:25">
      <c r="A135" s="399" t="s">
        <v>688</v>
      </c>
      <c r="C135" s="399">
        <f>C113/C106</f>
        <v>437.83095846394991</v>
      </c>
      <c r="D135" s="399">
        <f t="shared" ref="D135:W135" si="59">D113/D106</f>
        <v>449.88851602484471</v>
      </c>
      <c r="E135" s="399">
        <f t="shared" si="59"/>
        <v>472.82935828220855</v>
      </c>
      <c r="F135" s="399">
        <f t="shared" si="59"/>
        <v>485.29087659574469</v>
      </c>
      <c r="G135" s="399">
        <f t="shared" si="59"/>
        <v>488.63850000000008</v>
      </c>
      <c r="H135" s="399">
        <f t="shared" si="59"/>
        <v>457.46990836309527</v>
      </c>
      <c r="I135" s="399">
        <f t="shared" si="59"/>
        <v>491.37264000000005</v>
      </c>
      <c r="J135" s="399">
        <f t="shared" si="59"/>
        <v>492.4471612827989</v>
      </c>
      <c r="K135" s="399">
        <f t="shared" si="59"/>
        <v>493.14649135057471</v>
      </c>
      <c r="L135" s="399">
        <f t="shared" si="59"/>
        <v>488.37623624999998</v>
      </c>
      <c r="M135" s="399">
        <f t="shared" si="59"/>
        <v>469.02601971830984</v>
      </c>
      <c r="N135" s="399">
        <f t="shared" si="59"/>
        <v>463.24393259052931</v>
      </c>
      <c r="O135" s="399">
        <f t="shared" si="59"/>
        <v>473.82752679558007</v>
      </c>
      <c r="P135" s="399">
        <f t="shared" si="59"/>
        <v>484.1067701680517</v>
      </c>
      <c r="Q135" s="399">
        <f t="shared" si="59"/>
        <v>486.26997778028056</v>
      </c>
      <c r="R135" s="399">
        <f t="shared" si="59"/>
        <v>496.66750980949996</v>
      </c>
      <c r="S135" s="399">
        <f t="shared" si="59"/>
        <v>454.12694132925736</v>
      </c>
      <c r="T135" s="399">
        <f t="shared" si="59"/>
        <v>553.61167053406734</v>
      </c>
      <c r="U135" s="399">
        <f t="shared" si="59"/>
        <v>553.8360911168752</v>
      </c>
      <c r="V135" s="399">
        <f t="shared" si="59"/>
        <v>569.52635229501811</v>
      </c>
      <c r="W135" s="399">
        <f t="shared" si="59"/>
        <v>576.29531389926171</v>
      </c>
    </row>
    <row r="136" spans="1:25">
      <c r="A136" s="399" t="s">
        <v>689</v>
      </c>
      <c r="C136" s="399" t="e">
        <f>C94/C107</f>
        <v>#DIV/0!</v>
      </c>
      <c r="D136" s="399" t="e">
        <f t="shared" ref="D136:W136" si="60">D94/D107</f>
        <v>#DIV/0!</v>
      </c>
      <c r="E136" s="399">
        <f t="shared" si="60"/>
        <v>4806.9502881212984</v>
      </c>
      <c r="F136" s="399">
        <f t="shared" si="60"/>
        <v>4973.2124129447866</v>
      </c>
      <c r="G136" s="399">
        <f t="shared" si="60"/>
        <v>5133.774797412093</v>
      </c>
      <c r="H136" s="399">
        <f t="shared" si="60"/>
        <v>5271.9192323269181</v>
      </c>
      <c r="I136" s="399">
        <f t="shared" si="60"/>
        <v>5278.4981887118265</v>
      </c>
      <c r="J136" s="399">
        <f t="shared" si="60"/>
        <v>5403.3605805737952</v>
      </c>
      <c r="K136" s="399">
        <f t="shared" si="60"/>
        <v>5414.2273484494972</v>
      </c>
      <c r="L136" s="399">
        <f t="shared" si="60"/>
        <v>5443.7363223232715</v>
      </c>
      <c r="M136" s="399">
        <f t="shared" si="60"/>
        <v>5549.0850816829698</v>
      </c>
      <c r="N136" s="399">
        <f t="shared" si="60"/>
        <v>5662.4249814122995</v>
      </c>
      <c r="O136" s="399">
        <f t="shared" si="60"/>
        <v>5652.2792566187272</v>
      </c>
      <c r="P136" s="399">
        <f t="shared" si="60"/>
        <v>5761.6096528779617</v>
      </c>
      <c r="Q136" s="399">
        <f t="shared" si="60"/>
        <v>6075.613402160674</v>
      </c>
      <c r="R136" s="399">
        <f t="shared" si="60"/>
        <v>6287.2013302054866</v>
      </c>
      <c r="S136" s="399">
        <f t="shared" si="60"/>
        <v>6166.3674510481123</v>
      </c>
      <c r="T136" s="399">
        <f t="shared" si="60"/>
        <v>6519.301733083309</v>
      </c>
      <c r="U136" s="399">
        <f t="shared" si="60"/>
        <v>6880.8366780898805</v>
      </c>
      <c r="V136" s="399">
        <f t="shared" si="60"/>
        <v>7136.0425908331026</v>
      </c>
      <c r="W136" s="399">
        <f t="shared" si="60"/>
        <v>7296.7427210859332</v>
      </c>
    </row>
    <row r="137" spans="1:25">
      <c r="E137" s="452"/>
      <c r="Q137" s="434"/>
      <c r="R137" s="434"/>
      <c r="S137" s="453"/>
      <c r="T137" s="454"/>
    </row>
    <row r="138" spans="1:25">
      <c r="A138" s="399" t="s">
        <v>690</v>
      </c>
      <c r="C138" s="399">
        <f>C134/C106</f>
        <v>2555.0322844326024</v>
      </c>
      <c r="D138" s="399">
        <f t="shared" ref="D138:W138" si="61">D134/D106</f>
        <v>2654.9129677018632</v>
      </c>
      <c r="E138" s="399">
        <f t="shared" si="61"/>
        <v>2703.2210490797547</v>
      </c>
      <c r="F138" s="399">
        <f t="shared" si="61"/>
        <v>2759.8723768996956</v>
      </c>
      <c r="G138" s="399">
        <f t="shared" si="61"/>
        <v>2776.8132000000005</v>
      </c>
      <c r="H138" s="399">
        <f t="shared" si="61"/>
        <v>2882.0537868035717</v>
      </c>
      <c r="I138" s="399">
        <f t="shared" si="61"/>
        <v>2872.1920527352945</v>
      </c>
      <c r="J138" s="399">
        <f t="shared" si="61"/>
        <v>2827.0024215510207</v>
      </c>
      <c r="K138" s="399">
        <f t="shared" si="61"/>
        <v>2822.9328010373561</v>
      </c>
      <c r="L138" s="399">
        <f t="shared" si="61"/>
        <v>2804.5382195454545</v>
      </c>
      <c r="M138" s="399">
        <f t="shared" si="61"/>
        <v>2779.6676098591556</v>
      </c>
      <c r="N138" s="399">
        <f t="shared" si="61"/>
        <v>2796.2865770174931</v>
      </c>
      <c r="O138" s="399">
        <f t="shared" si="61"/>
        <v>2746.9629323355202</v>
      </c>
      <c r="P138" s="399">
        <f t="shared" si="61"/>
        <v>2768.700952620708</v>
      </c>
      <c r="Q138" s="399">
        <f t="shared" si="61"/>
        <v>2857.5584328488935</v>
      </c>
      <c r="R138" s="399">
        <f t="shared" si="61"/>
        <v>2892.8553991728304</v>
      </c>
      <c r="S138" s="399">
        <f t="shared" si="61"/>
        <v>2737.9187572113592</v>
      </c>
      <c r="T138" s="399">
        <f t="shared" si="61"/>
        <v>2914.8320352108972</v>
      </c>
      <c r="U138" s="399">
        <f t="shared" si="61"/>
        <v>2829.1864829120491</v>
      </c>
      <c r="V138" s="399">
        <f t="shared" si="61"/>
        <v>2806.2055520315207</v>
      </c>
      <c r="W138" s="399">
        <f t="shared" si="61"/>
        <v>2731.2241016457679</v>
      </c>
    </row>
    <row r="139" spans="1:25">
      <c r="A139" s="399" t="s">
        <v>691</v>
      </c>
      <c r="C139" s="399" t="e">
        <f>C134/C107</f>
        <v>#DIV/0!</v>
      </c>
      <c r="D139" s="399" t="e">
        <f t="shared" ref="D139:W139" si="62">D134/D107</f>
        <v>#DIV/0!</v>
      </c>
      <c r="E139" s="399">
        <f t="shared" si="62"/>
        <v>7085.4447246907939</v>
      </c>
      <c r="F139" s="399">
        <f t="shared" si="62"/>
        <v>7173.3615844315591</v>
      </c>
      <c r="G139" s="399">
        <f t="shared" si="62"/>
        <v>7180.0974316605543</v>
      </c>
      <c r="H139" s="399">
        <f t="shared" si="62"/>
        <v>7392.8123394920385</v>
      </c>
      <c r="I139" s="399">
        <f t="shared" si="62"/>
        <v>7331.833984120728</v>
      </c>
      <c r="J139" s="399">
        <f t="shared" si="62"/>
        <v>7279.4073741490165</v>
      </c>
      <c r="K139" s="399">
        <f t="shared" si="62"/>
        <v>7186.3039595970176</v>
      </c>
      <c r="L139" s="399">
        <f t="shared" si="62"/>
        <v>7143.2708021525959</v>
      </c>
      <c r="M139" s="399">
        <f t="shared" si="62"/>
        <v>7113.9270747175678</v>
      </c>
      <c r="N139" s="399">
        <f t="shared" si="62"/>
        <v>7185.0510589140658</v>
      </c>
      <c r="O139" s="399">
        <f t="shared" si="62"/>
        <v>7066.479526624732</v>
      </c>
      <c r="P139" s="399">
        <f t="shared" si="62"/>
        <v>7131.1442673670535</v>
      </c>
      <c r="Q139" s="399">
        <f t="shared" si="62"/>
        <v>7339.9485511503099</v>
      </c>
      <c r="R139" s="399">
        <f t="shared" si="62"/>
        <v>7445.3038152293366</v>
      </c>
      <c r="S139" s="399">
        <f t="shared" si="62"/>
        <v>7038.2918086263144</v>
      </c>
      <c r="T139" s="399">
        <f t="shared" si="62"/>
        <v>7441.1309981412887</v>
      </c>
      <c r="U139" s="399">
        <f t="shared" si="62"/>
        <v>7263.4111973916779</v>
      </c>
      <c r="V139" s="399">
        <f t="shared" si="62"/>
        <v>7326.5749280083464</v>
      </c>
      <c r="W139" s="399">
        <f t="shared" si="62"/>
        <v>7296.7427210859332</v>
      </c>
    </row>
    <row r="140" spans="1:25">
      <c r="C140" s="400">
        <f t="shared" ref="C140:V140" si="63">C146/C128</f>
        <v>3.7767700390001004</v>
      </c>
      <c r="D140" s="400">
        <f t="shared" si="63"/>
        <v>0</v>
      </c>
      <c r="E140" s="400">
        <f t="shared" si="63"/>
        <v>0</v>
      </c>
      <c r="F140" s="400">
        <f t="shared" si="63"/>
        <v>0</v>
      </c>
      <c r="G140" s="400">
        <f t="shared" si="63"/>
        <v>4.0384142721585379</v>
      </c>
      <c r="H140" s="400">
        <f t="shared" si="63"/>
        <v>0</v>
      </c>
      <c r="I140" s="400">
        <f t="shared" si="63"/>
        <v>4.2360989487985874</v>
      </c>
      <c r="J140" s="400">
        <f t="shared" si="63"/>
        <v>4.3180340530244123</v>
      </c>
      <c r="K140" s="400">
        <f t="shared" si="63"/>
        <v>4.3690470351023567</v>
      </c>
      <c r="L140" s="400">
        <f t="shared" si="63"/>
        <v>4.4113126003087597</v>
      </c>
      <c r="M140" s="400">
        <f t="shared" si="63"/>
        <v>4.6997510236537661</v>
      </c>
      <c r="N140" s="400">
        <f t="shared" si="63"/>
        <v>4.8890620978708847</v>
      </c>
      <c r="O140" s="400">
        <f t="shared" si="63"/>
        <v>4.8964622496053458</v>
      </c>
      <c r="P140" s="400">
        <f t="shared" si="63"/>
        <v>4.9014634255952751</v>
      </c>
      <c r="Q140" s="400">
        <f t="shared" si="63"/>
        <v>5.229583486775967</v>
      </c>
      <c r="R140" s="400">
        <f t="shared" si="63"/>
        <v>5.2933783110854682</v>
      </c>
      <c r="S140" s="400">
        <f t="shared" si="63"/>
        <v>5.6679694842547637</v>
      </c>
      <c r="T140" s="400">
        <f t="shared" si="63"/>
        <v>5.0880932429098742</v>
      </c>
      <c r="U140" s="400">
        <f t="shared" si="63"/>
        <v>5.405000878520843</v>
      </c>
      <c r="V140" s="400">
        <f t="shared" si="63"/>
        <v>5.3720784411040272</v>
      </c>
      <c r="W140" s="400">
        <f>W146/W128</f>
        <v>5.4952158680364915</v>
      </c>
    </row>
    <row r="141" spans="1:25">
      <c r="Q141" s="434"/>
      <c r="R141" s="434"/>
      <c r="S141" s="444"/>
      <c r="T141" s="454"/>
    </row>
    <row r="142" spans="1:25">
      <c r="C142" s="399">
        <v>2004</v>
      </c>
      <c r="G142" s="399">
        <v>2008</v>
      </c>
      <c r="I142" s="399">
        <v>2010</v>
      </c>
      <c r="J142" s="399">
        <v>2011</v>
      </c>
      <c r="K142" s="399">
        <v>2012</v>
      </c>
      <c r="L142" s="399">
        <v>2013</v>
      </c>
      <c r="M142" s="399">
        <v>2014</v>
      </c>
      <c r="N142" s="399">
        <v>2015</v>
      </c>
      <c r="O142" s="399">
        <v>2016</v>
      </c>
      <c r="P142" s="399">
        <v>2017</v>
      </c>
      <c r="Q142" s="399">
        <v>2018</v>
      </c>
      <c r="R142" s="454">
        <v>2019</v>
      </c>
      <c r="S142" s="454">
        <v>2020</v>
      </c>
      <c r="T142" s="454">
        <v>2021</v>
      </c>
      <c r="U142" s="454">
        <v>2022</v>
      </c>
      <c r="V142" s="399">
        <v>2023</v>
      </c>
      <c r="W142" s="400">
        <v>2024</v>
      </c>
    </row>
    <row r="143" spans="1:25">
      <c r="A143" s="399" t="s">
        <v>1</v>
      </c>
      <c r="C143" s="399">
        <v>38236</v>
      </c>
      <c r="G143" s="399">
        <v>47386.6</v>
      </c>
      <c r="I143" s="399">
        <v>50434.791696461136</v>
      </c>
      <c r="J143" s="399">
        <v>51777.033697013911</v>
      </c>
      <c r="K143" s="399">
        <v>53137.346059888456</v>
      </c>
      <c r="L143" s="399">
        <v>54387.935535815013</v>
      </c>
      <c r="M143" s="399">
        <v>56298.098543824832</v>
      </c>
      <c r="N143" s="399">
        <v>58581.51114151557</v>
      </c>
      <c r="O143" s="399">
        <v>60185.357829093693</v>
      </c>
      <c r="P143" s="399">
        <v>62024.712521526977</v>
      </c>
      <c r="Q143" s="434">
        <v>66763.661153532856</v>
      </c>
      <c r="R143" s="454">
        <v>69782.219601544231</v>
      </c>
      <c r="S143" s="454">
        <v>69251.573774093005</v>
      </c>
      <c r="T143" s="454">
        <v>74243.241719082202</v>
      </c>
      <c r="U143" s="454">
        <v>79459.795441493377</v>
      </c>
      <c r="V143" s="399">
        <v>82994.45300273053</v>
      </c>
      <c r="W143" s="400">
        <v>88213.58</v>
      </c>
    </row>
    <row r="144" spans="1:25">
      <c r="A144" s="399" t="s">
        <v>2</v>
      </c>
      <c r="C144" s="399">
        <v>14149.420389739647</v>
      </c>
      <c r="G144" s="399">
        <v>16569.422254460445</v>
      </c>
      <c r="I144" s="399">
        <v>16959.228999999999</v>
      </c>
      <c r="J144" s="399">
        <v>17197.451000000001</v>
      </c>
      <c r="K144" s="399">
        <v>17206.578000000001</v>
      </c>
      <c r="L144" s="399">
        <v>16140.759</v>
      </c>
      <c r="M144" s="399">
        <v>15836.375</v>
      </c>
      <c r="N144" s="399">
        <v>15004.967000000001</v>
      </c>
      <c r="O144" s="399">
        <v>14727.623000000001</v>
      </c>
      <c r="P144" s="399">
        <v>14258.760345999999</v>
      </c>
      <c r="Q144" s="462">
        <v>14122.44</v>
      </c>
      <c r="R144" s="454">
        <v>13696.411</v>
      </c>
      <c r="S144" s="454">
        <v>11727.710000000001</v>
      </c>
      <c r="T144" s="444">
        <v>12060.642466666668</v>
      </c>
      <c r="U144" s="454">
        <v>13046.359766666665</v>
      </c>
      <c r="V144" s="399">
        <v>12952.57625333941</v>
      </c>
      <c r="W144" s="400">
        <v>12907.095375245204</v>
      </c>
    </row>
    <row r="145" spans="1:25">
      <c r="A145" s="399" t="s">
        <v>3</v>
      </c>
      <c r="C145" s="399">
        <v>364</v>
      </c>
      <c r="G145" s="399">
        <v>1755.69</v>
      </c>
      <c r="I145" s="399">
        <v>3377.0855117999999</v>
      </c>
      <c r="J145" s="399">
        <v>3961.1591854736166</v>
      </c>
      <c r="K145" s="399">
        <v>4635.4674536528091</v>
      </c>
      <c r="L145" s="399">
        <v>5305.4900762519464</v>
      </c>
      <c r="M145" s="399">
        <v>6118.3722845190914</v>
      </c>
      <c r="N145" s="399">
        <v>7720.8597274871636</v>
      </c>
      <c r="O145" s="399">
        <v>9073.8644104852337</v>
      </c>
      <c r="P145" s="399">
        <v>10799.447882339735</v>
      </c>
      <c r="Q145" s="455">
        <v>13357.087712064877</v>
      </c>
      <c r="R145" s="444">
        <v>15373.612710121772</v>
      </c>
      <c r="S145" s="444">
        <v>16903.938126402081</v>
      </c>
      <c r="T145" s="444">
        <v>21408.794059997341</v>
      </c>
      <c r="U145" s="454">
        <v>24057.140036425451</v>
      </c>
      <c r="V145" s="399">
        <v>26731.355699281467</v>
      </c>
      <c r="W145" s="400">
        <v>29632.935663181732</v>
      </c>
    </row>
    <row r="146" spans="1:25">
      <c r="A146" s="399" t="s">
        <v>4</v>
      </c>
      <c r="C146" s="399">
        <v>52749.420389739651</v>
      </c>
      <c r="G146" s="399">
        <v>65711.71225446045</v>
      </c>
      <c r="I146" s="399">
        <v>70771.106208261146</v>
      </c>
      <c r="J146" s="399">
        <v>72935.643882487537</v>
      </c>
      <c r="K146" s="399">
        <v>74979.391513541268</v>
      </c>
      <c r="L146" s="399">
        <v>75834.184612066951</v>
      </c>
      <c r="M146" s="399">
        <v>78252.845828343925</v>
      </c>
      <c r="N146" s="399">
        <v>81307.337869002731</v>
      </c>
      <c r="O146" s="399">
        <v>83986.845239578921</v>
      </c>
      <c r="P146" s="399">
        <v>87082.920749866709</v>
      </c>
      <c r="Q146" s="455">
        <v>94243.188865597738</v>
      </c>
      <c r="R146" s="454">
        <v>98852.243311665996</v>
      </c>
      <c r="S146" s="454">
        <v>97883.221900495089</v>
      </c>
      <c r="T146" s="454">
        <v>107712.67824574621</v>
      </c>
      <c r="U146" s="454">
        <v>116563.29524458549</v>
      </c>
      <c r="V146" s="399">
        <v>122678.38495535142</v>
      </c>
      <c r="W146" s="400">
        <v>130753.61103842694</v>
      </c>
    </row>
    <row r="147" spans="1:25">
      <c r="C147" s="399">
        <f>C146/C130*100</f>
        <v>3.9626120916766689</v>
      </c>
      <c r="D147" s="399">
        <f t="shared" ref="D147:W147" si="64">D146/D130*100</f>
        <v>0</v>
      </c>
      <c r="E147" s="399">
        <f t="shared" si="64"/>
        <v>0</v>
      </c>
      <c r="F147" s="399">
        <f t="shared" si="64"/>
        <v>0</v>
      </c>
      <c r="G147" s="399">
        <f t="shared" si="64"/>
        <v>3.9754853828315326</v>
      </c>
      <c r="H147" s="399">
        <f t="shared" si="64"/>
        <v>0</v>
      </c>
      <c r="I147" s="399">
        <f t="shared" si="64"/>
        <v>4.2578562572278429</v>
      </c>
      <c r="J147" s="399">
        <f t="shared" si="64"/>
        <v>4.1208417710444447</v>
      </c>
      <c r="K147" s="399">
        <f t="shared" si="64"/>
        <v>4.1134003972739457</v>
      </c>
      <c r="L147" s="399">
        <f t="shared" si="64"/>
        <v>3.9964661769460923</v>
      </c>
      <c r="M147" s="399">
        <f t="shared" si="64"/>
        <v>3.9226489689369544</v>
      </c>
      <c r="N147" s="399">
        <f t="shared" si="64"/>
        <v>4.0848906282076554</v>
      </c>
      <c r="O147" s="399">
        <f t="shared" si="64"/>
        <v>4.1464030608989191</v>
      </c>
      <c r="P147" s="399">
        <f t="shared" si="64"/>
        <v>4.0671914458206295</v>
      </c>
      <c r="Q147" s="399">
        <f t="shared" si="64"/>
        <v>4.2378278479181093</v>
      </c>
      <c r="R147" s="399">
        <f t="shared" si="64"/>
        <v>4.272727533750583</v>
      </c>
      <c r="S147" s="399">
        <f t="shared" si="64"/>
        <v>4.4297444699255273</v>
      </c>
      <c r="T147" s="399">
        <f t="shared" si="64"/>
        <v>4.2791980465692863</v>
      </c>
      <c r="U147" s="399">
        <f t="shared" si="64"/>
        <v>4.1433103831346685</v>
      </c>
      <c r="V147" s="399">
        <f t="shared" si="64"/>
        <v>4.1551637753334001</v>
      </c>
      <c r="W147" s="399">
        <f t="shared" si="64"/>
        <v>4.2062559384879625</v>
      </c>
    </row>
    <row r="148" spans="1:25">
      <c r="Q148" s="455"/>
      <c r="R148" s="454"/>
      <c r="S148" s="454"/>
      <c r="T148" s="454"/>
      <c r="U148" s="454"/>
    </row>
    <row r="149" spans="1:25">
      <c r="A149" s="459" t="s">
        <v>692</v>
      </c>
      <c r="Q149" s="458"/>
      <c r="R149" s="454"/>
      <c r="S149" s="454"/>
      <c r="T149" s="454"/>
      <c r="U149" s="454"/>
    </row>
    <row r="150" spans="1:25">
      <c r="C150" s="399">
        <v>52749.420389739651</v>
      </c>
      <c r="G150" s="399">
        <v>65711.71225446045</v>
      </c>
      <c r="I150" s="47">
        <v>70363.8</v>
      </c>
      <c r="J150" s="47">
        <v>72685.3</v>
      </c>
      <c r="K150" s="47">
        <v>74791.8</v>
      </c>
      <c r="L150" s="47">
        <v>75891</v>
      </c>
      <c r="M150" s="47">
        <v>80052.100000000006</v>
      </c>
      <c r="N150" s="47">
        <v>81460.600000000006</v>
      </c>
      <c r="O150" s="47">
        <v>83885.7</v>
      </c>
      <c r="P150" s="47">
        <v>86924</v>
      </c>
      <c r="Q150" s="47">
        <v>94003.1</v>
      </c>
      <c r="R150" s="47">
        <v>98415.9</v>
      </c>
      <c r="S150" s="47">
        <v>97555.7</v>
      </c>
      <c r="T150" s="47">
        <v>107548.3</v>
      </c>
      <c r="U150" s="47">
        <v>116253</v>
      </c>
      <c r="V150" s="47">
        <v>122746.9</v>
      </c>
      <c r="W150" s="47">
        <v>130651.8</v>
      </c>
    </row>
    <row r="151" spans="1:25">
      <c r="I151" s="400">
        <f t="shared" ref="I151:V151" si="65">I150/I130</f>
        <v>4.233351181917179E-2</v>
      </c>
      <c r="J151" s="400">
        <f t="shared" si="65"/>
        <v>4.106697417568355E-2</v>
      </c>
      <c r="K151" s="400">
        <f t="shared" si="65"/>
        <v>4.1031090493348722E-2</v>
      </c>
      <c r="L151" s="400">
        <f t="shared" si="65"/>
        <v>3.9994603513723886E-2</v>
      </c>
      <c r="M151" s="400">
        <f t="shared" si="65"/>
        <v>4.0128417593280459E-2</v>
      </c>
      <c r="N151" s="400">
        <f t="shared" si="65"/>
        <v>4.092590536469054E-2</v>
      </c>
      <c r="O151" s="400">
        <f t="shared" si="65"/>
        <v>4.1414095535253645E-2</v>
      </c>
      <c r="P151" s="400">
        <f t="shared" si="65"/>
        <v>4.0597690820682944E-2</v>
      </c>
      <c r="Q151" s="400">
        <f t="shared" si="65"/>
        <v>4.2270317862307637E-2</v>
      </c>
      <c r="R151" s="400">
        <f t="shared" si="65"/>
        <v>4.2538673033757884E-2</v>
      </c>
      <c r="S151" s="400">
        <f t="shared" si="65"/>
        <v>4.4149223349433699E-2</v>
      </c>
      <c r="T151" s="400">
        <f t="shared" si="65"/>
        <v>4.272667644767459E-2</v>
      </c>
      <c r="U151" s="400">
        <f t="shared" si="65"/>
        <v>4.1322807575048283E-2</v>
      </c>
      <c r="V151" s="400">
        <f t="shared" si="65"/>
        <v>4.1574844060760757E-2</v>
      </c>
      <c r="W151" s="400">
        <f>W150/W130</f>
        <v>4.2029807456914814E-2</v>
      </c>
      <c r="X151" s="20">
        <f>AVERAGE(M151:W151)</f>
        <v>4.1788950827255027E-2</v>
      </c>
    </row>
    <row r="152" spans="1:25">
      <c r="C152" s="400">
        <f t="shared" ref="C152:V152" si="66">C109*C150</f>
        <v>81007.284892523181</v>
      </c>
      <c r="D152" s="400">
        <f t="shared" si="66"/>
        <v>0</v>
      </c>
      <c r="E152" s="400">
        <f t="shared" si="66"/>
        <v>0</v>
      </c>
      <c r="F152" s="400">
        <f t="shared" si="66"/>
        <v>0</v>
      </c>
      <c r="G152" s="400">
        <f t="shared" si="66"/>
        <v>91904.400759088385</v>
      </c>
      <c r="H152" s="400">
        <f t="shared" si="66"/>
        <v>0</v>
      </c>
      <c r="I152" s="400">
        <f t="shared" si="66"/>
        <v>97735.318200000009</v>
      </c>
      <c r="J152" s="400">
        <f t="shared" si="66"/>
        <v>97921.636159999995</v>
      </c>
      <c r="K152" s="400">
        <f t="shared" si="66"/>
        <v>99271.156139999992</v>
      </c>
      <c r="L152" s="400">
        <f t="shared" si="66"/>
        <v>99584.170200000008</v>
      </c>
      <c r="M152" s="400">
        <f t="shared" si="66"/>
        <v>102626.79220000001</v>
      </c>
      <c r="N152" s="400">
        <f t="shared" si="66"/>
        <v>103365.35533999999</v>
      </c>
      <c r="O152" s="400">
        <f t="shared" si="66"/>
        <v>104873.90213999999</v>
      </c>
      <c r="P152" s="400">
        <f t="shared" si="66"/>
        <v>107585.8348</v>
      </c>
      <c r="Q152" s="400">
        <f t="shared" si="66"/>
        <v>113565.14511</v>
      </c>
      <c r="R152" s="400">
        <f t="shared" si="66"/>
        <v>116544.10877999998</v>
      </c>
      <c r="S152" s="400">
        <f t="shared" si="66"/>
        <v>111350.07597999999</v>
      </c>
      <c r="T152" s="400">
        <f t="shared" si="66"/>
        <v>122755.62962000001</v>
      </c>
      <c r="U152" s="400">
        <f t="shared" si="66"/>
        <v>122716.66680000001</v>
      </c>
      <c r="V152" s="400">
        <f t="shared" si="66"/>
        <v>126024.24222999999</v>
      </c>
      <c r="W152" s="400">
        <f>W109*W150</f>
        <v>130651.8</v>
      </c>
      <c r="X152" s="20">
        <f>(W152-M152)/M152</f>
        <v>0.27307691489942126</v>
      </c>
    </row>
    <row r="153" spans="1:25">
      <c r="R153" s="454"/>
      <c r="S153" s="454"/>
      <c r="T153" s="454"/>
      <c r="X153">
        <f>(W150-B156)/B156</f>
        <v>1.5362076753729963</v>
      </c>
      <c r="Y153">
        <f>(W152-C156)/C156</f>
        <v>0.715625555206993</v>
      </c>
    </row>
    <row r="154" spans="1:25">
      <c r="Q154" s="455"/>
      <c r="R154" s="454"/>
      <c r="S154" s="453"/>
      <c r="T154" s="454"/>
    </row>
    <row r="155" spans="1:25">
      <c r="B155" s="572" t="s">
        <v>1132</v>
      </c>
      <c r="C155" s="572" t="s">
        <v>1133</v>
      </c>
      <c r="Q155" s="455"/>
      <c r="R155" s="434"/>
      <c r="S155" s="453"/>
      <c r="T155" s="454"/>
    </row>
    <row r="156" spans="1:25">
      <c r="B156" s="399">
        <v>51514.63</v>
      </c>
      <c r="C156" s="399">
        <v>76154.03</v>
      </c>
      <c r="Q156" s="455"/>
      <c r="R156" s="434"/>
      <c r="S156" s="453"/>
      <c r="T156" s="454"/>
    </row>
    <row r="157" spans="1:25">
      <c r="Q157" s="455"/>
      <c r="R157" s="434"/>
      <c r="S157" s="453"/>
      <c r="T157" s="454"/>
    </row>
    <row r="158" spans="1:25">
      <c r="Q158" s="455"/>
      <c r="R158" s="434"/>
      <c r="S158" s="453"/>
      <c r="T158" s="454"/>
    </row>
    <row r="159" spans="1:25">
      <c r="Q159" s="456"/>
      <c r="R159" s="434"/>
      <c r="S159" s="453"/>
      <c r="T159" s="454"/>
    </row>
    <row r="167" spans="9:12">
      <c r="I167" s="454"/>
      <c r="J167" s="454"/>
      <c r="K167" s="454"/>
      <c r="L167" s="454"/>
    </row>
    <row r="168" spans="9:12">
      <c r="I168" s="454"/>
      <c r="J168" s="454"/>
      <c r="K168" s="454"/>
      <c r="L168" s="454"/>
    </row>
    <row r="169" spans="9:12">
      <c r="I169" s="454"/>
      <c r="J169" s="454"/>
      <c r="K169" s="444"/>
      <c r="L169" s="454"/>
    </row>
    <row r="170" spans="9:12">
      <c r="I170" s="444"/>
      <c r="J170" s="444"/>
      <c r="K170" s="444"/>
      <c r="L170" s="454"/>
    </row>
    <row r="171" spans="9:12">
      <c r="I171" s="454"/>
      <c r="J171" s="454"/>
      <c r="K171" s="454"/>
      <c r="L171" s="454"/>
    </row>
    <row r="172" spans="9:12">
      <c r="I172" s="454"/>
      <c r="J172" s="444"/>
      <c r="K172" s="454"/>
      <c r="L172" s="454"/>
    </row>
    <row r="173" spans="9:12">
      <c r="I173" s="454"/>
      <c r="J173" s="454"/>
      <c r="K173" s="454"/>
      <c r="L173" s="454"/>
    </row>
    <row r="174" spans="9:12">
      <c r="I174" s="454"/>
      <c r="J174" s="454"/>
      <c r="K174" s="454"/>
      <c r="L174" s="454"/>
    </row>
    <row r="175" spans="9:12">
      <c r="I175" s="444"/>
      <c r="J175" s="454"/>
      <c r="K175" s="454"/>
      <c r="L175" s="454"/>
    </row>
    <row r="176" spans="9:12">
      <c r="I176" s="454"/>
      <c r="J176" s="454"/>
      <c r="K176" s="454"/>
      <c r="L176" s="454"/>
    </row>
    <row r="177" spans="9:12">
      <c r="I177" s="454"/>
      <c r="J177" s="454"/>
      <c r="K177" s="454"/>
      <c r="L177" s="454"/>
    </row>
    <row r="178" spans="9:12">
      <c r="I178" s="454"/>
      <c r="J178" s="454"/>
      <c r="K178" s="454"/>
      <c r="L178" s="454"/>
    </row>
    <row r="179" spans="9:12">
      <c r="I179" s="454"/>
      <c r="J179" s="454"/>
      <c r="K179" s="454"/>
      <c r="L179" s="454"/>
    </row>
    <row r="180" spans="9:12">
      <c r="I180" s="454"/>
      <c r="L180" s="454"/>
    </row>
    <row r="181" spans="9:12">
      <c r="I181" s="454"/>
      <c r="L181" s="454"/>
    </row>
    <row r="182" spans="9:12">
      <c r="L182" s="454"/>
    </row>
    <row r="183" spans="9:12">
      <c r="L183" s="454"/>
    </row>
    <row r="184" spans="9:12">
      <c r="L184" s="454"/>
    </row>
    <row r="185" spans="9:12">
      <c r="L185" s="454"/>
    </row>
    <row r="186" spans="9:12">
      <c r="L186" s="454"/>
    </row>
    <row r="187" spans="9:12">
      <c r="L187" s="454"/>
    </row>
    <row r="188" spans="9:12">
      <c r="L188" s="454"/>
    </row>
    <row r="189" spans="9:12">
      <c r="L189" s="454"/>
    </row>
  </sheetData>
  <mergeCells count="2">
    <mergeCell ref="A1:J1"/>
    <mergeCell ref="A83:T83"/>
  </mergeCells>
  <pageMargins left="0.7" right="0.7" top="0.75" bottom="0.75" header="0.3" footer="0.3"/>
  <pageSetup scale="71" orientation="landscape" horizontalDpi="0" verticalDpi="0"/>
  <legacyDrawing r:id="rId1"/>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4BF1ED-00FE-6442-91C2-1EB895F376FC}">
  <dimension ref="A1:AF168"/>
  <sheetViews>
    <sheetView topLeftCell="A59" zoomScale="120" zoomScaleNormal="120" workbookViewId="0">
      <selection activeCell="F151" sqref="F151"/>
    </sheetView>
  </sheetViews>
  <sheetFormatPr baseColWidth="10" defaultColWidth="11" defaultRowHeight="16"/>
  <cols>
    <col min="1" max="1" width="27.1640625" style="113" customWidth="1"/>
    <col min="2" max="2" width="33.1640625" style="113" customWidth="1"/>
    <col min="3" max="3" width="22.6640625" style="113" customWidth="1"/>
    <col min="4" max="7" width="17.5" style="113" customWidth="1"/>
    <col min="8" max="8" width="14.5" style="113"/>
  </cols>
  <sheetData>
    <row r="1" spans="1:32">
      <c r="A1" s="667" t="s">
        <v>693</v>
      </c>
      <c r="B1" s="668"/>
      <c r="C1" s="668"/>
      <c r="D1" s="668"/>
      <c r="E1" s="668"/>
      <c r="F1" s="668"/>
      <c r="G1" s="668"/>
    </row>
    <row r="2" spans="1:32">
      <c r="A2" s="114" t="s">
        <v>694</v>
      </c>
      <c r="B2" s="114" t="s">
        <v>88</v>
      </c>
      <c r="C2" s="114" t="s">
        <v>89</v>
      </c>
      <c r="D2" s="114" t="s">
        <v>92</v>
      </c>
      <c r="E2" s="114" t="s">
        <v>95</v>
      </c>
      <c r="F2" s="114" t="s">
        <v>695</v>
      </c>
      <c r="G2" s="114" t="s">
        <v>488</v>
      </c>
    </row>
    <row r="3" spans="1:32">
      <c r="A3" s="113" t="s">
        <v>696</v>
      </c>
      <c r="B3" s="115" t="s">
        <v>697</v>
      </c>
      <c r="C3" s="115" t="s">
        <v>698</v>
      </c>
      <c r="D3" s="115" t="s">
        <v>699</v>
      </c>
      <c r="E3" s="115" t="s">
        <v>700</v>
      </c>
      <c r="F3" s="115" t="s">
        <v>701</v>
      </c>
      <c r="G3" s="115" t="s">
        <v>702</v>
      </c>
    </row>
    <row r="4" spans="1:32">
      <c r="A4" s="115" t="s">
        <v>703</v>
      </c>
      <c r="B4" s="115" t="s">
        <v>704</v>
      </c>
      <c r="C4" s="113" t="s">
        <v>705</v>
      </c>
      <c r="D4" s="115" t="s">
        <v>706</v>
      </c>
      <c r="E4" s="115" t="s">
        <v>707</v>
      </c>
      <c r="F4" s="115" t="s">
        <v>708</v>
      </c>
      <c r="G4" s="115" t="s">
        <v>502</v>
      </c>
    </row>
    <row r="5" spans="1:32">
      <c r="A5" s="115" t="s">
        <v>709</v>
      </c>
      <c r="B5" s="115" t="s">
        <v>710</v>
      </c>
      <c r="C5" s="113" t="s">
        <v>711</v>
      </c>
      <c r="D5" s="115" t="s">
        <v>712</v>
      </c>
      <c r="E5" s="115" t="s">
        <v>713</v>
      </c>
      <c r="F5" s="115" t="s">
        <v>714</v>
      </c>
      <c r="G5" s="115" t="s">
        <v>503</v>
      </c>
    </row>
    <row r="6" spans="1:32">
      <c r="A6" s="115" t="s">
        <v>715</v>
      </c>
      <c r="B6" s="115" t="s">
        <v>716</v>
      </c>
      <c r="C6" s="115" t="s">
        <v>717</v>
      </c>
      <c r="D6" s="115" t="s">
        <v>718</v>
      </c>
      <c r="E6" s="115" t="s">
        <v>719</v>
      </c>
      <c r="F6" s="116"/>
      <c r="G6" s="115" t="s">
        <v>505</v>
      </c>
    </row>
    <row r="7" spans="1:32">
      <c r="A7" s="115" t="s">
        <v>720</v>
      </c>
      <c r="B7" s="115" t="s">
        <v>721</v>
      </c>
      <c r="C7" s="115" t="s">
        <v>722</v>
      </c>
      <c r="D7" s="115" t="s">
        <v>723</v>
      </c>
      <c r="E7" s="115" t="s">
        <v>724</v>
      </c>
      <c r="F7" s="116"/>
      <c r="G7" s="115" t="s">
        <v>506</v>
      </c>
    </row>
    <row r="8" spans="1:32">
      <c r="A8" s="115" t="s">
        <v>725</v>
      </c>
      <c r="B8" s="115" t="s">
        <v>726</v>
      </c>
      <c r="C8" s="115" t="s">
        <v>727</v>
      </c>
      <c r="D8" s="115" t="s">
        <v>728</v>
      </c>
      <c r="E8" s="116"/>
      <c r="F8" s="116"/>
      <c r="G8" s="115" t="s">
        <v>729</v>
      </c>
    </row>
    <row r="9" spans="1:32">
      <c r="A9" s="115" t="s">
        <v>730</v>
      </c>
      <c r="B9" s="115" t="s">
        <v>731</v>
      </c>
      <c r="C9" s="115" t="s">
        <v>732</v>
      </c>
      <c r="D9" s="115" t="s">
        <v>733</v>
      </c>
      <c r="E9" s="116"/>
      <c r="F9" s="116"/>
      <c r="G9" s="115" t="s">
        <v>734</v>
      </c>
    </row>
    <row r="10" spans="1:32">
      <c r="A10" s="115" t="s">
        <v>735</v>
      </c>
      <c r="B10" s="115" t="s">
        <v>736</v>
      </c>
      <c r="C10" s="115" t="s">
        <v>737</v>
      </c>
      <c r="D10" s="115" t="s">
        <v>738</v>
      </c>
      <c r="E10" s="116"/>
      <c r="F10" s="116"/>
      <c r="G10" s="115" t="s">
        <v>504</v>
      </c>
    </row>
    <row r="11" spans="1:32">
      <c r="A11" s="113" t="s">
        <v>739</v>
      </c>
      <c r="B11" s="115" t="s">
        <v>740</v>
      </c>
      <c r="C11" s="115" t="s">
        <v>741</v>
      </c>
      <c r="D11" s="115" t="s">
        <v>742</v>
      </c>
      <c r="E11" s="116"/>
      <c r="F11" s="116"/>
      <c r="G11" s="116"/>
    </row>
    <row r="12" spans="1:32">
      <c r="A12" s="115" t="s">
        <v>743</v>
      </c>
      <c r="B12" s="115" t="s">
        <v>744</v>
      </c>
      <c r="C12" s="115" t="s">
        <v>745</v>
      </c>
      <c r="D12" s="115" t="s">
        <v>746</v>
      </c>
      <c r="E12" s="116"/>
      <c r="F12" s="116"/>
      <c r="G12" s="628" t="s">
        <v>841</v>
      </c>
      <c r="H12" s="628"/>
      <c r="I12" s="628"/>
      <c r="J12" s="628"/>
      <c r="K12" s="628"/>
      <c r="L12" s="628"/>
      <c r="M12" s="628"/>
      <c r="N12" s="628"/>
      <c r="O12" s="628"/>
      <c r="P12" s="628"/>
      <c r="Q12" s="628"/>
      <c r="R12" s="628"/>
      <c r="S12" s="628"/>
      <c r="T12" s="628"/>
      <c r="U12" s="628"/>
      <c r="V12" s="628"/>
      <c r="W12" s="628"/>
    </row>
    <row r="13" spans="1:32">
      <c r="A13" s="115" t="s">
        <v>747</v>
      </c>
      <c r="B13" s="115" t="s">
        <v>748</v>
      </c>
      <c r="C13" s="115" t="s">
        <v>749</v>
      </c>
      <c r="D13" s="115" t="s">
        <v>750</v>
      </c>
      <c r="E13" s="116"/>
      <c r="F13" s="116"/>
      <c r="G13" s="116"/>
      <c r="I13" s="39">
        <v>2000</v>
      </c>
      <c r="J13" s="39">
        <v>2001</v>
      </c>
      <c r="K13" s="39">
        <v>2002</v>
      </c>
      <c r="L13" s="39">
        <v>2003</v>
      </c>
      <c r="M13" s="39">
        <v>2004</v>
      </c>
      <c r="N13" s="40">
        <v>2005</v>
      </c>
      <c r="O13" s="40">
        <v>2006</v>
      </c>
      <c r="P13" s="40">
        <v>2007</v>
      </c>
      <c r="Q13" s="39">
        <v>2008</v>
      </c>
      <c r="R13" s="39">
        <v>2009</v>
      </c>
      <c r="S13" s="39">
        <v>2010</v>
      </c>
      <c r="T13" s="39">
        <v>2011</v>
      </c>
      <c r="U13" s="39">
        <v>2012</v>
      </c>
      <c r="V13" s="39">
        <v>2013</v>
      </c>
      <c r="W13" s="39">
        <v>2014</v>
      </c>
      <c r="X13" s="39">
        <v>2015</v>
      </c>
      <c r="Y13" s="39">
        <v>2016</v>
      </c>
      <c r="Z13" s="39">
        <v>2017</v>
      </c>
      <c r="AA13" s="39">
        <v>2018</v>
      </c>
      <c r="AB13" s="39">
        <v>2019</v>
      </c>
      <c r="AC13" s="39">
        <v>2020</v>
      </c>
      <c r="AD13" s="39">
        <v>2021</v>
      </c>
      <c r="AE13" s="39">
        <v>2022</v>
      </c>
      <c r="AF13" s="39">
        <v>2023</v>
      </c>
    </row>
    <row r="14" spans="1:32">
      <c r="A14" s="115" t="s">
        <v>751</v>
      </c>
      <c r="B14" s="115" t="s">
        <v>752</v>
      </c>
      <c r="C14" s="115"/>
      <c r="E14" s="116"/>
      <c r="F14" s="116"/>
      <c r="G14" s="116"/>
      <c r="I14">
        <v>6</v>
      </c>
      <c r="J14">
        <v>2</v>
      </c>
      <c r="K14">
        <v>3</v>
      </c>
      <c r="L14">
        <v>5</v>
      </c>
      <c r="M14">
        <v>5</v>
      </c>
      <c r="N14">
        <v>2</v>
      </c>
      <c r="O14">
        <v>1</v>
      </c>
      <c r="P14">
        <v>4</v>
      </c>
      <c r="Q14">
        <v>3</v>
      </c>
      <c r="R14">
        <v>2</v>
      </c>
      <c r="S14">
        <v>0</v>
      </c>
      <c r="T14">
        <v>3</v>
      </c>
      <c r="U14">
        <v>3</v>
      </c>
      <c r="V14">
        <v>1</v>
      </c>
      <c r="W14">
        <v>1</v>
      </c>
      <c r="X14">
        <v>2</v>
      </c>
      <c r="Y14">
        <v>2</v>
      </c>
      <c r="Z14">
        <v>0</v>
      </c>
      <c r="AA14">
        <v>1</v>
      </c>
      <c r="AB14">
        <v>3</v>
      </c>
      <c r="AC14">
        <v>2</v>
      </c>
      <c r="AD14">
        <v>2</v>
      </c>
      <c r="AE14">
        <v>4</v>
      </c>
      <c r="AF14">
        <v>3</v>
      </c>
    </row>
    <row r="15" spans="1:32">
      <c r="A15" s="115" t="s">
        <v>753</v>
      </c>
      <c r="B15" s="115" t="s">
        <v>754</v>
      </c>
      <c r="C15" s="115"/>
      <c r="D15" s="116"/>
      <c r="E15" s="116"/>
      <c r="F15" s="116"/>
      <c r="G15" s="116"/>
    </row>
    <row r="16" spans="1:32">
      <c r="A16" s="115" t="s">
        <v>755</v>
      </c>
      <c r="B16" s="115" t="s">
        <v>756</v>
      </c>
      <c r="D16" s="116"/>
      <c r="E16" s="116"/>
      <c r="F16" s="116"/>
      <c r="G16" s="116"/>
      <c r="I16">
        <v>6</v>
      </c>
      <c r="J16">
        <v>2</v>
      </c>
      <c r="K16">
        <v>3</v>
      </c>
      <c r="L16">
        <v>5</v>
      </c>
      <c r="M16">
        <v>5</v>
      </c>
      <c r="N16">
        <v>2</v>
      </c>
      <c r="O16">
        <v>1</v>
      </c>
      <c r="P16">
        <v>4</v>
      </c>
      <c r="Q16">
        <v>3</v>
      </c>
      <c r="R16">
        <v>2</v>
      </c>
      <c r="S16">
        <v>0</v>
      </c>
      <c r="T16">
        <v>3</v>
      </c>
      <c r="U16">
        <v>3</v>
      </c>
      <c r="V16">
        <v>1</v>
      </c>
      <c r="W16">
        <v>1</v>
      </c>
      <c r="X16">
        <v>2</v>
      </c>
      <c r="Y16">
        <f>AVERAGE(G16:X16)</f>
        <v>2.6875</v>
      </c>
    </row>
    <row r="17" spans="1:7">
      <c r="A17" s="115" t="s">
        <v>757</v>
      </c>
      <c r="B17" s="115" t="s">
        <v>758</v>
      </c>
      <c r="C17" s="115"/>
      <c r="D17" s="116"/>
      <c r="E17" s="116"/>
      <c r="F17" s="116"/>
      <c r="G17" s="116"/>
    </row>
    <row r="18" spans="1:7">
      <c r="A18" s="113" t="s">
        <v>759</v>
      </c>
      <c r="B18" s="115" t="s">
        <v>760</v>
      </c>
      <c r="C18" s="115"/>
      <c r="D18" s="116"/>
      <c r="E18" s="116"/>
      <c r="F18" s="116"/>
      <c r="G18" s="116"/>
    </row>
    <row r="19" spans="1:7">
      <c r="A19" s="115" t="s">
        <v>761</v>
      </c>
      <c r="B19" s="115" t="s">
        <v>711</v>
      </c>
      <c r="D19" s="115"/>
      <c r="E19" s="116"/>
      <c r="F19" s="116"/>
      <c r="G19" s="116"/>
    </row>
    <row r="20" spans="1:7">
      <c r="A20" s="113" t="s">
        <v>762</v>
      </c>
      <c r="B20" s="115" t="s">
        <v>763</v>
      </c>
      <c r="D20" s="116"/>
      <c r="E20" s="116"/>
      <c r="F20" s="116"/>
      <c r="G20" s="116"/>
    </row>
    <row r="21" spans="1:7">
      <c r="A21" s="113" t="s">
        <v>764</v>
      </c>
      <c r="B21" s="115" t="s">
        <v>765</v>
      </c>
      <c r="D21" s="116"/>
      <c r="E21" s="116"/>
      <c r="F21" s="116"/>
      <c r="G21" s="116"/>
    </row>
    <row r="22" spans="1:7">
      <c r="A22" s="115" t="s">
        <v>766</v>
      </c>
      <c r="B22" s="115" t="s">
        <v>767</v>
      </c>
      <c r="C22" s="115"/>
      <c r="D22" s="116"/>
      <c r="E22" s="116"/>
      <c r="F22" s="116"/>
      <c r="G22" s="116"/>
    </row>
    <row r="23" spans="1:7">
      <c r="A23" s="115" t="s">
        <v>768</v>
      </c>
      <c r="B23" s="115" t="s">
        <v>769</v>
      </c>
      <c r="D23" s="116"/>
      <c r="E23" s="116"/>
      <c r="F23" s="116"/>
      <c r="G23" s="116"/>
    </row>
    <row r="24" spans="1:7">
      <c r="A24" s="115" t="s">
        <v>770</v>
      </c>
      <c r="B24" s="115" t="s">
        <v>771</v>
      </c>
      <c r="C24" s="115"/>
      <c r="D24" s="116"/>
      <c r="E24" s="116"/>
      <c r="F24" s="116"/>
      <c r="G24" s="116"/>
    </row>
    <row r="25" spans="1:7">
      <c r="A25" s="115" t="s">
        <v>772</v>
      </c>
      <c r="B25" s="115" t="s">
        <v>717</v>
      </c>
      <c r="C25" s="115"/>
      <c r="D25" s="116"/>
      <c r="E25" s="116"/>
      <c r="F25" s="116"/>
      <c r="G25" s="116"/>
    </row>
    <row r="26" spans="1:7">
      <c r="A26" s="115" t="s">
        <v>773</v>
      </c>
      <c r="B26" s="115" t="s">
        <v>774</v>
      </c>
      <c r="D26" s="116"/>
      <c r="E26" s="116"/>
      <c r="F26" s="116"/>
      <c r="G26" s="116"/>
    </row>
    <row r="27" spans="1:7">
      <c r="A27" s="115" t="s">
        <v>775</v>
      </c>
      <c r="B27" s="115" t="s">
        <v>776</v>
      </c>
      <c r="C27" s="116"/>
      <c r="D27" s="116"/>
      <c r="E27" s="116"/>
      <c r="F27" s="116"/>
      <c r="G27" s="116"/>
    </row>
    <row r="28" spans="1:7">
      <c r="A28" s="115" t="s">
        <v>777</v>
      </c>
      <c r="B28" s="115" t="s">
        <v>778</v>
      </c>
      <c r="C28" s="116"/>
      <c r="D28" s="221"/>
      <c r="E28" s="116"/>
      <c r="F28" s="116"/>
      <c r="G28" s="116"/>
    </row>
    <row r="29" spans="1:7">
      <c r="A29" s="115" t="s">
        <v>779</v>
      </c>
      <c r="B29" s="115" t="s">
        <v>780</v>
      </c>
      <c r="D29" s="116"/>
      <c r="E29" s="116"/>
      <c r="F29" s="116"/>
      <c r="G29" s="116"/>
    </row>
    <row r="30" spans="1:7">
      <c r="A30" s="115" t="s">
        <v>781</v>
      </c>
      <c r="B30" s="115" t="s">
        <v>782</v>
      </c>
      <c r="C30" s="115"/>
      <c r="D30" s="115"/>
      <c r="E30" s="115"/>
      <c r="F30" s="115"/>
      <c r="G30" s="115"/>
    </row>
    <row r="31" spans="1:7">
      <c r="A31" s="115" t="s">
        <v>783</v>
      </c>
      <c r="B31" s="115" t="s">
        <v>784</v>
      </c>
      <c r="C31" s="116"/>
      <c r="D31" s="116"/>
      <c r="E31" s="116"/>
      <c r="F31" s="116"/>
      <c r="G31" s="116"/>
    </row>
    <row r="32" spans="1:7">
      <c r="A32" s="115" t="s">
        <v>785</v>
      </c>
      <c r="B32" s="115" t="s">
        <v>786</v>
      </c>
      <c r="C32" s="116"/>
      <c r="D32" s="116"/>
      <c r="E32" s="116"/>
      <c r="F32" s="116"/>
      <c r="G32" s="116"/>
    </row>
    <row r="33" spans="1:13">
      <c r="A33" s="115" t="s">
        <v>787</v>
      </c>
      <c r="B33" s="115" t="s">
        <v>788</v>
      </c>
      <c r="D33" s="116"/>
      <c r="E33" s="116"/>
      <c r="F33" s="116"/>
      <c r="G33" s="116"/>
    </row>
    <row r="34" spans="1:13">
      <c r="A34" s="115" t="s">
        <v>789</v>
      </c>
      <c r="B34" s="115" t="s">
        <v>790</v>
      </c>
      <c r="C34" s="115"/>
      <c r="D34" s="115"/>
      <c r="E34" s="115"/>
      <c r="F34" s="115"/>
      <c r="G34" s="115"/>
    </row>
    <row r="35" spans="1:13">
      <c r="A35" s="115" t="s">
        <v>791</v>
      </c>
      <c r="B35" s="115" t="s">
        <v>792</v>
      </c>
      <c r="C35" s="116"/>
      <c r="D35" s="116"/>
      <c r="E35" s="116"/>
      <c r="F35" s="116"/>
      <c r="G35" s="116"/>
    </row>
    <row r="36" spans="1:13">
      <c r="A36" s="115" t="s">
        <v>793</v>
      </c>
      <c r="B36" s="115" t="s">
        <v>794</v>
      </c>
      <c r="C36" s="115"/>
      <c r="D36" s="115"/>
      <c r="E36" s="115"/>
      <c r="F36" s="115"/>
      <c r="G36" s="115"/>
    </row>
    <row r="37" spans="1:13">
      <c r="A37" s="115" t="s">
        <v>795</v>
      </c>
      <c r="B37" s="115" t="s">
        <v>796</v>
      </c>
      <c r="D37" s="116"/>
      <c r="E37" s="116"/>
      <c r="F37" s="116"/>
      <c r="G37" s="116"/>
    </row>
    <row r="38" spans="1:13">
      <c r="B38" s="115" t="s">
        <v>797</v>
      </c>
      <c r="C38" s="116"/>
      <c r="D38" s="116"/>
      <c r="E38" s="116"/>
      <c r="F38" s="116"/>
      <c r="G38" s="116"/>
    </row>
    <row r="39" spans="1:13">
      <c r="C39" s="116"/>
      <c r="D39" s="116"/>
      <c r="E39" s="116"/>
      <c r="F39" s="116"/>
      <c r="G39" s="116"/>
      <c r="J39" s="520">
        <v>5.2990555162806618</v>
      </c>
      <c r="L39">
        <v>39.254965894121781</v>
      </c>
      <c r="M39">
        <v>36.535716251500958</v>
      </c>
    </row>
    <row r="40" spans="1:13">
      <c r="C40" s="116"/>
      <c r="D40" s="116"/>
      <c r="E40" s="116"/>
      <c r="F40" s="116"/>
      <c r="G40" s="116"/>
      <c r="J40" s="520">
        <v>4.1577368309331373</v>
      </c>
      <c r="L40">
        <v>23.686871581615428</v>
      </c>
      <c r="M40">
        <v>19.954270233673483</v>
      </c>
    </row>
    <row r="41" spans="1:13">
      <c r="J41">
        <v>36.932040795235579</v>
      </c>
      <c r="L41">
        <v>16.03980540737939</v>
      </c>
      <c r="M41">
        <v>18.15208088390408</v>
      </c>
    </row>
    <row r="42" spans="1:13">
      <c r="J42">
        <v>25.033856802028232</v>
      </c>
      <c r="L42">
        <v>5.3223429368878223</v>
      </c>
      <c r="M42">
        <v>5.516014276909587</v>
      </c>
    </row>
    <row r="43" spans="1:13">
      <c r="A43" s="113" t="s">
        <v>798</v>
      </c>
      <c r="J43">
        <v>15.012485165646627</v>
      </c>
      <c r="L43">
        <v>4.1892191514614003</v>
      </c>
      <c r="M43">
        <v>3.9143621656698859</v>
      </c>
    </row>
    <row r="44" spans="1:13">
      <c r="B44" s="222">
        <v>2024</v>
      </c>
      <c r="J44" s="15">
        <f>SUM(J39:J43)</f>
        <v>86.435175110124234</v>
      </c>
      <c r="L44">
        <f>SUM(L39:L43)</f>
        <v>88.493204971465815</v>
      </c>
      <c r="M44">
        <f>SUM(M39:M43)</f>
        <v>84.07244381165799</v>
      </c>
    </row>
    <row r="45" spans="1:13">
      <c r="A45" s="115"/>
      <c r="B45" s="115" t="s">
        <v>434</v>
      </c>
      <c r="C45" s="115" t="s">
        <v>799</v>
      </c>
      <c r="D45" s="113" t="s">
        <v>67</v>
      </c>
    </row>
    <row r="46" spans="1:13">
      <c r="A46" s="115" t="s">
        <v>88</v>
      </c>
      <c r="B46" s="117">
        <v>35</v>
      </c>
      <c r="C46" s="117">
        <v>29</v>
      </c>
      <c r="D46" s="117">
        <f>B46+C46</f>
        <v>64</v>
      </c>
    </row>
    <row r="47" spans="1:13">
      <c r="A47" s="115" t="s">
        <v>694</v>
      </c>
      <c r="B47" s="117">
        <v>15</v>
      </c>
      <c r="C47" s="117">
        <v>33</v>
      </c>
      <c r="D47" s="117">
        <f t="shared" ref="D47:D50" si="0">B47+C47</f>
        <v>48</v>
      </c>
    </row>
    <row r="48" spans="1:13">
      <c r="A48" s="115" t="s">
        <v>89</v>
      </c>
      <c r="B48" s="117">
        <v>17</v>
      </c>
      <c r="C48" s="117">
        <v>11</v>
      </c>
      <c r="D48" s="117">
        <f t="shared" si="0"/>
        <v>28</v>
      </c>
    </row>
    <row r="49" spans="1:4">
      <c r="A49" s="115" t="s">
        <v>92</v>
      </c>
      <c r="B49" s="117">
        <v>1</v>
      </c>
      <c r="C49" s="117">
        <v>9</v>
      </c>
      <c r="D49" s="117">
        <f t="shared" si="0"/>
        <v>10</v>
      </c>
    </row>
    <row r="50" spans="1:4">
      <c r="A50" s="115" t="s">
        <v>95</v>
      </c>
      <c r="B50" s="117">
        <v>27</v>
      </c>
      <c r="C50" s="117">
        <v>5</v>
      </c>
      <c r="D50" s="117">
        <f t="shared" si="0"/>
        <v>32</v>
      </c>
    </row>
    <row r="51" spans="1:4">
      <c r="A51" s="115" t="s">
        <v>67</v>
      </c>
      <c r="B51" s="117">
        <f>SUM(B46:B50)</f>
        <v>95</v>
      </c>
      <c r="C51" s="117">
        <f>SUM(C46:C50)</f>
        <v>87</v>
      </c>
      <c r="D51" s="117">
        <f t="shared" ref="D51" si="1">SUM(D46:D50)</f>
        <v>182</v>
      </c>
    </row>
    <row r="52" spans="1:4">
      <c r="B52" s="113">
        <f t="shared" ref="B52:C52" si="2">B46+B47+B48</f>
        <v>67</v>
      </c>
      <c r="C52" s="113">
        <f t="shared" si="2"/>
        <v>73</v>
      </c>
      <c r="D52" s="113">
        <f>D46+D47+D48</f>
        <v>140</v>
      </c>
    </row>
    <row r="54" spans="1:4">
      <c r="A54" s="115"/>
      <c r="B54" s="223">
        <v>2023</v>
      </c>
      <c r="C54" s="115"/>
    </row>
    <row r="55" spans="1:4">
      <c r="A55" s="115"/>
      <c r="B55" s="115" t="s">
        <v>434</v>
      </c>
      <c r="C55" s="115" t="s">
        <v>799</v>
      </c>
      <c r="D55" s="113" t="s">
        <v>67</v>
      </c>
    </row>
    <row r="56" spans="1:4">
      <c r="A56" s="115" t="s">
        <v>88</v>
      </c>
      <c r="B56" s="117">
        <v>35</v>
      </c>
      <c r="C56" s="117">
        <v>35</v>
      </c>
      <c r="D56" s="117">
        <f>B56+C56</f>
        <v>70</v>
      </c>
    </row>
    <row r="57" spans="1:4">
      <c r="A57" s="115" t="s">
        <v>694</v>
      </c>
      <c r="B57" s="117">
        <v>15</v>
      </c>
      <c r="C57" s="117">
        <v>33</v>
      </c>
      <c r="D57" s="117">
        <f t="shared" ref="D57:D60" si="3">B57+C57</f>
        <v>48</v>
      </c>
    </row>
    <row r="58" spans="1:4">
      <c r="A58" s="115" t="s">
        <v>89</v>
      </c>
      <c r="B58" s="117">
        <v>12</v>
      </c>
      <c r="C58" s="117">
        <v>11</v>
      </c>
      <c r="D58" s="117">
        <f t="shared" si="3"/>
        <v>23</v>
      </c>
    </row>
    <row r="59" spans="1:4">
      <c r="A59" s="115" t="s">
        <v>92</v>
      </c>
      <c r="B59" s="117">
        <v>6</v>
      </c>
      <c r="C59" s="117">
        <v>10</v>
      </c>
      <c r="D59" s="117">
        <f t="shared" si="3"/>
        <v>16</v>
      </c>
    </row>
    <row r="60" spans="1:4">
      <c r="A60" s="115" t="s">
        <v>95</v>
      </c>
      <c r="B60" s="117">
        <v>27</v>
      </c>
      <c r="C60" s="117">
        <v>5</v>
      </c>
      <c r="D60" s="117">
        <f t="shared" si="3"/>
        <v>32</v>
      </c>
    </row>
    <row r="61" spans="1:4">
      <c r="A61" s="115" t="s">
        <v>67</v>
      </c>
      <c r="B61" s="117">
        <f>SUM(B56:B60)</f>
        <v>95</v>
      </c>
      <c r="C61" s="117">
        <f>SUM(C56:C60)</f>
        <v>94</v>
      </c>
      <c r="D61" s="117">
        <f t="shared" ref="D61" si="4">SUM(D56:D60)</f>
        <v>189</v>
      </c>
    </row>
    <row r="62" spans="1:4">
      <c r="B62" s="113">
        <f t="shared" ref="B62:C62" si="5">B56+B57+B58</f>
        <v>62</v>
      </c>
      <c r="C62" s="113">
        <f t="shared" si="5"/>
        <v>79</v>
      </c>
      <c r="D62" s="113">
        <f>D56+D57+D58</f>
        <v>141</v>
      </c>
    </row>
    <row r="63" spans="1:4">
      <c r="A63" s="115"/>
      <c r="B63" s="223">
        <v>2022</v>
      </c>
      <c r="C63" s="115"/>
    </row>
    <row r="64" spans="1:4">
      <c r="A64" s="115"/>
      <c r="B64" s="115" t="s">
        <v>434</v>
      </c>
      <c r="C64" s="115" t="s">
        <v>799</v>
      </c>
      <c r="D64" s="113" t="s">
        <v>67</v>
      </c>
    </row>
    <row r="65" spans="1:8">
      <c r="A65" s="115" t="s">
        <v>88</v>
      </c>
      <c r="B65" s="117">
        <v>35</v>
      </c>
      <c r="C65" s="117">
        <v>36</v>
      </c>
      <c r="D65" s="117">
        <f>B65+C65</f>
        <v>71</v>
      </c>
      <c r="E65" s="117"/>
      <c r="F65" s="117"/>
      <c r="G65" s="117"/>
      <c r="H65" s="117"/>
    </row>
    <row r="66" spans="1:8">
      <c r="A66" s="115" t="s">
        <v>694</v>
      </c>
      <c r="B66" s="117">
        <v>15</v>
      </c>
      <c r="C66" s="117">
        <v>33</v>
      </c>
      <c r="D66" s="117">
        <f t="shared" ref="D66:D69" si="6">B66+C66</f>
        <v>48</v>
      </c>
    </row>
    <row r="67" spans="1:8">
      <c r="A67" s="115" t="s">
        <v>89</v>
      </c>
      <c r="B67" s="117">
        <v>12</v>
      </c>
      <c r="C67" s="117">
        <v>11</v>
      </c>
      <c r="D67" s="117">
        <f t="shared" si="6"/>
        <v>23</v>
      </c>
    </row>
    <row r="68" spans="1:8">
      <c r="A68" s="115" t="s">
        <v>92</v>
      </c>
      <c r="B68" s="117">
        <v>6</v>
      </c>
      <c r="C68" s="117">
        <v>11</v>
      </c>
      <c r="D68" s="117">
        <f t="shared" si="6"/>
        <v>17</v>
      </c>
    </row>
    <row r="69" spans="1:8">
      <c r="A69" s="115" t="s">
        <v>95</v>
      </c>
      <c r="B69" s="117">
        <v>27</v>
      </c>
      <c r="C69" s="117">
        <v>5</v>
      </c>
      <c r="D69" s="117">
        <f t="shared" si="6"/>
        <v>32</v>
      </c>
    </row>
    <row r="70" spans="1:8">
      <c r="A70" s="115" t="s">
        <v>67</v>
      </c>
      <c r="B70" s="117">
        <f>SUM(B65:B69)</f>
        <v>95</v>
      </c>
      <c r="C70" s="117">
        <f t="shared" ref="C70:D70" si="7">SUM(C65:C69)</f>
        <v>96</v>
      </c>
      <c r="D70" s="117">
        <f t="shared" si="7"/>
        <v>191</v>
      </c>
    </row>
    <row r="73" spans="1:8">
      <c r="A73" s="115"/>
      <c r="B73" s="223">
        <v>2021</v>
      </c>
      <c r="C73" s="115"/>
    </row>
    <row r="74" spans="1:8">
      <c r="A74" s="115"/>
      <c r="B74" s="115" t="s">
        <v>434</v>
      </c>
      <c r="C74" s="115" t="s">
        <v>799</v>
      </c>
      <c r="D74" s="113" t="s">
        <v>67</v>
      </c>
    </row>
    <row r="75" spans="1:8">
      <c r="A75" s="115" t="s">
        <v>88</v>
      </c>
      <c r="B75" s="117">
        <v>35</v>
      </c>
      <c r="C75" s="117">
        <v>38</v>
      </c>
      <c r="D75" s="117">
        <f>B75+C75</f>
        <v>73</v>
      </c>
    </row>
    <row r="76" spans="1:8">
      <c r="A76" s="115" t="s">
        <v>694</v>
      </c>
      <c r="B76" s="117">
        <v>15</v>
      </c>
      <c r="C76" s="117">
        <v>38</v>
      </c>
      <c r="D76" s="117">
        <f t="shared" ref="D76:D80" si="8">B76+C76</f>
        <v>53</v>
      </c>
    </row>
    <row r="77" spans="1:8">
      <c r="A77" s="115" t="s">
        <v>89</v>
      </c>
      <c r="B77" s="117">
        <v>12</v>
      </c>
      <c r="C77" s="117">
        <v>11</v>
      </c>
      <c r="D77" s="117">
        <f t="shared" si="8"/>
        <v>23</v>
      </c>
    </row>
    <row r="78" spans="1:8">
      <c r="A78" s="115" t="s">
        <v>92</v>
      </c>
      <c r="B78" s="117">
        <v>6</v>
      </c>
      <c r="C78" s="117">
        <v>11</v>
      </c>
      <c r="D78" s="117">
        <f t="shared" si="8"/>
        <v>17</v>
      </c>
    </row>
    <row r="79" spans="1:8">
      <c r="A79" s="115" t="s">
        <v>95</v>
      </c>
      <c r="B79" s="117">
        <v>27</v>
      </c>
      <c r="C79" s="117">
        <v>5</v>
      </c>
      <c r="D79" s="117">
        <f t="shared" si="8"/>
        <v>32</v>
      </c>
    </row>
    <row r="80" spans="1:8">
      <c r="A80" s="115" t="s">
        <v>67</v>
      </c>
      <c r="B80" s="117">
        <f>SUM(B75:B79)</f>
        <v>95</v>
      </c>
      <c r="C80" s="117">
        <f>SUM(C75:C79)</f>
        <v>103</v>
      </c>
      <c r="D80" s="117">
        <f t="shared" si="8"/>
        <v>198</v>
      </c>
    </row>
    <row r="83" spans="1:4">
      <c r="A83" s="115"/>
      <c r="B83" s="223">
        <v>2020</v>
      </c>
      <c r="C83" s="115"/>
    </row>
    <row r="84" spans="1:4">
      <c r="A84" s="115"/>
      <c r="B84" s="115" t="s">
        <v>434</v>
      </c>
      <c r="C84" s="115" t="s">
        <v>799</v>
      </c>
      <c r="D84" s="113" t="s">
        <v>67</v>
      </c>
    </row>
    <row r="85" spans="1:4">
      <c r="A85" s="115" t="s">
        <v>88</v>
      </c>
      <c r="B85" s="117">
        <v>35</v>
      </c>
      <c r="C85" s="117">
        <v>38</v>
      </c>
      <c r="D85" s="117">
        <f>B85+C85</f>
        <v>73</v>
      </c>
    </row>
    <row r="86" spans="1:4">
      <c r="A86" s="115" t="s">
        <v>694</v>
      </c>
      <c r="B86" s="117">
        <v>15</v>
      </c>
      <c r="C86" s="117">
        <v>39</v>
      </c>
      <c r="D86" s="117">
        <f t="shared" ref="D86:D90" si="9">B86+C86</f>
        <v>54</v>
      </c>
    </row>
    <row r="87" spans="1:4">
      <c r="A87" s="115" t="s">
        <v>89</v>
      </c>
      <c r="B87" s="117">
        <v>12</v>
      </c>
      <c r="C87" s="117">
        <v>11</v>
      </c>
      <c r="D87" s="117">
        <f t="shared" si="9"/>
        <v>23</v>
      </c>
    </row>
    <row r="88" spans="1:4">
      <c r="A88" s="115" t="s">
        <v>92</v>
      </c>
      <c r="B88" s="117">
        <v>6</v>
      </c>
      <c r="C88" s="117">
        <v>11</v>
      </c>
      <c r="D88" s="117">
        <f t="shared" si="9"/>
        <v>17</v>
      </c>
    </row>
    <row r="89" spans="1:4">
      <c r="A89" s="115" t="s">
        <v>95</v>
      </c>
      <c r="B89" s="117">
        <v>27</v>
      </c>
      <c r="C89" s="117">
        <v>5</v>
      </c>
      <c r="D89" s="117">
        <f t="shared" si="9"/>
        <v>32</v>
      </c>
    </row>
    <row r="90" spans="1:4">
      <c r="A90" s="115" t="s">
        <v>67</v>
      </c>
      <c r="B90" s="117">
        <f>SUM(B85:B89)</f>
        <v>95</v>
      </c>
      <c r="C90" s="117">
        <f>SUM(C85:C89)</f>
        <v>104</v>
      </c>
      <c r="D90" s="117">
        <f t="shared" si="9"/>
        <v>199</v>
      </c>
    </row>
    <row r="91" spans="1:4">
      <c r="A91" s="115"/>
      <c r="B91" s="117"/>
      <c r="C91" s="117"/>
    </row>
    <row r="93" spans="1:4">
      <c r="A93" s="115"/>
      <c r="B93" s="223">
        <v>2019</v>
      </c>
      <c r="C93" s="115"/>
    </row>
    <row r="94" spans="1:4">
      <c r="A94" s="115"/>
      <c r="B94" s="115" t="s">
        <v>434</v>
      </c>
      <c r="C94" s="115" t="s">
        <v>799</v>
      </c>
      <c r="D94" s="113" t="s">
        <v>67</v>
      </c>
    </row>
    <row r="95" spans="1:4">
      <c r="A95" s="115" t="s">
        <v>88</v>
      </c>
      <c r="B95" s="117">
        <v>30</v>
      </c>
      <c r="C95" s="117">
        <v>39</v>
      </c>
      <c r="D95" s="117">
        <f>B95+C95</f>
        <v>69</v>
      </c>
    </row>
    <row r="96" spans="1:4">
      <c r="A96" s="115" t="s">
        <v>694</v>
      </c>
      <c r="B96" s="117">
        <v>15</v>
      </c>
      <c r="C96" s="117">
        <v>39</v>
      </c>
      <c r="D96" s="117">
        <f t="shared" ref="D96:D100" si="10">B96+C96</f>
        <v>54</v>
      </c>
    </row>
    <row r="97" spans="1:4">
      <c r="A97" s="115" t="s">
        <v>89</v>
      </c>
      <c r="B97" s="117">
        <v>12</v>
      </c>
      <c r="C97" s="117">
        <v>11</v>
      </c>
      <c r="D97" s="117">
        <f t="shared" si="10"/>
        <v>23</v>
      </c>
    </row>
    <row r="98" spans="1:4">
      <c r="A98" s="115" t="s">
        <v>92</v>
      </c>
      <c r="B98" s="117">
        <v>6</v>
      </c>
      <c r="C98" s="117">
        <v>11</v>
      </c>
      <c r="D98" s="117">
        <f t="shared" si="10"/>
        <v>17</v>
      </c>
    </row>
    <row r="99" spans="1:4">
      <c r="A99" s="115" t="s">
        <v>95</v>
      </c>
      <c r="B99" s="117">
        <v>27</v>
      </c>
      <c r="C99" s="117">
        <v>5</v>
      </c>
      <c r="D99" s="117">
        <f t="shared" si="10"/>
        <v>32</v>
      </c>
    </row>
    <row r="100" spans="1:4">
      <c r="A100" s="115" t="s">
        <v>67</v>
      </c>
      <c r="B100" s="117">
        <f>SUM(B95:B99)</f>
        <v>90</v>
      </c>
      <c r="C100" s="117">
        <f>SUM(C95:C99)</f>
        <v>105</v>
      </c>
      <c r="D100" s="117">
        <f t="shared" si="10"/>
        <v>195</v>
      </c>
    </row>
    <row r="101" spans="1:4">
      <c r="A101" s="115"/>
      <c r="B101" s="117"/>
      <c r="C101" s="117"/>
    </row>
    <row r="103" spans="1:4">
      <c r="A103" s="115"/>
      <c r="B103" s="223">
        <v>2018</v>
      </c>
      <c r="C103" s="115"/>
    </row>
    <row r="104" spans="1:4">
      <c r="A104" s="115"/>
      <c r="B104" s="115" t="s">
        <v>434</v>
      </c>
      <c r="C104" s="115" t="s">
        <v>799</v>
      </c>
      <c r="D104" s="113" t="s">
        <v>67</v>
      </c>
    </row>
    <row r="105" spans="1:4">
      <c r="A105" s="115" t="s">
        <v>88</v>
      </c>
      <c r="B105" s="117">
        <v>30</v>
      </c>
      <c r="C105" s="117">
        <v>39</v>
      </c>
      <c r="D105" s="117">
        <f>B105+C105</f>
        <v>69</v>
      </c>
    </row>
    <row r="106" spans="1:4">
      <c r="A106" s="115" t="s">
        <v>694</v>
      </c>
      <c r="B106" s="117">
        <v>15</v>
      </c>
      <c r="C106" s="117">
        <v>46</v>
      </c>
      <c r="D106" s="117">
        <f t="shared" ref="D106:D110" si="11">B106+C106</f>
        <v>61</v>
      </c>
    </row>
    <row r="107" spans="1:4">
      <c r="A107" s="115" t="s">
        <v>89</v>
      </c>
      <c r="B107" s="117">
        <v>13</v>
      </c>
      <c r="C107" s="117">
        <v>12</v>
      </c>
      <c r="D107" s="117">
        <f t="shared" si="11"/>
        <v>25</v>
      </c>
    </row>
    <row r="108" spans="1:4">
      <c r="A108" s="115" t="s">
        <v>92</v>
      </c>
      <c r="B108" s="117">
        <v>6</v>
      </c>
      <c r="C108" s="117">
        <v>10</v>
      </c>
      <c r="D108" s="117">
        <f t="shared" si="11"/>
        <v>16</v>
      </c>
    </row>
    <row r="109" spans="1:4">
      <c r="A109" s="115" t="s">
        <v>95</v>
      </c>
      <c r="B109" s="117">
        <v>27</v>
      </c>
      <c r="C109" s="117">
        <v>5</v>
      </c>
      <c r="D109" s="117">
        <f t="shared" si="11"/>
        <v>32</v>
      </c>
    </row>
    <row r="110" spans="1:4">
      <c r="A110" s="115" t="s">
        <v>67</v>
      </c>
      <c r="B110" s="117">
        <v>91</v>
      </c>
      <c r="C110" s="117">
        <v>113</v>
      </c>
      <c r="D110" s="117">
        <f t="shared" si="11"/>
        <v>204</v>
      </c>
    </row>
    <row r="111" spans="1:4">
      <c r="A111" s="115"/>
      <c r="B111" s="115"/>
      <c r="C111" s="115"/>
    </row>
    <row r="112" spans="1:4">
      <c r="A112" s="115"/>
      <c r="B112" s="115"/>
      <c r="C112" s="115"/>
    </row>
    <row r="113" spans="1:4">
      <c r="A113" s="115"/>
      <c r="B113" s="114">
        <v>2017</v>
      </c>
      <c r="C113" s="115"/>
    </row>
    <row r="114" spans="1:4">
      <c r="A114" s="115"/>
      <c r="B114" s="115" t="s">
        <v>434</v>
      </c>
      <c r="C114" s="115" t="s">
        <v>799</v>
      </c>
      <c r="D114" s="113" t="s">
        <v>67</v>
      </c>
    </row>
    <row r="115" spans="1:4">
      <c r="A115" s="115" t="s">
        <v>88</v>
      </c>
      <c r="B115" s="117">
        <v>30</v>
      </c>
      <c r="C115" s="117">
        <v>40</v>
      </c>
      <c r="D115" s="117">
        <f>B115+C115</f>
        <v>70</v>
      </c>
    </row>
    <row r="116" spans="1:4">
      <c r="A116" s="115" t="s">
        <v>694</v>
      </c>
      <c r="B116" s="117">
        <v>15</v>
      </c>
      <c r="C116" s="117">
        <v>47</v>
      </c>
      <c r="D116" s="117">
        <f t="shared" ref="D116:D120" si="12">B116+C116</f>
        <v>62</v>
      </c>
    </row>
    <row r="117" spans="1:4">
      <c r="A117" s="115" t="s">
        <v>89</v>
      </c>
      <c r="B117" s="117">
        <v>11</v>
      </c>
      <c r="C117" s="117">
        <v>13</v>
      </c>
      <c r="D117" s="117">
        <f t="shared" si="12"/>
        <v>24</v>
      </c>
    </row>
    <row r="118" spans="1:4">
      <c r="A118" s="115" t="s">
        <v>92</v>
      </c>
      <c r="B118" s="117">
        <v>6</v>
      </c>
      <c r="C118" s="117">
        <v>10</v>
      </c>
      <c r="D118" s="117">
        <f t="shared" si="12"/>
        <v>16</v>
      </c>
    </row>
    <row r="119" spans="1:4">
      <c r="A119" s="115" t="s">
        <v>95</v>
      </c>
      <c r="B119" s="117">
        <v>27</v>
      </c>
      <c r="C119" s="117">
        <v>5</v>
      </c>
      <c r="D119" s="117">
        <f t="shared" si="12"/>
        <v>32</v>
      </c>
    </row>
    <row r="120" spans="1:4">
      <c r="A120" s="115" t="s">
        <v>67</v>
      </c>
      <c r="B120" s="117">
        <f>SUM(B115:B119)</f>
        <v>89</v>
      </c>
      <c r="C120" s="117">
        <f>SUM(C115:C119)</f>
        <v>115</v>
      </c>
      <c r="D120" s="117">
        <f t="shared" si="12"/>
        <v>204</v>
      </c>
    </row>
    <row r="121" spans="1:4">
      <c r="A121" s="115"/>
      <c r="B121" s="115"/>
      <c r="C121" s="115"/>
    </row>
    <row r="122" spans="1:4">
      <c r="A122" s="115"/>
      <c r="B122" s="115"/>
      <c r="C122" s="115"/>
    </row>
    <row r="123" spans="1:4">
      <c r="A123" s="115"/>
      <c r="B123" s="223">
        <v>2016</v>
      </c>
      <c r="C123" s="115"/>
    </row>
    <row r="124" spans="1:4">
      <c r="A124" s="115"/>
      <c r="B124" s="115" t="s">
        <v>434</v>
      </c>
      <c r="C124" s="115" t="s">
        <v>799</v>
      </c>
      <c r="D124" s="113" t="s">
        <v>67</v>
      </c>
    </row>
    <row r="125" spans="1:4">
      <c r="A125" s="115" t="s">
        <v>88</v>
      </c>
      <c r="B125" s="117">
        <v>30</v>
      </c>
      <c r="C125" s="117">
        <v>34</v>
      </c>
      <c r="D125" s="117">
        <f>B125+C125</f>
        <v>64</v>
      </c>
    </row>
    <row r="126" spans="1:4">
      <c r="A126" s="115" t="s">
        <v>694</v>
      </c>
      <c r="B126" s="117">
        <v>15</v>
      </c>
      <c r="C126" s="117">
        <v>46</v>
      </c>
      <c r="D126" s="117">
        <f t="shared" ref="D126:D130" si="13">B126+C126</f>
        <v>61</v>
      </c>
    </row>
    <row r="127" spans="1:4">
      <c r="A127" s="115" t="s">
        <v>89</v>
      </c>
      <c r="B127" s="117">
        <v>12</v>
      </c>
      <c r="C127" s="117">
        <v>13</v>
      </c>
      <c r="D127" s="117">
        <f t="shared" si="13"/>
        <v>25</v>
      </c>
    </row>
    <row r="128" spans="1:4">
      <c r="A128" s="115" t="s">
        <v>92</v>
      </c>
      <c r="B128" s="117">
        <v>6</v>
      </c>
      <c r="C128" s="117">
        <v>9</v>
      </c>
      <c r="D128" s="117">
        <f t="shared" si="13"/>
        <v>15</v>
      </c>
    </row>
    <row r="129" spans="1:4">
      <c r="A129" s="115" t="s">
        <v>95</v>
      </c>
      <c r="B129" s="117">
        <v>27</v>
      </c>
      <c r="C129" s="117">
        <v>5</v>
      </c>
      <c r="D129" s="117">
        <f t="shared" si="13"/>
        <v>32</v>
      </c>
    </row>
    <row r="130" spans="1:4">
      <c r="A130" s="115" t="s">
        <v>67</v>
      </c>
      <c r="B130" s="117">
        <f t="shared" ref="B130:C130" si="14">SUM(B125:B129)</f>
        <v>90</v>
      </c>
      <c r="C130" s="117">
        <f t="shared" si="14"/>
        <v>107</v>
      </c>
      <c r="D130" s="117">
        <f t="shared" si="13"/>
        <v>197</v>
      </c>
    </row>
    <row r="131" spans="1:4">
      <c r="A131" s="115"/>
      <c r="B131" s="115"/>
      <c r="C131" s="115"/>
    </row>
    <row r="132" spans="1:4">
      <c r="A132" s="115"/>
      <c r="B132" s="115"/>
      <c r="C132" s="115"/>
    </row>
    <row r="133" spans="1:4">
      <c r="A133" s="115"/>
      <c r="B133" s="223">
        <v>2015</v>
      </c>
      <c r="C133" s="115"/>
    </row>
    <row r="134" spans="1:4">
      <c r="A134" s="115"/>
      <c r="B134" s="115" t="s">
        <v>434</v>
      </c>
      <c r="C134" s="115" t="s">
        <v>799</v>
      </c>
      <c r="D134" s="113" t="s">
        <v>67</v>
      </c>
    </row>
    <row r="135" spans="1:4">
      <c r="A135" s="115" t="s">
        <v>88</v>
      </c>
      <c r="B135" s="117">
        <v>31</v>
      </c>
      <c r="C135" s="117">
        <v>44</v>
      </c>
      <c r="D135" s="117">
        <f>B135+C135</f>
        <v>75</v>
      </c>
    </row>
    <row r="136" spans="1:4">
      <c r="A136" s="115" t="s">
        <v>694</v>
      </c>
      <c r="B136" s="117">
        <v>12</v>
      </c>
      <c r="C136" s="117">
        <v>51</v>
      </c>
      <c r="D136" s="117">
        <f t="shared" ref="D136:D140" si="15">B136+C136</f>
        <v>63</v>
      </c>
    </row>
    <row r="137" spans="1:4">
      <c r="A137" s="115" t="s">
        <v>89</v>
      </c>
      <c r="B137" s="117">
        <v>12</v>
      </c>
      <c r="C137" s="117">
        <v>15</v>
      </c>
      <c r="D137" s="117">
        <f t="shared" si="15"/>
        <v>27</v>
      </c>
    </row>
    <row r="138" spans="1:4">
      <c r="A138" s="115" t="s">
        <v>92</v>
      </c>
      <c r="B138" s="117">
        <v>6</v>
      </c>
      <c r="C138" s="117">
        <v>14</v>
      </c>
      <c r="D138" s="117">
        <f t="shared" si="15"/>
        <v>20</v>
      </c>
    </row>
    <row r="139" spans="1:4">
      <c r="A139" s="115" t="s">
        <v>95</v>
      </c>
      <c r="B139" s="117">
        <v>27</v>
      </c>
      <c r="C139" s="117">
        <v>5</v>
      </c>
      <c r="D139" s="117">
        <f t="shared" si="15"/>
        <v>32</v>
      </c>
    </row>
    <row r="140" spans="1:4">
      <c r="A140" s="115" t="s">
        <v>67</v>
      </c>
      <c r="B140" s="117">
        <v>88</v>
      </c>
      <c r="C140" s="117">
        <v>129</v>
      </c>
      <c r="D140" s="117">
        <f t="shared" si="15"/>
        <v>217</v>
      </c>
    </row>
    <row r="141" spans="1:4">
      <c r="A141" s="115"/>
      <c r="B141" s="117">
        <f>B135+B136+B137</f>
        <v>55</v>
      </c>
      <c r="C141" s="117">
        <f>C135+C136+C137</f>
        <v>110</v>
      </c>
      <c r="D141" s="117">
        <f t="shared" ref="D141" si="16">D135+D136+D137</f>
        <v>165</v>
      </c>
    </row>
    <row r="142" spans="1:4">
      <c r="A142" s="115"/>
      <c r="B142" s="115"/>
      <c r="C142" s="115"/>
    </row>
    <row r="143" spans="1:4">
      <c r="A143" s="115"/>
      <c r="B143" s="223">
        <v>2014</v>
      </c>
      <c r="C143" s="115"/>
    </row>
    <row r="144" spans="1:4">
      <c r="A144" s="115"/>
      <c r="B144" s="115" t="s">
        <v>434</v>
      </c>
      <c r="C144" s="115" t="s">
        <v>799</v>
      </c>
      <c r="D144" s="113" t="s">
        <v>67</v>
      </c>
    </row>
    <row r="145" spans="1:6">
      <c r="A145" s="115" t="s">
        <v>88</v>
      </c>
      <c r="B145" s="117">
        <v>30</v>
      </c>
      <c r="C145" s="117">
        <v>44</v>
      </c>
      <c r="D145" s="117">
        <f>B145+C145</f>
        <v>74</v>
      </c>
    </row>
    <row r="146" spans="1:6">
      <c r="A146" s="115" t="s">
        <v>694</v>
      </c>
      <c r="B146" s="117">
        <v>15</v>
      </c>
      <c r="C146" s="117">
        <v>51</v>
      </c>
      <c r="D146" s="117">
        <f t="shared" ref="D146:D150" si="17">B146+C146</f>
        <v>66</v>
      </c>
    </row>
    <row r="147" spans="1:6">
      <c r="A147" s="115" t="s">
        <v>89</v>
      </c>
      <c r="B147" s="117">
        <v>12</v>
      </c>
      <c r="C147" s="117">
        <v>15</v>
      </c>
      <c r="D147" s="117">
        <f t="shared" si="17"/>
        <v>27</v>
      </c>
    </row>
    <row r="148" spans="1:6">
      <c r="A148" s="115" t="s">
        <v>92</v>
      </c>
      <c r="B148" s="117">
        <v>6</v>
      </c>
      <c r="C148" s="117">
        <v>14</v>
      </c>
      <c r="D148" s="117">
        <f t="shared" si="17"/>
        <v>20</v>
      </c>
    </row>
    <row r="149" spans="1:6">
      <c r="A149" s="115" t="s">
        <v>95</v>
      </c>
      <c r="B149" s="117">
        <v>27</v>
      </c>
      <c r="C149" s="117">
        <v>5</v>
      </c>
      <c r="D149" s="117">
        <f t="shared" si="17"/>
        <v>32</v>
      </c>
    </row>
    <row r="150" spans="1:6">
      <c r="A150" s="115" t="s">
        <v>67</v>
      </c>
      <c r="B150" s="117">
        <v>90</v>
      </c>
      <c r="C150" s="117">
        <v>129</v>
      </c>
      <c r="D150" s="117">
        <f t="shared" si="17"/>
        <v>219</v>
      </c>
      <c r="F150" s="113">
        <f>C150-C52</f>
        <v>56</v>
      </c>
    </row>
    <row r="151" spans="1:6">
      <c r="A151" s="115"/>
      <c r="B151" s="115"/>
      <c r="C151" s="115"/>
    </row>
    <row r="152" spans="1:6">
      <c r="A152" s="115"/>
      <c r="B152" s="223">
        <v>2013</v>
      </c>
      <c r="C152" s="115"/>
    </row>
    <row r="153" spans="1:6">
      <c r="A153" s="115"/>
      <c r="B153" s="115" t="s">
        <v>434</v>
      </c>
      <c r="C153" s="115" t="s">
        <v>799</v>
      </c>
      <c r="D153" s="113" t="s">
        <v>67</v>
      </c>
    </row>
    <row r="154" spans="1:6">
      <c r="A154" s="115" t="s">
        <v>88</v>
      </c>
      <c r="B154" s="117">
        <v>30</v>
      </c>
      <c r="C154" s="117">
        <v>41</v>
      </c>
      <c r="D154" s="117">
        <f>B154+C154</f>
        <v>71</v>
      </c>
    </row>
    <row r="155" spans="1:6">
      <c r="A155" s="115" t="s">
        <v>694</v>
      </c>
      <c r="B155" s="117">
        <v>15</v>
      </c>
      <c r="C155" s="117">
        <v>50</v>
      </c>
      <c r="D155" s="117">
        <f t="shared" ref="D155:D159" si="18">B155+C155</f>
        <v>65</v>
      </c>
    </row>
    <row r="156" spans="1:6">
      <c r="A156" s="115" t="s">
        <v>89</v>
      </c>
      <c r="B156" s="117">
        <v>12</v>
      </c>
      <c r="C156" s="117">
        <v>14</v>
      </c>
      <c r="D156" s="117">
        <f t="shared" si="18"/>
        <v>26</v>
      </c>
    </row>
    <row r="157" spans="1:6">
      <c r="A157" s="115" t="s">
        <v>92</v>
      </c>
      <c r="B157" s="117">
        <v>6</v>
      </c>
      <c r="C157" s="117">
        <v>13</v>
      </c>
      <c r="D157" s="117">
        <f t="shared" si="18"/>
        <v>19</v>
      </c>
    </row>
    <row r="158" spans="1:6">
      <c r="A158" s="115" t="s">
        <v>95</v>
      </c>
      <c r="B158" s="117">
        <v>27</v>
      </c>
      <c r="C158" s="117">
        <v>5</v>
      </c>
      <c r="D158" s="117">
        <f t="shared" si="18"/>
        <v>32</v>
      </c>
    </row>
    <row r="159" spans="1:6">
      <c r="A159" s="115" t="s">
        <v>67</v>
      </c>
      <c r="B159" s="117">
        <v>87</v>
      </c>
      <c r="C159" s="117">
        <v>123</v>
      </c>
      <c r="D159" s="117">
        <f t="shared" si="18"/>
        <v>210</v>
      </c>
    </row>
    <row r="160" spans="1:6">
      <c r="A160" s="115"/>
      <c r="B160" s="115"/>
      <c r="C160" s="115"/>
    </row>
    <row r="161" spans="1:4">
      <c r="A161" s="115" t="s">
        <v>800</v>
      </c>
      <c r="B161" s="223">
        <v>2012</v>
      </c>
      <c r="C161" s="115"/>
    </row>
    <row r="162" spans="1:4">
      <c r="A162" s="115"/>
      <c r="B162" s="115" t="s">
        <v>434</v>
      </c>
      <c r="C162" s="115" t="s">
        <v>799</v>
      </c>
      <c r="D162" s="113" t="s">
        <v>67</v>
      </c>
    </row>
    <row r="163" spans="1:4">
      <c r="A163" s="115" t="s">
        <v>88</v>
      </c>
      <c r="B163" s="117">
        <v>28</v>
      </c>
      <c r="C163" s="117">
        <v>33</v>
      </c>
      <c r="D163" s="117">
        <f>B163+C163</f>
        <v>61</v>
      </c>
    </row>
    <row r="164" spans="1:4">
      <c r="A164" s="115" t="s">
        <v>694</v>
      </c>
      <c r="B164" s="117">
        <v>15</v>
      </c>
      <c r="C164" s="117">
        <v>50</v>
      </c>
      <c r="D164" s="117">
        <f t="shared" ref="D164:D168" si="19">B164+C164</f>
        <v>65</v>
      </c>
    </row>
    <row r="165" spans="1:4">
      <c r="A165" s="115" t="s">
        <v>89</v>
      </c>
      <c r="B165" s="117">
        <v>12</v>
      </c>
      <c r="C165" s="117">
        <v>14</v>
      </c>
      <c r="D165" s="117">
        <f t="shared" si="19"/>
        <v>26</v>
      </c>
    </row>
    <row r="166" spans="1:4">
      <c r="A166" s="115" t="s">
        <v>92</v>
      </c>
      <c r="B166" s="117">
        <v>6</v>
      </c>
      <c r="C166" s="117">
        <v>12</v>
      </c>
      <c r="D166" s="117">
        <f t="shared" si="19"/>
        <v>18</v>
      </c>
    </row>
    <row r="167" spans="1:4">
      <c r="A167" s="115" t="s">
        <v>95</v>
      </c>
      <c r="B167" s="117">
        <v>27</v>
      </c>
      <c r="C167" s="117">
        <v>5</v>
      </c>
      <c r="D167" s="117">
        <f t="shared" si="19"/>
        <v>32</v>
      </c>
    </row>
    <row r="168" spans="1:4">
      <c r="A168" s="115" t="s">
        <v>67</v>
      </c>
      <c r="B168" s="117">
        <v>61</v>
      </c>
      <c r="C168" s="117">
        <v>109</v>
      </c>
      <c r="D168" s="117">
        <f t="shared" si="19"/>
        <v>170</v>
      </c>
    </row>
  </sheetData>
  <mergeCells count="2">
    <mergeCell ref="A1:G1"/>
    <mergeCell ref="G12:W12"/>
  </mergeCells>
  <pageMargins left="0.7" right="0.7" top="0.75" bottom="0.75" header="0.3" footer="0.3"/>
  <pageSetup orientation="portrait" horizontalDpi="0" verticalDpi="0"/>
  <drawing r:id="rId1"/>
  <legacy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56A300-BB61-5040-82E1-09AC4B4A0FE4}">
  <dimension ref="A2:W72"/>
  <sheetViews>
    <sheetView zoomScale="140" zoomScaleNormal="140" workbookViewId="0">
      <selection activeCell="D15" sqref="D15"/>
    </sheetView>
  </sheetViews>
  <sheetFormatPr baseColWidth="10" defaultColWidth="11" defaultRowHeight="16"/>
  <cols>
    <col min="1" max="1" width="11" style="36"/>
    <col min="2" max="2" width="34.5" style="36" bestFit="1" customWidth="1"/>
    <col min="3" max="3" width="20.6640625" style="36" customWidth="1"/>
    <col min="4" max="23" width="11" style="36"/>
  </cols>
  <sheetData>
    <row r="2" spans="1:22" ht="18">
      <c r="A2" s="224"/>
      <c r="B2" s="224">
        <v>1984</v>
      </c>
      <c r="C2" s="224">
        <v>1988</v>
      </c>
      <c r="D2" s="224">
        <v>1992</v>
      </c>
      <c r="E2" s="224">
        <v>1996</v>
      </c>
      <c r="F2" s="224">
        <v>2000</v>
      </c>
      <c r="G2" s="224">
        <v>2004</v>
      </c>
      <c r="H2" s="224">
        <v>2008</v>
      </c>
      <c r="I2" s="224">
        <v>2010</v>
      </c>
      <c r="J2" s="224">
        <v>2011</v>
      </c>
      <c r="K2" s="224">
        <v>2012</v>
      </c>
      <c r="L2" s="224">
        <v>2013</v>
      </c>
      <c r="M2" s="224">
        <v>2014</v>
      </c>
      <c r="N2" s="224">
        <v>2015</v>
      </c>
      <c r="O2" s="224">
        <v>2016</v>
      </c>
      <c r="P2" s="224">
        <v>2017</v>
      </c>
      <c r="Q2" s="224">
        <v>2018</v>
      </c>
      <c r="R2" s="224">
        <v>2019</v>
      </c>
      <c r="S2" s="224">
        <v>2020</v>
      </c>
      <c r="T2" s="224">
        <v>2021</v>
      </c>
      <c r="U2" s="224">
        <v>2022</v>
      </c>
      <c r="V2" s="224">
        <v>2023</v>
      </c>
    </row>
    <row r="3" spans="1:22" ht="18">
      <c r="A3" s="153" t="s">
        <v>88</v>
      </c>
      <c r="B3" s="225"/>
      <c r="C3" s="225"/>
      <c r="D3" s="225"/>
      <c r="E3" s="225"/>
      <c r="F3" s="225">
        <v>627.29999999999995</v>
      </c>
      <c r="G3" s="225">
        <v>981.9</v>
      </c>
      <c r="H3" s="225">
        <v>51.7</v>
      </c>
      <c r="I3" s="225">
        <v>59.2</v>
      </c>
      <c r="J3" s="225">
        <v>1726.96</v>
      </c>
      <c r="K3" s="225">
        <v>1804.67</v>
      </c>
      <c r="L3" s="225">
        <v>2189</v>
      </c>
      <c r="M3" s="225">
        <v>2211.6</v>
      </c>
      <c r="N3" s="225">
        <v>2205.6</v>
      </c>
      <c r="O3" s="225">
        <v>2305.7999999999997</v>
      </c>
      <c r="P3" s="225">
        <v>2350.66</v>
      </c>
      <c r="Q3" s="225">
        <v>2341.09</v>
      </c>
      <c r="R3" s="225">
        <v>2541</v>
      </c>
      <c r="S3" s="225">
        <v>2426.1</v>
      </c>
      <c r="T3" s="225">
        <v>2486.3409999999999</v>
      </c>
      <c r="U3" s="225">
        <v>2662.29</v>
      </c>
      <c r="V3" s="225">
        <v>2580.3667999999998</v>
      </c>
    </row>
    <row r="4" spans="1:22" ht="18">
      <c r="A4" s="153" t="s">
        <v>95</v>
      </c>
      <c r="B4" s="225">
        <v>810.91</v>
      </c>
      <c r="C4" s="225">
        <v>982.30399999999997</v>
      </c>
      <c r="D4" s="225">
        <v>1058.2199999999998</v>
      </c>
      <c r="E4" s="225">
        <v>1116.4099999999999</v>
      </c>
      <c r="F4" s="225">
        <v>1255.8899999999999</v>
      </c>
      <c r="G4" s="225">
        <v>1230.25</v>
      </c>
      <c r="H4" s="225">
        <v>1305.3</v>
      </c>
      <c r="I4" s="225">
        <v>1385.3</v>
      </c>
      <c r="J4" s="225">
        <v>1410.1</v>
      </c>
      <c r="K4" s="225">
        <v>1449.2</v>
      </c>
      <c r="L4" s="225">
        <v>1382</v>
      </c>
      <c r="M4" s="225">
        <v>1459.54</v>
      </c>
      <c r="N4" s="225">
        <v>1149.97</v>
      </c>
      <c r="O4" s="225">
        <v>1241.81</v>
      </c>
      <c r="P4" s="225">
        <v>1172.8</v>
      </c>
      <c r="Q4" s="225">
        <v>1251.46</v>
      </c>
      <c r="R4" s="225">
        <v>1184.8699999999999</v>
      </c>
      <c r="S4" s="225">
        <v>1156</v>
      </c>
      <c r="T4" s="225">
        <v>1281.3</v>
      </c>
      <c r="U4" s="225">
        <v>1266.04</v>
      </c>
      <c r="V4" s="225">
        <v>1201.04</v>
      </c>
    </row>
    <row r="5" spans="1:22" ht="18">
      <c r="A5" s="153" t="s">
        <v>168</v>
      </c>
      <c r="B5" s="225"/>
      <c r="C5" s="225"/>
      <c r="D5" s="225"/>
      <c r="E5" s="225">
        <v>24.6</v>
      </c>
      <c r="F5" s="225">
        <v>151.30000000000001</v>
      </c>
      <c r="G5" s="225">
        <v>169.5</v>
      </c>
      <c r="H5" s="225">
        <v>475.4</v>
      </c>
      <c r="I5" s="225">
        <v>1474.9272000000001</v>
      </c>
      <c r="J5" s="225">
        <v>1589.2950700000001</v>
      </c>
      <c r="K5" s="225">
        <v>1511.6729499999999</v>
      </c>
      <c r="L5" s="225">
        <v>1551.3725480000003</v>
      </c>
      <c r="M5" s="225">
        <v>1544.9</v>
      </c>
      <c r="N5" s="225">
        <v>1509.1999999999998</v>
      </c>
      <c r="O5" s="225">
        <v>1367.4</v>
      </c>
      <c r="P5" s="225">
        <v>1203.8899999999999</v>
      </c>
      <c r="Q5" s="225">
        <v>1198.28</v>
      </c>
      <c r="R5" s="225">
        <v>1206.69</v>
      </c>
      <c r="S5" s="225">
        <v>1093.21</v>
      </c>
      <c r="T5" s="225">
        <v>1107.2399999999998</v>
      </c>
      <c r="U5" s="225">
        <v>1167.3400000000001</v>
      </c>
      <c r="V5" s="225">
        <v>1059.31</v>
      </c>
    </row>
    <row r="6" spans="1:22" ht="18">
      <c r="A6" s="153" t="s">
        <v>89</v>
      </c>
      <c r="B6" s="225">
        <v>108.8</v>
      </c>
      <c r="C6" s="225">
        <v>61.8</v>
      </c>
      <c r="D6" s="225">
        <v>88.699999999999989</v>
      </c>
      <c r="E6" s="225">
        <v>211</v>
      </c>
      <c r="F6" s="225">
        <v>151.30000000000001</v>
      </c>
      <c r="G6" s="225">
        <v>185.60000000000002</v>
      </c>
      <c r="H6" s="225">
        <v>483</v>
      </c>
      <c r="I6" s="225">
        <v>606.20000000000005</v>
      </c>
      <c r="J6" s="225">
        <v>719.3</v>
      </c>
      <c r="K6" s="225">
        <v>743.4</v>
      </c>
      <c r="L6" s="225">
        <v>786</v>
      </c>
      <c r="M6" s="225">
        <v>776.8</v>
      </c>
      <c r="N6" s="225">
        <v>850.4</v>
      </c>
      <c r="O6" s="225">
        <v>1020.0899999999999</v>
      </c>
      <c r="P6" s="225">
        <v>1106.4299999999998</v>
      </c>
      <c r="Q6" s="225">
        <v>1141.05</v>
      </c>
      <c r="R6" s="225">
        <v>1054.68</v>
      </c>
      <c r="S6" s="225">
        <v>1039.8900000000001</v>
      </c>
      <c r="T6" s="225">
        <v>1133.2914297000002</v>
      </c>
      <c r="U6" s="225">
        <v>1305.44</v>
      </c>
      <c r="V6" s="225">
        <v>1355.7149999999999</v>
      </c>
    </row>
    <row r="7" spans="1:22" ht="18">
      <c r="A7" s="153" t="s">
        <v>97</v>
      </c>
      <c r="B7" s="225"/>
      <c r="C7" s="225"/>
      <c r="D7" s="225"/>
      <c r="E7" s="225"/>
      <c r="F7" s="225"/>
      <c r="G7" s="225"/>
      <c r="H7" s="225"/>
      <c r="I7" s="225"/>
      <c r="J7" s="225">
        <v>48.5</v>
      </c>
      <c r="K7" s="225">
        <v>134.05000000000001</v>
      </c>
      <c r="L7" s="225">
        <v>229.02</v>
      </c>
      <c r="M7" s="225">
        <v>338.9</v>
      </c>
      <c r="N7" s="225">
        <v>396.57</v>
      </c>
      <c r="O7" s="225">
        <v>520.44000000000005</v>
      </c>
      <c r="P7" s="225">
        <v>602.58900000000006</v>
      </c>
      <c r="Q7" s="225">
        <v>746.29882369999996</v>
      </c>
      <c r="R7" s="225">
        <v>968.22375539999996</v>
      </c>
      <c r="S7" s="225">
        <v>1125.98173</v>
      </c>
      <c r="T7" s="225">
        <v>1312.637802</v>
      </c>
      <c r="U7" s="225">
        <v>1456.893082</v>
      </c>
      <c r="V7" s="225">
        <v>1522.098761</v>
      </c>
    </row>
    <row r="8" spans="1:22" ht="18">
      <c r="A8" s="153" t="s">
        <v>92</v>
      </c>
      <c r="B8" s="225"/>
      <c r="C8" s="225"/>
      <c r="D8" s="225"/>
      <c r="E8" s="225"/>
      <c r="F8" s="225">
        <v>233.20000000000002</v>
      </c>
      <c r="G8" s="225">
        <v>271.2</v>
      </c>
      <c r="H8" s="225">
        <v>342.90000000000003</v>
      </c>
      <c r="I8" s="225">
        <v>377.3</v>
      </c>
      <c r="J8" s="225">
        <v>379.59999999999997</v>
      </c>
      <c r="K8" s="225">
        <v>406</v>
      </c>
      <c r="L8" s="225">
        <v>395.20000000000005</v>
      </c>
      <c r="M8" s="225">
        <v>405.6</v>
      </c>
      <c r="N8" s="225">
        <v>456</v>
      </c>
      <c r="O8" s="225">
        <v>451.5</v>
      </c>
      <c r="P8" s="225">
        <v>493.32</v>
      </c>
      <c r="Q8" s="225">
        <v>470.1</v>
      </c>
      <c r="R8" s="225">
        <v>479.3</v>
      </c>
      <c r="S8" s="225">
        <v>451.26</v>
      </c>
      <c r="T8" s="225">
        <v>479.18299999999999</v>
      </c>
      <c r="U8" s="225">
        <v>474.22</v>
      </c>
      <c r="V8" s="225">
        <v>454.64</v>
      </c>
    </row>
    <row r="9" spans="1:22" ht="18">
      <c r="A9" s="153" t="s">
        <v>517</v>
      </c>
      <c r="B9" s="226"/>
      <c r="C9" s="226"/>
      <c r="D9" s="226"/>
      <c r="E9" s="226"/>
      <c r="F9" s="226"/>
      <c r="G9" s="226"/>
      <c r="H9" s="226">
        <v>1515.8000000000002</v>
      </c>
      <c r="I9" s="226">
        <v>1691.8000000000002</v>
      </c>
      <c r="J9" s="226"/>
      <c r="K9" s="226"/>
      <c r="L9" s="226"/>
      <c r="M9" s="226"/>
      <c r="N9" s="226"/>
      <c r="O9" s="226"/>
      <c r="P9" s="226"/>
      <c r="Q9" s="226"/>
      <c r="R9" s="226"/>
      <c r="S9" s="226"/>
      <c r="T9" s="226"/>
      <c r="U9" s="226"/>
      <c r="V9" s="226"/>
    </row>
    <row r="10" spans="1:22" ht="18">
      <c r="A10" s="153" t="s">
        <v>159</v>
      </c>
      <c r="B10" s="226">
        <v>84.8</v>
      </c>
      <c r="C10" s="226">
        <v>141.6</v>
      </c>
      <c r="D10" s="226">
        <v>243.9</v>
      </c>
      <c r="E10" s="226">
        <v>325.2</v>
      </c>
      <c r="F10" s="226">
        <v>619.29999999999995</v>
      </c>
      <c r="G10" s="226">
        <v>690.30000000000007</v>
      </c>
      <c r="H10" s="226">
        <v>1030.7</v>
      </c>
      <c r="I10" s="226"/>
      <c r="J10" s="226"/>
      <c r="K10" s="226"/>
      <c r="L10" s="226"/>
      <c r="M10" s="226"/>
      <c r="N10" s="226"/>
      <c r="O10" s="226"/>
      <c r="P10" s="226"/>
      <c r="Q10" s="226"/>
      <c r="R10" s="226"/>
      <c r="S10" s="226"/>
      <c r="T10" s="226"/>
      <c r="U10" s="226"/>
      <c r="V10" s="226"/>
    </row>
    <row r="11" spans="1:22" ht="18">
      <c r="A11" s="153" t="s">
        <v>247</v>
      </c>
      <c r="B11" s="226"/>
      <c r="C11" s="226">
        <v>20.100000000000001</v>
      </c>
      <c r="D11" s="226">
        <v>88.9</v>
      </c>
      <c r="E11" s="226">
        <v>110.1</v>
      </c>
      <c r="F11" s="226">
        <v>207.7</v>
      </c>
      <c r="G11" s="226">
        <v>370.8</v>
      </c>
      <c r="H11" s="226">
        <v>490.9</v>
      </c>
      <c r="I11" s="226">
        <v>523.69999999999993</v>
      </c>
      <c r="J11" s="226">
        <v>553.9</v>
      </c>
      <c r="K11" s="226">
        <v>561.6</v>
      </c>
      <c r="L11" s="226"/>
      <c r="M11" s="226"/>
      <c r="N11" s="226"/>
      <c r="O11" s="226"/>
      <c r="P11" s="226"/>
      <c r="Q11" s="226"/>
      <c r="R11" s="226"/>
      <c r="S11" s="226"/>
      <c r="T11" s="226"/>
      <c r="U11" s="226"/>
      <c r="V11" s="226"/>
    </row>
    <row r="12" spans="1:22" ht="18">
      <c r="A12" s="153" t="s">
        <v>105</v>
      </c>
      <c r="B12" s="225"/>
      <c r="C12" s="225"/>
      <c r="D12" s="225"/>
      <c r="E12" s="225"/>
      <c r="F12" s="225"/>
      <c r="G12" s="225"/>
      <c r="H12" s="225"/>
      <c r="I12" s="225"/>
      <c r="J12" s="225"/>
      <c r="K12" s="225"/>
      <c r="L12" s="225"/>
      <c r="M12" s="225"/>
      <c r="N12" s="225"/>
      <c r="O12" s="225"/>
      <c r="P12" s="225"/>
      <c r="Q12" s="225"/>
      <c r="R12" s="225"/>
      <c r="S12" s="225">
        <v>244.64</v>
      </c>
      <c r="T12" s="225">
        <v>377.05399999999997</v>
      </c>
      <c r="U12" s="225">
        <v>447.988</v>
      </c>
      <c r="V12" s="225">
        <v>541.77800000000002</v>
      </c>
    </row>
    <row r="13" spans="1:22" ht="18">
      <c r="A13" s="153" t="s">
        <v>99</v>
      </c>
      <c r="B13" s="225"/>
      <c r="C13" s="225"/>
      <c r="D13" s="225"/>
      <c r="E13" s="225"/>
      <c r="F13" s="225"/>
      <c r="G13" s="225"/>
      <c r="H13" s="225"/>
      <c r="I13" s="225"/>
      <c r="J13" s="225">
        <v>34.409999999999997</v>
      </c>
      <c r="K13" s="225">
        <v>48.9</v>
      </c>
      <c r="L13" s="225">
        <v>61.94</v>
      </c>
      <c r="M13" s="225">
        <v>85.77</v>
      </c>
      <c r="N13" s="225">
        <v>105.09</v>
      </c>
      <c r="O13" s="225">
        <v>95.7</v>
      </c>
      <c r="P13" s="225">
        <v>82.91</v>
      </c>
      <c r="Q13" s="225">
        <v>147.30000000000001</v>
      </c>
      <c r="R13" s="225">
        <v>147.80000000000001</v>
      </c>
      <c r="S13" s="225">
        <v>175.4</v>
      </c>
      <c r="T13" s="225">
        <v>167</v>
      </c>
      <c r="U13" s="225">
        <v>130</v>
      </c>
      <c r="V13" s="225">
        <v>134.69999999999999</v>
      </c>
    </row>
    <row r="14" spans="1:22" ht="18">
      <c r="A14" s="153" t="s">
        <v>153</v>
      </c>
      <c r="B14" s="226">
        <v>147.744</v>
      </c>
      <c r="C14" s="226">
        <v>228.768</v>
      </c>
      <c r="D14" s="226">
        <v>192.38399999999999</v>
      </c>
      <c r="E14" s="226">
        <v>216.19199999999998</v>
      </c>
      <c r="F14" s="226">
        <v>497</v>
      </c>
      <c r="G14" s="226"/>
      <c r="H14" s="226"/>
      <c r="I14" s="226"/>
      <c r="J14" s="226"/>
      <c r="K14" s="226"/>
      <c r="L14" s="226"/>
      <c r="M14" s="226"/>
      <c r="N14" s="226"/>
      <c r="O14" s="226"/>
      <c r="P14" s="226"/>
      <c r="Q14" s="226"/>
      <c r="R14" s="226"/>
      <c r="S14" s="226"/>
      <c r="T14" s="226"/>
      <c r="U14" s="226"/>
      <c r="V14" s="226"/>
    </row>
    <row r="15" spans="1:22" ht="18">
      <c r="A15" s="153" t="s">
        <v>157</v>
      </c>
      <c r="B15" s="226">
        <v>73.900000000000006</v>
      </c>
      <c r="C15" s="226">
        <v>113</v>
      </c>
      <c r="D15" s="226">
        <v>142.4</v>
      </c>
      <c r="E15" s="226">
        <v>169.5</v>
      </c>
      <c r="F15" s="226">
        <v>266.35232469999994</v>
      </c>
      <c r="G15" s="226">
        <v>449.79999999999995</v>
      </c>
      <c r="H15" s="226"/>
      <c r="I15" s="226"/>
      <c r="J15" s="226"/>
      <c r="K15" s="226"/>
      <c r="L15" s="226"/>
      <c r="M15" s="226"/>
      <c r="N15" s="226"/>
      <c r="O15" s="226"/>
      <c r="P15" s="226"/>
      <c r="Q15" s="226"/>
      <c r="R15" s="226"/>
      <c r="S15" s="226"/>
      <c r="T15" s="226"/>
      <c r="U15" s="226"/>
      <c r="V15" s="226"/>
    </row>
    <row r="16" spans="1:22" ht="18">
      <c r="A16" s="153" t="s">
        <v>518</v>
      </c>
      <c r="B16" s="226"/>
      <c r="C16" s="226"/>
      <c r="D16" s="226"/>
      <c r="E16" s="226"/>
      <c r="F16" s="226"/>
      <c r="G16" s="226"/>
      <c r="H16" s="226">
        <v>97.7</v>
      </c>
      <c r="I16" s="226">
        <v>61.9</v>
      </c>
      <c r="J16" s="226">
        <v>66.5</v>
      </c>
      <c r="K16" s="226">
        <v>73.2</v>
      </c>
      <c r="L16" s="226">
        <v>76.900000000000006</v>
      </c>
      <c r="M16" s="226">
        <v>65.034689</v>
      </c>
      <c r="N16" s="226">
        <v>91.322626000000014</v>
      </c>
      <c r="O16" s="226">
        <v>90.805691999999993</v>
      </c>
      <c r="P16" s="226">
        <v>71.728610000000003</v>
      </c>
      <c r="Q16" s="226">
        <v>65.923870999999991</v>
      </c>
      <c r="R16" s="226">
        <v>64.41</v>
      </c>
      <c r="S16" s="226"/>
      <c r="T16" s="226"/>
      <c r="U16" s="226"/>
      <c r="V16" s="226"/>
    </row>
    <row r="17" spans="1:23" ht="18">
      <c r="A17" s="153" t="s">
        <v>91</v>
      </c>
      <c r="B17" s="225"/>
      <c r="C17" s="225"/>
      <c r="D17" s="225"/>
      <c r="E17" s="225"/>
      <c r="F17" s="225"/>
      <c r="G17" s="225"/>
      <c r="H17" s="225"/>
      <c r="I17" s="225"/>
      <c r="J17" s="225"/>
      <c r="K17" s="225"/>
      <c r="L17" s="225"/>
      <c r="M17" s="225"/>
      <c r="N17" s="225"/>
      <c r="O17" s="225"/>
      <c r="P17" s="226"/>
      <c r="Q17" s="226">
        <v>44.550000000000011</v>
      </c>
      <c r="R17" s="226">
        <v>124.63000000000005</v>
      </c>
      <c r="S17" s="226">
        <v>159.98000000000002</v>
      </c>
      <c r="T17" s="226">
        <v>167.52999999999997</v>
      </c>
      <c r="U17" s="226">
        <v>211.14999999999986</v>
      </c>
      <c r="V17" s="226">
        <v>288.58000000000015</v>
      </c>
    </row>
    <row r="18" spans="1:23" ht="18">
      <c r="A18" s="153" t="s">
        <v>447</v>
      </c>
      <c r="B18" s="225"/>
      <c r="C18" s="225"/>
      <c r="D18" s="225">
        <v>17.8</v>
      </c>
      <c r="E18" s="225">
        <v>24.7</v>
      </c>
      <c r="F18" s="225">
        <v>32.200000000000003</v>
      </c>
      <c r="G18" s="225">
        <v>39.299999999999997</v>
      </c>
      <c r="H18" s="225">
        <v>49.3</v>
      </c>
      <c r="I18" s="225">
        <v>47</v>
      </c>
      <c r="J18" s="225">
        <v>49.1</v>
      </c>
      <c r="K18" s="225">
        <v>50.4</v>
      </c>
      <c r="L18" s="225">
        <v>50.8</v>
      </c>
      <c r="M18" s="225">
        <v>47.5</v>
      </c>
      <c r="N18" s="225">
        <v>42.7</v>
      </c>
      <c r="O18" s="225">
        <v>41</v>
      </c>
      <c r="P18" s="225">
        <v>40.4</v>
      </c>
      <c r="Q18" s="225">
        <v>38.64</v>
      </c>
      <c r="R18" s="225">
        <v>36.299999999999997</v>
      </c>
      <c r="S18" s="225">
        <v>34.28</v>
      </c>
      <c r="T18" s="225">
        <v>32.22</v>
      </c>
      <c r="U18" s="225">
        <v>30.38</v>
      </c>
      <c r="V18" s="225">
        <v>28.91</v>
      </c>
    </row>
    <row r="19" spans="1:23" ht="18">
      <c r="A19" s="153" t="s">
        <v>519</v>
      </c>
      <c r="B19" s="226">
        <v>58.4</v>
      </c>
      <c r="C19" s="226">
        <v>72.5</v>
      </c>
      <c r="D19" s="226">
        <v>227.5</v>
      </c>
      <c r="E19" s="226">
        <v>307.7</v>
      </c>
      <c r="F19" s="226"/>
      <c r="G19" s="226"/>
      <c r="H19" s="226"/>
      <c r="I19" s="226"/>
      <c r="J19" s="226"/>
      <c r="K19" s="226"/>
      <c r="L19" s="226"/>
      <c r="M19" s="226"/>
      <c r="N19" s="226"/>
      <c r="O19" s="226"/>
      <c r="P19" s="226"/>
      <c r="Q19" s="226"/>
      <c r="R19" s="226"/>
      <c r="S19" s="226"/>
      <c r="T19" s="226"/>
      <c r="U19" s="226"/>
      <c r="V19" s="226"/>
    </row>
    <row r="20" spans="1:23" ht="18">
      <c r="A20" s="153" t="s">
        <v>512</v>
      </c>
      <c r="B20" s="225"/>
      <c r="C20" s="225"/>
      <c r="D20" s="225"/>
      <c r="E20" s="225"/>
      <c r="F20" s="225"/>
      <c r="G20" s="225"/>
      <c r="H20" s="225"/>
      <c r="I20" s="225"/>
      <c r="J20" s="225"/>
      <c r="K20" s="225"/>
      <c r="L20" s="225"/>
      <c r="M20" s="225"/>
      <c r="N20" s="225"/>
      <c r="O20" s="225"/>
      <c r="P20" s="225"/>
      <c r="Q20" s="225"/>
      <c r="R20" s="225">
        <v>36.909999999999997</v>
      </c>
      <c r="S20" s="225">
        <v>46.94</v>
      </c>
      <c r="T20" s="225">
        <v>97.817999999999998</v>
      </c>
      <c r="U20" s="225">
        <v>165.48500000000001</v>
      </c>
      <c r="V20" s="225">
        <v>251.32</v>
      </c>
    </row>
    <row r="21" spans="1:23" ht="18">
      <c r="A21" s="153" t="s">
        <v>520</v>
      </c>
      <c r="B21" s="225"/>
      <c r="C21" s="225"/>
      <c r="D21" s="225"/>
      <c r="E21" s="225"/>
      <c r="F21" s="225"/>
      <c r="G21" s="225"/>
      <c r="H21" s="225"/>
      <c r="I21" s="225"/>
      <c r="J21" s="225"/>
      <c r="K21" s="225">
        <v>41.6</v>
      </c>
      <c r="L21" s="225">
        <v>42.4</v>
      </c>
      <c r="M21" s="225">
        <v>43.2</v>
      </c>
      <c r="N21" s="225">
        <v>45.4</v>
      </c>
      <c r="O21" s="225">
        <v>44.4</v>
      </c>
      <c r="P21" s="225">
        <v>45.6</v>
      </c>
      <c r="Q21" s="225">
        <v>44.4</v>
      </c>
      <c r="R21" s="225">
        <v>49.3</v>
      </c>
      <c r="S21" s="225">
        <v>48.183</v>
      </c>
      <c r="T21" s="225">
        <v>46.9</v>
      </c>
      <c r="U21" s="225">
        <v>46.64</v>
      </c>
      <c r="V21" s="225">
        <v>45.7</v>
      </c>
    </row>
    <row r="22" spans="1:23" ht="18">
      <c r="A22" s="153" t="s">
        <v>801</v>
      </c>
      <c r="B22" s="225"/>
      <c r="C22" s="225">
        <v>2.2000000000000002</v>
      </c>
      <c r="D22" s="225">
        <v>3.7</v>
      </c>
      <c r="E22" s="225">
        <v>15.1</v>
      </c>
      <c r="F22" s="225">
        <v>22.1</v>
      </c>
      <c r="G22" s="225">
        <v>24.6</v>
      </c>
      <c r="H22" s="225">
        <v>28.8</v>
      </c>
      <c r="I22" s="225">
        <v>35.200000000000003</v>
      </c>
      <c r="J22" s="225">
        <v>35.700000000000003</v>
      </c>
      <c r="K22" s="225">
        <v>36</v>
      </c>
      <c r="L22" s="225">
        <v>32.9</v>
      </c>
      <c r="M22" s="225">
        <v>31.1</v>
      </c>
      <c r="N22" s="225">
        <v>30.4</v>
      </c>
      <c r="O22" s="225">
        <v>27.5</v>
      </c>
      <c r="P22" s="225">
        <v>25.2</v>
      </c>
      <c r="Q22" s="225">
        <v>23.93</v>
      </c>
      <c r="R22" s="225">
        <v>21.79</v>
      </c>
      <c r="S22" s="225">
        <v>20.218940999999997</v>
      </c>
      <c r="T22" s="225">
        <v>20.3746268457</v>
      </c>
      <c r="U22" s="225">
        <v>21.057176845030952</v>
      </c>
      <c r="V22" s="225">
        <v>21.89946391883219</v>
      </c>
    </row>
    <row r="23" spans="1:23" ht="18">
      <c r="A23" s="153" t="s">
        <v>454</v>
      </c>
      <c r="B23" s="225"/>
      <c r="C23" s="225"/>
      <c r="D23" s="225"/>
      <c r="E23" s="225"/>
      <c r="F23" s="225"/>
      <c r="G23" s="225"/>
      <c r="H23" s="225"/>
      <c r="I23" s="225">
        <v>30.08</v>
      </c>
      <c r="J23" s="225">
        <v>30.2</v>
      </c>
      <c r="K23" s="225">
        <v>30.81</v>
      </c>
      <c r="L23" s="225">
        <v>31.11</v>
      </c>
      <c r="M23" s="225">
        <v>31.94</v>
      </c>
      <c r="N23" s="225">
        <v>39.099999999999994</v>
      </c>
      <c r="O23" s="225">
        <v>37.49</v>
      </c>
      <c r="P23" s="225">
        <v>35.17</v>
      </c>
      <c r="Q23" s="225">
        <v>34.36</v>
      </c>
      <c r="R23" s="225">
        <v>34.89</v>
      </c>
      <c r="S23" s="225">
        <v>35.269999999999996</v>
      </c>
      <c r="T23" s="225">
        <v>36.08</v>
      </c>
      <c r="U23" s="225">
        <v>37.5</v>
      </c>
      <c r="V23" s="225">
        <v>35.147199999999998</v>
      </c>
    </row>
    <row r="24" spans="1:23" ht="18">
      <c r="A24" s="153" t="s">
        <v>265</v>
      </c>
      <c r="B24" s="226"/>
      <c r="C24" s="226">
        <v>100.9</v>
      </c>
      <c r="D24" s="226">
        <v>167</v>
      </c>
      <c r="E24" s="226">
        <v>211.2</v>
      </c>
      <c r="F24" s="226"/>
      <c r="G24" s="226"/>
      <c r="H24" s="226"/>
      <c r="I24" s="226"/>
      <c r="J24" s="226"/>
      <c r="K24" s="226"/>
      <c r="L24" s="226"/>
      <c r="M24" s="226"/>
      <c r="N24" s="226"/>
      <c r="O24" s="226"/>
      <c r="P24" s="226"/>
      <c r="Q24" s="226"/>
      <c r="R24" s="226"/>
      <c r="S24" s="226"/>
      <c r="T24" s="226"/>
      <c r="U24" s="226"/>
      <c r="V24" s="226"/>
    </row>
    <row r="25" spans="1:23" ht="18">
      <c r="A25" s="153" t="s">
        <v>96</v>
      </c>
      <c r="B25" s="225">
        <v>6.6</v>
      </c>
      <c r="C25" s="225">
        <v>18.399999999999999</v>
      </c>
      <c r="D25" s="225">
        <v>66.2</v>
      </c>
      <c r="E25" s="225">
        <v>70</v>
      </c>
      <c r="F25" s="225">
        <v>37.200000000000003</v>
      </c>
      <c r="G25" s="225">
        <v>113</v>
      </c>
      <c r="H25" s="225"/>
      <c r="I25" s="225"/>
      <c r="J25" s="225">
        <v>19.3</v>
      </c>
      <c r="K25" s="225">
        <v>21.4</v>
      </c>
      <c r="L25" s="225">
        <v>19.7</v>
      </c>
      <c r="M25" s="225">
        <v>17.7</v>
      </c>
      <c r="N25" s="225">
        <v>15.1</v>
      </c>
      <c r="O25" s="225">
        <v>12.9</v>
      </c>
      <c r="P25" s="225">
        <v>11</v>
      </c>
      <c r="Q25" s="225">
        <v>10.76</v>
      </c>
      <c r="R25" s="225">
        <v>9.1199999999999992</v>
      </c>
      <c r="S25" s="225">
        <v>8.2799999999999994</v>
      </c>
      <c r="T25" s="225">
        <v>5.91</v>
      </c>
      <c r="U25" s="225">
        <v>5.0599999999999996</v>
      </c>
      <c r="V25" s="225">
        <v>4.4800000000000004</v>
      </c>
    </row>
    <row r="26" spans="1:23" ht="18">
      <c r="A26" s="153" t="s">
        <v>695</v>
      </c>
      <c r="B26" s="226"/>
      <c r="C26" s="226"/>
      <c r="D26" s="226"/>
      <c r="E26" s="226"/>
      <c r="F26" s="226"/>
      <c r="G26" s="226"/>
      <c r="H26" s="226"/>
      <c r="I26" s="226"/>
      <c r="J26" s="226"/>
      <c r="K26" s="226"/>
      <c r="L26" s="226">
        <v>76.5</v>
      </c>
      <c r="M26" s="226">
        <v>81.2</v>
      </c>
      <c r="N26" s="226">
        <v>82.3</v>
      </c>
      <c r="O26" s="226">
        <v>66.3</v>
      </c>
      <c r="P26" s="226">
        <v>58.2</v>
      </c>
      <c r="Q26" s="226">
        <v>55.38</v>
      </c>
      <c r="R26" s="226">
        <v>51.4</v>
      </c>
      <c r="S26" s="226"/>
      <c r="T26" s="226"/>
      <c r="U26" s="226"/>
      <c r="V26" s="226"/>
    </row>
    <row r="27" spans="1:23" ht="18">
      <c r="A27" s="153" t="s">
        <v>802</v>
      </c>
      <c r="B27" s="225"/>
      <c r="C27" s="225"/>
      <c r="D27" s="225"/>
      <c r="E27" s="225"/>
      <c r="F27" s="225"/>
      <c r="G27" s="225"/>
      <c r="H27" s="225"/>
      <c r="I27" s="225">
        <v>19.989999999999998</v>
      </c>
      <c r="J27" s="225">
        <v>22.67</v>
      </c>
      <c r="K27" s="225">
        <v>25.25</v>
      </c>
      <c r="L27" s="225">
        <v>33.54</v>
      </c>
      <c r="M27" s="225">
        <v>33.78</v>
      </c>
      <c r="N27" s="225">
        <v>33.200000000000003</v>
      </c>
      <c r="O27" s="225">
        <v>37.1</v>
      </c>
      <c r="P27" s="225">
        <v>35.19</v>
      </c>
      <c r="Q27" s="225">
        <v>37.229999999999997</v>
      </c>
      <c r="R27" s="225">
        <v>37.67</v>
      </c>
      <c r="S27" s="225">
        <v>34.6</v>
      </c>
      <c r="T27" s="225">
        <v>38</v>
      </c>
      <c r="U27" s="225">
        <v>37.090000000000003</v>
      </c>
      <c r="V27" s="225">
        <v>38.53</v>
      </c>
    </row>
    <row r="28" spans="1:23" s="59" customFormat="1" ht="18">
      <c r="A28" s="153" t="s">
        <v>803</v>
      </c>
      <c r="B28" s="225">
        <v>7</v>
      </c>
      <c r="C28" s="225">
        <v>11.5</v>
      </c>
      <c r="D28" s="225">
        <v>15.9</v>
      </c>
      <c r="E28" s="225">
        <v>17.399999999999999</v>
      </c>
      <c r="F28" s="225">
        <v>21.4</v>
      </c>
      <c r="G28" s="225">
        <v>20.5</v>
      </c>
      <c r="H28" s="225">
        <v>21.8</v>
      </c>
      <c r="I28" s="225">
        <v>24</v>
      </c>
      <c r="J28" s="225">
        <v>22.7</v>
      </c>
      <c r="K28" s="225">
        <v>23.3</v>
      </c>
      <c r="L28" s="225">
        <v>21.93</v>
      </c>
      <c r="M28" s="225">
        <v>22.1</v>
      </c>
      <c r="N28" s="225">
        <v>17.53</v>
      </c>
      <c r="O28" s="225">
        <v>17.95</v>
      </c>
      <c r="P28" s="225">
        <v>16.73</v>
      </c>
      <c r="Q28" s="225">
        <v>15.96</v>
      </c>
      <c r="R28" s="225">
        <v>16.420000000000002</v>
      </c>
      <c r="S28" s="225">
        <v>17.55</v>
      </c>
      <c r="T28" s="225">
        <v>18.239999999999998</v>
      </c>
      <c r="U28" s="225">
        <v>22.05</v>
      </c>
      <c r="V28" s="225">
        <v>20.62</v>
      </c>
      <c r="W28" s="36"/>
    </row>
    <row r="29" spans="1:23" ht="18">
      <c r="A29" s="153" t="s">
        <v>162</v>
      </c>
      <c r="B29" s="226">
        <v>55.4</v>
      </c>
      <c r="C29" s="226">
        <v>67.400000000000006</v>
      </c>
      <c r="D29" s="226">
        <v>105.5</v>
      </c>
      <c r="E29" s="226">
        <v>65.099999999999994</v>
      </c>
      <c r="F29" s="226">
        <v>52</v>
      </c>
      <c r="G29" s="226"/>
      <c r="H29" s="226"/>
      <c r="I29" s="226"/>
      <c r="J29" s="226"/>
      <c r="K29" s="226"/>
      <c r="L29" s="226"/>
      <c r="M29" s="226"/>
      <c r="N29" s="226"/>
      <c r="O29" s="226"/>
      <c r="P29" s="226"/>
      <c r="Q29" s="226"/>
      <c r="R29" s="226"/>
      <c r="S29" s="226"/>
      <c r="T29" s="226"/>
      <c r="U29" s="226"/>
      <c r="V29" s="226"/>
    </row>
    <row r="30" spans="1:23" ht="18">
      <c r="A30" s="153" t="s">
        <v>248</v>
      </c>
      <c r="B30" s="226"/>
      <c r="C30" s="226"/>
      <c r="D30" s="226"/>
      <c r="E30" s="226"/>
      <c r="F30" s="226">
        <v>101.3</v>
      </c>
      <c r="G30" s="226">
        <v>239.1</v>
      </c>
      <c r="H30" s="226"/>
      <c r="I30" s="226"/>
      <c r="J30" s="226"/>
      <c r="K30" s="226"/>
      <c r="L30" s="226"/>
      <c r="M30" s="226"/>
      <c r="N30" s="226"/>
      <c r="O30" s="226"/>
      <c r="P30" s="226"/>
      <c r="Q30" s="226"/>
      <c r="R30" s="226"/>
      <c r="S30" s="226"/>
      <c r="T30" s="226"/>
      <c r="U30" s="226"/>
      <c r="V30" s="226"/>
    </row>
    <row r="31" spans="1:23" ht="18">
      <c r="A31" s="153" t="s">
        <v>804</v>
      </c>
      <c r="B31" s="226"/>
      <c r="C31" s="226">
        <v>31.1</v>
      </c>
      <c r="D31" s="226">
        <v>95.1</v>
      </c>
      <c r="E31" s="226">
        <v>203.6</v>
      </c>
      <c r="F31" s="226"/>
      <c r="G31" s="226"/>
      <c r="H31" s="226"/>
      <c r="I31" s="226"/>
      <c r="J31" s="226"/>
      <c r="K31" s="226"/>
      <c r="L31" s="226"/>
      <c r="M31" s="226"/>
      <c r="N31" s="226"/>
      <c r="O31" s="226"/>
      <c r="P31" s="226"/>
      <c r="Q31" s="226"/>
      <c r="R31" s="226"/>
      <c r="S31" s="226"/>
      <c r="T31" s="226"/>
      <c r="U31" s="226"/>
      <c r="V31" s="226"/>
    </row>
    <row r="32" spans="1:23" ht="18">
      <c r="A32" s="153" t="s">
        <v>507</v>
      </c>
      <c r="B32" s="225"/>
      <c r="C32" s="225"/>
      <c r="D32" s="225"/>
      <c r="E32" s="225"/>
      <c r="F32" s="225"/>
      <c r="G32" s="225"/>
      <c r="H32" s="225"/>
      <c r="I32" s="225"/>
      <c r="J32" s="225"/>
      <c r="K32" s="225"/>
      <c r="L32" s="225"/>
      <c r="M32" s="225"/>
      <c r="N32" s="225"/>
      <c r="O32" s="225"/>
      <c r="P32" s="225"/>
      <c r="Q32" s="225">
        <v>1.4</v>
      </c>
      <c r="R32" s="225">
        <v>92.11</v>
      </c>
      <c r="S32" s="225">
        <v>17.398800000000001</v>
      </c>
      <c r="T32" s="225">
        <v>24.434806418266742</v>
      </c>
      <c r="U32" s="225">
        <v>37.768799999999999</v>
      </c>
      <c r="V32" s="225">
        <v>54.357900000000001</v>
      </c>
    </row>
    <row r="33" spans="1:22" ht="18">
      <c r="A33" s="153" t="s">
        <v>805</v>
      </c>
      <c r="B33" s="226">
        <v>23.8</v>
      </c>
      <c r="C33" s="226">
        <v>51.4</v>
      </c>
      <c r="D33" s="226">
        <v>61.3</v>
      </c>
      <c r="E33" s="226">
        <v>64.2</v>
      </c>
      <c r="F33" s="226"/>
      <c r="G33" s="225"/>
      <c r="H33" s="226"/>
      <c r="I33" s="226"/>
      <c r="J33" s="226"/>
      <c r="K33" s="226"/>
      <c r="L33" s="226"/>
      <c r="M33" s="226"/>
      <c r="N33" s="226"/>
      <c r="O33" s="226"/>
      <c r="P33" s="226"/>
      <c r="Q33" s="226"/>
      <c r="R33" s="226"/>
      <c r="S33" s="226"/>
      <c r="T33" s="226"/>
      <c r="U33" s="226"/>
      <c r="V33" s="226"/>
    </row>
    <row r="34" spans="1:22" ht="18">
      <c r="A34" s="153" t="s">
        <v>806</v>
      </c>
      <c r="B34" s="225"/>
      <c r="C34" s="225"/>
      <c r="D34" s="225"/>
      <c r="E34" s="225"/>
      <c r="F34" s="225"/>
      <c r="G34" s="225"/>
      <c r="H34" s="225"/>
      <c r="I34" s="225"/>
      <c r="J34" s="225"/>
      <c r="K34" s="225"/>
      <c r="L34" s="225"/>
      <c r="M34" s="225"/>
      <c r="N34" s="225"/>
      <c r="O34" s="225"/>
      <c r="P34" s="225"/>
      <c r="Q34" s="225"/>
      <c r="R34" s="225"/>
      <c r="S34" s="225">
        <v>49.27</v>
      </c>
      <c r="T34" s="225">
        <v>47.36</v>
      </c>
      <c r="U34" s="225">
        <v>40.020000000000003</v>
      </c>
      <c r="V34" s="225">
        <v>39.26</v>
      </c>
    </row>
    <row r="35" spans="1:22" ht="18">
      <c r="A35" s="153" t="s">
        <v>156</v>
      </c>
      <c r="B35" s="226">
        <v>69.900000000000006</v>
      </c>
      <c r="C35" s="226">
        <v>81.8</v>
      </c>
      <c r="D35" s="541"/>
      <c r="E35" s="225"/>
      <c r="F35" s="226"/>
      <c r="G35" s="226"/>
      <c r="H35" s="226"/>
      <c r="I35" s="226"/>
      <c r="J35" s="226"/>
      <c r="K35" s="226"/>
      <c r="L35" s="226"/>
      <c r="M35" s="226"/>
      <c r="N35" s="226"/>
      <c r="O35" s="226"/>
      <c r="P35" s="226"/>
      <c r="Q35" s="226"/>
      <c r="R35" s="226"/>
      <c r="S35" s="226"/>
      <c r="T35" s="226"/>
      <c r="U35" s="226"/>
      <c r="V35" s="226"/>
    </row>
    <row r="36" spans="1:22" ht="18">
      <c r="A36" s="153" t="s">
        <v>151</v>
      </c>
      <c r="B36" s="226">
        <v>34.750699999999995</v>
      </c>
      <c r="C36" s="226">
        <v>48.085200000000007</v>
      </c>
      <c r="D36" s="226">
        <v>67.009177668162323</v>
      </c>
      <c r="E36" s="226"/>
      <c r="F36" s="226"/>
      <c r="G36" s="226"/>
      <c r="H36" s="226"/>
      <c r="I36" s="226"/>
      <c r="J36" s="226"/>
      <c r="K36" s="226"/>
      <c r="L36" s="226"/>
      <c r="M36" s="226"/>
      <c r="N36" s="226"/>
      <c r="O36" s="226"/>
      <c r="P36" s="226"/>
      <c r="Q36" s="226"/>
      <c r="R36" s="226"/>
      <c r="S36" s="226"/>
      <c r="T36" s="226"/>
      <c r="U36" s="226"/>
      <c r="V36" s="226"/>
    </row>
    <row r="37" spans="1:22" ht="18">
      <c r="A37" s="153" t="s">
        <v>94</v>
      </c>
      <c r="B37" s="225"/>
      <c r="C37" s="225"/>
      <c r="D37" s="225"/>
      <c r="E37" s="225"/>
      <c r="F37" s="225"/>
      <c r="G37" s="225"/>
      <c r="H37" s="225"/>
      <c r="I37" s="225"/>
      <c r="J37" s="225"/>
      <c r="K37" s="225"/>
      <c r="L37" s="225"/>
      <c r="M37" s="225"/>
      <c r="N37" s="225"/>
      <c r="O37" s="225"/>
      <c r="P37" s="225">
        <v>1.77</v>
      </c>
      <c r="Q37" s="225">
        <v>3.1</v>
      </c>
      <c r="R37" s="225">
        <v>7.45</v>
      </c>
      <c r="S37" s="225">
        <v>16.43</v>
      </c>
      <c r="T37" s="225">
        <v>18.05</v>
      </c>
      <c r="U37" s="225">
        <v>34.369999999999997</v>
      </c>
      <c r="V37" s="225">
        <v>45.58</v>
      </c>
    </row>
    <row r="38" spans="1:22" ht="18">
      <c r="A38" s="153" t="s">
        <v>807</v>
      </c>
      <c r="B38" s="225"/>
      <c r="C38" s="225"/>
      <c r="D38" s="225"/>
      <c r="E38" s="225"/>
      <c r="F38" s="225"/>
      <c r="G38" s="225"/>
      <c r="H38" s="225"/>
      <c r="I38" s="225"/>
      <c r="J38" s="225"/>
      <c r="K38" s="225"/>
      <c r="L38" s="225"/>
      <c r="M38" s="225"/>
      <c r="N38" s="225">
        <v>13.15</v>
      </c>
      <c r="O38" s="225">
        <v>13.47</v>
      </c>
      <c r="P38" s="225">
        <v>12.55</v>
      </c>
      <c r="Q38" s="225">
        <v>11.97</v>
      </c>
      <c r="R38" s="225">
        <v>12.32</v>
      </c>
      <c r="S38" s="225">
        <v>13.16</v>
      </c>
      <c r="T38" s="225">
        <v>13.68</v>
      </c>
      <c r="U38" s="225">
        <v>16.54</v>
      </c>
      <c r="V38" s="225">
        <v>15.47</v>
      </c>
    </row>
    <row r="39" spans="1:22" ht="18">
      <c r="A39" s="153" t="s">
        <v>808</v>
      </c>
      <c r="B39" s="226"/>
      <c r="C39" s="226"/>
      <c r="D39" s="226"/>
      <c r="E39" s="226"/>
      <c r="F39" s="226">
        <v>46</v>
      </c>
      <c r="G39" s="226">
        <v>63.4</v>
      </c>
      <c r="H39" s="226"/>
      <c r="I39" s="226"/>
      <c r="J39" s="226"/>
      <c r="K39" s="226"/>
      <c r="L39" s="226"/>
      <c r="M39" s="226"/>
      <c r="N39" s="226"/>
      <c r="O39" s="226"/>
      <c r="P39" s="226"/>
      <c r="Q39" s="226"/>
      <c r="R39" s="226"/>
      <c r="S39" s="226"/>
      <c r="T39" s="226"/>
      <c r="U39" s="226"/>
      <c r="V39" s="226"/>
    </row>
    <row r="40" spans="1:22" ht="18">
      <c r="A40" s="153" t="s">
        <v>521</v>
      </c>
      <c r="B40" s="226">
        <v>89.3</v>
      </c>
      <c r="C40" s="226"/>
      <c r="D40" s="226"/>
      <c r="E40" s="226"/>
      <c r="F40" s="226"/>
      <c r="G40" s="226"/>
      <c r="H40" s="226"/>
      <c r="I40" s="226"/>
      <c r="J40" s="226"/>
      <c r="K40" s="226"/>
      <c r="L40" s="226"/>
      <c r="M40" s="226"/>
      <c r="N40" s="226"/>
      <c r="O40" s="226"/>
      <c r="P40" s="226"/>
      <c r="Q40" s="226"/>
      <c r="R40" s="226"/>
      <c r="S40" s="226"/>
      <c r="T40" s="226"/>
      <c r="U40" s="226"/>
      <c r="V40" s="226"/>
    </row>
    <row r="41" spans="1:22" ht="18">
      <c r="A41" s="153" t="s">
        <v>809</v>
      </c>
      <c r="B41" s="226">
        <v>14.9</v>
      </c>
      <c r="C41" s="226">
        <v>17.600000000000001</v>
      </c>
      <c r="D41" s="226">
        <v>15.1</v>
      </c>
      <c r="E41" s="226">
        <v>19.8</v>
      </c>
      <c r="F41" s="226"/>
      <c r="G41" s="226"/>
      <c r="H41" s="226"/>
      <c r="I41" s="226"/>
      <c r="J41" s="226"/>
      <c r="K41" s="226"/>
      <c r="L41" s="226"/>
      <c r="M41" s="226"/>
      <c r="N41" s="226"/>
      <c r="O41" s="226"/>
      <c r="P41" s="226"/>
      <c r="Q41" s="226"/>
      <c r="R41" s="226"/>
      <c r="S41" s="226"/>
      <c r="T41" s="226"/>
      <c r="U41" s="226"/>
      <c r="V41" s="226"/>
    </row>
    <row r="42" spans="1:22" ht="18">
      <c r="A42" s="153" t="s">
        <v>810</v>
      </c>
      <c r="B42" s="226"/>
      <c r="C42" s="226"/>
      <c r="D42" s="226"/>
      <c r="E42" s="226"/>
      <c r="F42" s="226"/>
      <c r="G42" s="226"/>
      <c r="H42" s="226">
        <v>17.5</v>
      </c>
      <c r="I42" s="226">
        <v>18.2</v>
      </c>
      <c r="J42" s="226">
        <v>20.3</v>
      </c>
      <c r="K42" s="226"/>
      <c r="L42" s="226"/>
      <c r="M42" s="226"/>
      <c r="N42" s="226"/>
      <c r="O42" s="226"/>
      <c r="P42" s="226"/>
      <c r="Q42" s="226"/>
      <c r="R42" s="226"/>
      <c r="S42" s="226"/>
      <c r="T42" s="226"/>
      <c r="U42" s="226"/>
      <c r="V42" s="226"/>
    </row>
    <row r="43" spans="1:22" ht="18">
      <c r="A43" s="153" t="s">
        <v>811</v>
      </c>
      <c r="B43" s="226"/>
      <c r="C43" s="226"/>
      <c r="D43" s="226">
        <v>8.9</v>
      </c>
      <c r="E43" s="226">
        <v>34.700000000000003</v>
      </c>
      <c r="F43" s="226"/>
      <c r="G43" s="226"/>
      <c r="H43" s="226"/>
      <c r="I43" s="226"/>
      <c r="J43" s="226"/>
      <c r="K43" s="226"/>
      <c r="L43" s="226"/>
      <c r="M43" s="226"/>
      <c r="N43" s="226"/>
      <c r="O43" s="226"/>
      <c r="P43" s="226"/>
      <c r="Q43" s="226"/>
      <c r="R43" s="226"/>
      <c r="S43" s="226"/>
      <c r="T43" s="226"/>
      <c r="U43" s="226"/>
      <c r="V43" s="226"/>
    </row>
    <row r="44" spans="1:22" ht="18">
      <c r="A44" s="153" t="s">
        <v>488</v>
      </c>
      <c r="B44" s="225"/>
      <c r="C44" s="225"/>
      <c r="D44" s="225"/>
      <c r="E44" s="225"/>
      <c r="F44" s="225"/>
      <c r="G44" s="225"/>
      <c r="H44" s="225"/>
      <c r="I44" s="225"/>
      <c r="J44" s="225"/>
      <c r="K44" s="225"/>
      <c r="L44" s="225"/>
      <c r="M44" s="225"/>
      <c r="N44" s="225">
        <v>3.97</v>
      </c>
      <c r="O44" s="225">
        <v>4.9000000000000004</v>
      </c>
      <c r="P44" s="225">
        <v>4.79</v>
      </c>
      <c r="Q44" s="225">
        <v>4.22</v>
      </c>
      <c r="R44" s="225">
        <v>2.6</v>
      </c>
      <c r="S44" s="225">
        <v>3.54</v>
      </c>
      <c r="T44" s="225">
        <v>5.86</v>
      </c>
      <c r="U44" s="225">
        <v>6.0563100000000007</v>
      </c>
      <c r="V44" s="225">
        <v>6.2985624000000007</v>
      </c>
    </row>
    <row r="45" spans="1:22" ht="18">
      <c r="A45" s="153" t="s">
        <v>812</v>
      </c>
      <c r="B45" s="226">
        <v>16.3</v>
      </c>
      <c r="C45" s="226">
        <v>19.2</v>
      </c>
      <c r="D45" s="226"/>
      <c r="E45" s="226"/>
      <c r="F45" s="226"/>
      <c r="G45" s="226"/>
      <c r="H45" s="226"/>
      <c r="I45" s="226"/>
      <c r="J45" s="226"/>
      <c r="K45" s="226"/>
      <c r="L45" s="226"/>
      <c r="M45" s="226"/>
      <c r="N45" s="226"/>
      <c r="O45" s="226"/>
      <c r="P45" s="226"/>
      <c r="Q45" s="226"/>
      <c r="R45" s="226"/>
      <c r="S45" s="226"/>
      <c r="T45" s="226"/>
      <c r="U45" s="226"/>
      <c r="V45" s="226"/>
    </row>
    <row r="46" spans="1:22" ht="18">
      <c r="A46" s="153" t="s">
        <v>813</v>
      </c>
      <c r="B46" s="226">
        <v>15.7</v>
      </c>
      <c r="C46" s="226">
        <v>17</v>
      </c>
      <c r="D46" s="226"/>
      <c r="E46" s="226"/>
      <c r="F46" s="226"/>
      <c r="G46" s="226"/>
      <c r="H46" s="226"/>
      <c r="I46" s="226"/>
      <c r="J46" s="226"/>
      <c r="K46" s="226"/>
      <c r="L46" s="226"/>
      <c r="M46" s="226"/>
      <c r="N46" s="226"/>
      <c r="O46" s="226"/>
      <c r="P46" s="226"/>
      <c r="Q46" s="226"/>
      <c r="R46" s="226"/>
      <c r="S46" s="226"/>
      <c r="T46" s="226"/>
      <c r="U46" s="226"/>
      <c r="V46" s="226"/>
    </row>
    <row r="47" spans="1:22" ht="18">
      <c r="A47" s="153" t="s">
        <v>814</v>
      </c>
      <c r="B47" s="226"/>
      <c r="C47" s="226">
        <v>20</v>
      </c>
      <c r="D47" s="226"/>
      <c r="E47" s="226"/>
      <c r="F47" s="226"/>
      <c r="G47" s="226"/>
      <c r="H47" s="226"/>
      <c r="I47" s="226"/>
      <c r="J47" s="226"/>
      <c r="K47" s="226"/>
      <c r="L47" s="226"/>
      <c r="M47" s="226"/>
      <c r="N47" s="226"/>
      <c r="O47" s="226"/>
      <c r="P47" s="226"/>
      <c r="Q47" s="226"/>
      <c r="R47" s="226"/>
      <c r="S47" s="226"/>
      <c r="T47" s="226"/>
      <c r="U47" s="226"/>
      <c r="V47" s="226"/>
    </row>
    <row r="48" spans="1:22" ht="18">
      <c r="A48" s="153" t="s">
        <v>815</v>
      </c>
      <c r="B48" s="226">
        <v>9</v>
      </c>
      <c r="C48" s="226">
        <v>10.6</v>
      </c>
      <c r="D48" s="226"/>
      <c r="E48" s="226"/>
      <c r="F48" s="226"/>
      <c r="G48" s="226"/>
      <c r="H48" s="226"/>
      <c r="I48" s="226"/>
      <c r="J48" s="226"/>
      <c r="K48" s="226"/>
      <c r="L48" s="226"/>
      <c r="M48" s="226"/>
      <c r="N48" s="226"/>
      <c r="O48" s="226"/>
      <c r="P48" s="226"/>
      <c r="Q48" s="226"/>
      <c r="R48" s="226"/>
      <c r="S48" s="226"/>
      <c r="T48" s="226"/>
      <c r="U48" s="226"/>
      <c r="V48" s="226"/>
    </row>
    <row r="49" spans="1:22" ht="18">
      <c r="A49" s="153" t="s">
        <v>816</v>
      </c>
      <c r="B49" s="226"/>
      <c r="C49" s="226">
        <v>18.7</v>
      </c>
      <c r="D49" s="226"/>
      <c r="E49" s="226"/>
      <c r="F49" s="226"/>
      <c r="G49" s="226"/>
      <c r="H49" s="226"/>
      <c r="I49" s="226"/>
      <c r="J49" s="226"/>
      <c r="K49" s="226"/>
      <c r="L49" s="226"/>
      <c r="M49" s="226"/>
      <c r="N49" s="226"/>
      <c r="O49" s="226"/>
      <c r="P49" s="226"/>
      <c r="Q49" s="226"/>
      <c r="R49" s="226"/>
      <c r="S49" s="226"/>
      <c r="T49" s="226"/>
      <c r="U49" s="226"/>
      <c r="V49" s="226"/>
    </row>
    <row r="50" spans="1:22" ht="18">
      <c r="A50" s="153" t="s">
        <v>817</v>
      </c>
      <c r="B50" s="226">
        <v>5.6</v>
      </c>
      <c r="C50" s="226">
        <v>6.1</v>
      </c>
      <c r="D50" s="226"/>
      <c r="E50" s="226"/>
      <c r="F50" s="226"/>
      <c r="G50" s="226"/>
      <c r="H50" s="226"/>
      <c r="I50" s="226"/>
      <c r="J50" s="226"/>
      <c r="K50" s="226"/>
      <c r="L50" s="226"/>
      <c r="M50" s="226"/>
      <c r="N50" s="226"/>
      <c r="O50" s="226"/>
      <c r="P50" s="226"/>
      <c r="Q50" s="226"/>
      <c r="R50" s="226"/>
      <c r="S50" s="226"/>
      <c r="T50" s="226"/>
      <c r="U50" s="226"/>
      <c r="V50" s="226"/>
    </row>
    <row r="51" spans="1:22" ht="18">
      <c r="A51" s="153" t="s">
        <v>818</v>
      </c>
      <c r="B51" s="226">
        <v>4.4000000000000004</v>
      </c>
      <c r="C51" s="226">
        <v>5.0999999999999996</v>
      </c>
      <c r="D51" s="226"/>
      <c r="E51" s="226"/>
      <c r="F51" s="226"/>
      <c r="G51" s="226"/>
      <c r="H51" s="226"/>
      <c r="I51" s="226"/>
      <c r="J51" s="226"/>
      <c r="K51" s="226"/>
      <c r="L51" s="226"/>
      <c r="M51" s="226"/>
      <c r="N51" s="226"/>
      <c r="O51" s="226"/>
      <c r="P51" s="226"/>
      <c r="Q51" s="226"/>
      <c r="R51" s="226"/>
      <c r="S51" s="226"/>
      <c r="T51" s="226"/>
      <c r="U51" s="226"/>
      <c r="V51" s="226"/>
    </row>
    <row r="52" spans="1:22" ht="18">
      <c r="A52" s="153" t="s">
        <v>121</v>
      </c>
      <c r="B52" s="225">
        <v>0.7</v>
      </c>
      <c r="C52" s="225">
        <v>22</v>
      </c>
      <c r="D52" s="225">
        <v>58.084000000000003</v>
      </c>
      <c r="E52" s="225">
        <v>55.479999999999883</v>
      </c>
      <c r="F52" s="225">
        <v>337.33100000000036</v>
      </c>
      <c r="G52" s="225">
        <v>258.20099999999968</v>
      </c>
      <c r="H52" s="225">
        <v>214.27255000000019</v>
      </c>
      <c r="I52" s="225">
        <v>438.94705000000113</v>
      </c>
      <c r="J52" s="225">
        <v>325.59693000000016</v>
      </c>
      <c r="K52" s="225">
        <v>424.6869999999999</v>
      </c>
      <c r="L52" s="225">
        <v>484.09400000000096</v>
      </c>
      <c r="M52" s="225">
        <v>485.78531100000032</v>
      </c>
      <c r="N52" s="225">
        <v>487.80737400000066</v>
      </c>
      <c r="O52" s="225">
        <v>548.49430800000027</v>
      </c>
      <c r="P52" s="225">
        <v>540.87139000000025</v>
      </c>
      <c r="Q52" s="225">
        <v>436.01</v>
      </c>
      <c r="R52" s="225">
        <v>495.1</v>
      </c>
      <c r="S52" s="225">
        <v>515.1</v>
      </c>
      <c r="T52" s="225">
        <v>505.5</v>
      </c>
      <c r="U52" s="225">
        <v>508.38</v>
      </c>
      <c r="V52" s="225">
        <v>468.48477368116846</v>
      </c>
    </row>
    <row r="53" spans="1:22" ht="18">
      <c r="A53" s="153"/>
      <c r="B53" s="225"/>
      <c r="C53" s="225"/>
      <c r="D53" s="225"/>
      <c r="E53" s="225"/>
      <c r="F53" s="225">
        <v>558.0310000000004</v>
      </c>
      <c r="G53" s="225">
        <v>581.20099999999968</v>
      </c>
      <c r="H53" s="225">
        <v>253.57255000000021</v>
      </c>
      <c r="I53" s="225">
        <v>481.14705000000112</v>
      </c>
      <c r="J53" s="225">
        <v>368.59693000000016</v>
      </c>
      <c r="K53" s="225">
        <v>447.98699999999991</v>
      </c>
      <c r="L53" s="225">
        <v>506.02400000000097</v>
      </c>
      <c r="M53" s="225">
        <v>507.88531100000034</v>
      </c>
      <c r="N53" s="225">
        <v>522.45737400000064</v>
      </c>
      <c r="O53" s="225">
        <v>584.81430800000032</v>
      </c>
      <c r="P53" s="225">
        <v>576.71139000000028</v>
      </c>
      <c r="Q53" s="225">
        <v>472.65999999999997</v>
      </c>
      <c r="R53" s="225">
        <v>626</v>
      </c>
      <c r="S53" s="225">
        <v>632.44880000000001</v>
      </c>
      <c r="T53" s="225">
        <v>633.12480641826676</v>
      </c>
      <c r="U53" s="225">
        <v>665.18511000000001</v>
      </c>
      <c r="V53" s="225">
        <v>650.07123608116854</v>
      </c>
    </row>
    <row r="54" spans="1:22" ht="18">
      <c r="A54" s="219" t="s">
        <v>67</v>
      </c>
      <c r="B54" s="220">
        <v>1553.1229999999998</v>
      </c>
      <c r="C54" s="220">
        <v>2099.1870000000004</v>
      </c>
      <c r="D54" s="220">
        <v>2742.1000000000004</v>
      </c>
      <c r="E54" s="220">
        <v>3135.672</v>
      </c>
      <c r="F54" s="220">
        <v>4260.3420000000006</v>
      </c>
      <c r="G54" s="220">
        <v>4993.1530000000002</v>
      </c>
      <c r="H54" s="220">
        <v>6118.4580000000005</v>
      </c>
      <c r="I54" s="220">
        <v>6829.1839999999993</v>
      </c>
      <c r="J54" s="220">
        <v>7277.8260000000009</v>
      </c>
      <c r="K54" s="220">
        <v>7528.9270000000006</v>
      </c>
      <c r="L54" s="220">
        <v>7601.2639999999992</v>
      </c>
      <c r="M54" s="220">
        <v>7883.5200000000013</v>
      </c>
      <c r="N54" s="220">
        <v>7763.9</v>
      </c>
      <c r="O54" s="220">
        <v>8220.91</v>
      </c>
      <c r="P54" s="220">
        <v>8194.0489999999991</v>
      </c>
      <c r="Q54" s="220">
        <v>8600.2888237000006</v>
      </c>
      <c r="R54" s="220">
        <v>9313.5327553999996</v>
      </c>
      <c r="S54" s="220">
        <v>9479.5905299999995</v>
      </c>
      <c r="T54" s="220">
        <v>10382.220038118267</v>
      </c>
      <c r="U54" s="220">
        <v>11245.884881999998</v>
      </c>
      <c r="V54" s="220">
        <v>11402.476460999998</v>
      </c>
    </row>
    <row r="56" spans="1:22">
      <c r="B56" s="36">
        <f t="shared" ref="B56:V56" si="0">B4/B54</f>
        <v>0.52211576288548944</v>
      </c>
      <c r="C56" s="36">
        <f t="shared" si="0"/>
        <v>0.46794497107689775</v>
      </c>
      <c r="D56" s="36">
        <f t="shared" si="0"/>
        <v>0.38591590386929714</v>
      </c>
      <c r="E56" s="36">
        <f t="shared" si="0"/>
        <v>0.35603532512329089</v>
      </c>
      <c r="F56" s="36">
        <f t="shared" si="0"/>
        <v>0.29478619322110755</v>
      </c>
      <c r="G56" s="36">
        <f t="shared" si="0"/>
        <v>0.24638740290954431</v>
      </c>
      <c r="H56" s="36">
        <f t="shared" si="0"/>
        <v>0.21333806655206261</v>
      </c>
      <c r="I56" s="36">
        <f t="shared" si="0"/>
        <v>0.20285000374861772</v>
      </c>
      <c r="J56" s="36">
        <f t="shared" si="0"/>
        <v>0.19375291467534395</v>
      </c>
      <c r="K56" s="36">
        <f t="shared" si="0"/>
        <v>0.19248426767851515</v>
      </c>
      <c r="L56" s="36">
        <f t="shared" si="0"/>
        <v>0.181811867078949</v>
      </c>
      <c r="M56" s="36">
        <f t="shared" si="0"/>
        <v>0.1851381108946257</v>
      </c>
      <c r="N56" s="36">
        <f t="shared" si="0"/>
        <v>0.14811756977807547</v>
      </c>
      <c r="O56" s="36">
        <f t="shared" si="0"/>
        <v>0.15105505351597329</v>
      </c>
      <c r="P56" s="36">
        <f t="shared" si="0"/>
        <v>0.14312826296254758</v>
      </c>
      <c r="Q56" s="36">
        <f t="shared" si="0"/>
        <v>0.1455137176964714</v>
      </c>
      <c r="R56" s="36">
        <f t="shared" si="0"/>
        <v>0.12722025370158391</v>
      </c>
      <c r="S56" s="36">
        <f t="shared" si="0"/>
        <v>0.12194619549669516</v>
      </c>
      <c r="T56" s="36">
        <f t="shared" si="0"/>
        <v>0.12341291123629761</v>
      </c>
      <c r="U56" s="36">
        <f t="shared" si="0"/>
        <v>0.11257806862547609</v>
      </c>
      <c r="V56" s="36">
        <f t="shared" si="0"/>
        <v>0.10533150444185777</v>
      </c>
    </row>
    <row r="59" spans="1:22">
      <c r="A59" s="154" t="s">
        <v>819</v>
      </c>
      <c r="B59" s="154" t="s">
        <v>500</v>
      </c>
      <c r="C59" s="154" t="s">
        <v>820</v>
      </c>
      <c r="D59" s="227" t="s">
        <v>578</v>
      </c>
      <c r="E59" s="227" t="s">
        <v>579</v>
      </c>
      <c r="F59" s="227" t="s">
        <v>821</v>
      </c>
    </row>
    <row r="60" spans="1:22">
      <c r="A60" s="228">
        <v>1984</v>
      </c>
      <c r="B60" s="229" t="s">
        <v>80</v>
      </c>
      <c r="C60" s="210">
        <v>1459.32</v>
      </c>
      <c r="D60" s="141"/>
      <c r="E60" s="141">
        <v>873.2</v>
      </c>
      <c r="F60" s="53">
        <v>586.1</v>
      </c>
    </row>
    <row r="61" spans="1:22">
      <c r="A61" s="228">
        <v>2023</v>
      </c>
      <c r="B61" s="229" t="s">
        <v>80</v>
      </c>
      <c r="C61" s="210">
        <v>2404.38</v>
      </c>
      <c r="D61" s="141"/>
      <c r="E61" s="201">
        <v>1456.8</v>
      </c>
      <c r="F61" s="201">
        <v>847.1</v>
      </c>
    </row>
    <row r="62" spans="1:22">
      <c r="A62" s="228">
        <v>1984</v>
      </c>
      <c r="B62" s="229" t="s">
        <v>81</v>
      </c>
      <c r="C62" s="211">
        <v>93.8</v>
      </c>
      <c r="D62" s="141"/>
      <c r="E62" s="141"/>
      <c r="F62" s="141"/>
    </row>
    <row r="63" spans="1:22">
      <c r="A63" s="228">
        <v>2023</v>
      </c>
      <c r="B63" s="229" t="s">
        <v>81</v>
      </c>
      <c r="C63" s="230">
        <v>3833.65</v>
      </c>
      <c r="D63" s="141"/>
      <c r="E63" s="231"/>
      <c r="F63" s="231"/>
    </row>
    <row r="64" spans="1:22">
      <c r="A64" s="228">
        <v>1984</v>
      </c>
      <c r="B64" s="229" t="s">
        <v>84</v>
      </c>
      <c r="C64" s="141">
        <v>769.2</v>
      </c>
      <c r="D64" s="141"/>
      <c r="E64" s="53">
        <v>526.20000000000005</v>
      </c>
      <c r="F64" s="53">
        <v>243</v>
      </c>
    </row>
    <row r="65" spans="1:7">
      <c r="A65" s="228">
        <v>2023</v>
      </c>
      <c r="B65" s="229" t="s">
        <v>84</v>
      </c>
      <c r="C65" s="210">
        <v>1999.48</v>
      </c>
      <c r="D65" s="53">
        <v>520.69000000000005</v>
      </c>
      <c r="E65" s="53">
        <v>1103.79</v>
      </c>
      <c r="F65" s="53">
        <v>375</v>
      </c>
    </row>
    <row r="66" spans="1:7">
      <c r="A66" s="228">
        <v>2023</v>
      </c>
      <c r="B66" s="229" t="s">
        <v>241</v>
      </c>
      <c r="C66" s="53">
        <v>5164.3999999999996</v>
      </c>
      <c r="D66" s="141">
        <v>3881.02</v>
      </c>
      <c r="E66" s="232">
        <v>1242.9100000000001</v>
      </c>
    </row>
    <row r="67" spans="1:7">
      <c r="A67" s="228">
        <v>1984</v>
      </c>
      <c r="B67" s="229" t="s">
        <v>822</v>
      </c>
      <c r="C67" s="233">
        <f>C60+C62+C64</f>
        <v>2322.3199999999997</v>
      </c>
      <c r="D67" s="233">
        <f t="shared" ref="D67:F67" si="1">D60+D62+D64</f>
        <v>0</v>
      </c>
      <c r="E67" s="233">
        <f t="shared" si="1"/>
        <v>1399.4</v>
      </c>
      <c r="F67" s="233">
        <f t="shared" si="1"/>
        <v>829.1</v>
      </c>
      <c r="G67" s="234">
        <f>F67/C67</f>
        <v>0.35701367597919326</v>
      </c>
    </row>
    <row r="68" spans="1:7">
      <c r="A68" s="228">
        <v>2023</v>
      </c>
      <c r="B68" s="229" t="s">
        <v>822</v>
      </c>
      <c r="C68" s="233">
        <f>C61+C63+C65+C66</f>
        <v>13401.91</v>
      </c>
      <c r="D68" s="233">
        <f t="shared" ref="D68:F68" si="2">D61+D63+D65+D66</f>
        <v>4401.71</v>
      </c>
      <c r="E68" s="233">
        <f t="shared" si="2"/>
        <v>3803.5</v>
      </c>
      <c r="F68" s="233">
        <f t="shared" si="2"/>
        <v>1222.0999999999999</v>
      </c>
      <c r="G68" s="234">
        <f>F68/C68</f>
        <v>9.1188494774252324E-2</v>
      </c>
    </row>
    <row r="69" spans="1:7">
      <c r="G69" s="234"/>
    </row>
    <row r="70" spans="1:7">
      <c r="G70" s="234"/>
    </row>
    <row r="71" spans="1:7">
      <c r="A71" s="228">
        <v>2023</v>
      </c>
      <c r="B71" s="36" t="s">
        <v>823</v>
      </c>
      <c r="C71" s="36">
        <v>4075.1</v>
      </c>
      <c r="D71" s="36">
        <f>C71-E71</f>
        <v>3921.49</v>
      </c>
      <c r="E71" s="36">
        <f>E66-1089.3</f>
        <v>153.61000000000013</v>
      </c>
      <c r="G71" s="234"/>
    </row>
    <row r="72" spans="1:7">
      <c r="A72" s="228">
        <v>2023</v>
      </c>
      <c r="B72" s="229" t="s">
        <v>822</v>
      </c>
      <c r="C72" s="233">
        <f>C61+C63+C65+C71</f>
        <v>12312.61</v>
      </c>
      <c r="D72" s="233">
        <f t="shared" ref="D72:F72" si="3">D61+D63+D65+D71</f>
        <v>4442.18</v>
      </c>
      <c r="E72" s="233">
        <f t="shared" si="3"/>
        <v>2714.2000000000003</v>
      </c>
      <c r="F72" s="233">
        <f t="shared" si="3"/>
        <v>1222.0999999999999</v>
      </c>
      <c r="G72" s="234">
        <f>F72/C72</f>
        <v>9.9255966038069895E-2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93</vt:i4>
      </vt:variant>
      <vt:variant>
        <vt:lpstr>Named Ranges</vt:lpstr>
      </vt:variant>
      <vt:variant>
        <vt:i4>3</vt:i4>
      </vt:variant>
    </vt:vector>
  </HeadingPairs>
  <TitlesOfParts>
    <vt:vector size="96" baseType="lpstr">
      <vt:lpstr>Figure 1 Sectors Covered</vt:lpstr>
      <vt:lpstr>Figure 2 World BiggestMediaEcon</vt:lpstr>
      <vt:lpstr>Figure 3 Development</vt:lpstr>
      <vt:lpstr>Figure 4 GSDR</vt:lpstr>
      <vt:lpstr>Figure 5 Household Spending </vt:lpstr>
      <vt:lpstr>Figure 6 Leading Cos (w  cloud)</vt:lpstr>
      <vt:lpstr>Figure 6 Leading Cos (wo cloud)</vt:lpstr>
      <vt:lpstr>Figure 7 Conc RankingsHHI</vt:lpstr>
      <vt:lpstr>Figure 8  HHI Guidelines USEUCH</vt:lpstr>
      <vt:lpstr>Figure 9 1969 Media Economy</vt:lpstr>
      <vt:lpstr>Figure 10 Leading BC&amp;Pubs</vt:lpstr>
      <vt:lpstr>Figure 11 Leading Mediacos</vt:lpstr>
      <vt:lpstr>Fig 12 MediaEcon 1969v84v96</vt:lpstr>
      <vt:lpstr>Figure 13 Comms+Media M&amp;A</vt:lpstr>
      <vt:lpstr>Figure 14 Can vs US VI</vt:lpstr>
      <vt:lpstr>Figure 15 Com vs Content</vt:lpstr>
      <vt:lpstr>Figure 16 NME All Sector $</vt:lpstr>
      <vt:lpstr>Figure 17  Telecom+ISP $</vt:lpstr>
      <vt:lpstr>Figure 18 Network Conn Subs</vt:lpstr>
      <vt:lpstr>Figure 19 Network Conn $</vt:lpstr>
      <vt:lpstr>Figure 20 CR4 Telecom+Internet</vt:lpstr>
      <vt:lpstr>Figure 21 HHI Telecom+Internet</vt:lpstr>
      <vt:lpstr>Figure 22 Biggest Mobile Mrkts</vt:lpstr>
      <vt:lpstr>Figure 23 Comm Serv vs CPI</vt:lpstr>
      <vt:lpstr>Figure 24 ICT Income</vt:lpstr>
      <vt:lpstr>Figure 25 ARPU</vt:lpstr>
      <vt:lpstr>Fig 26 OECD Mobile Adoption</vt:lpstr>
      <vt:lpstr>Figure 27 Mobile Data Usage</vt:lpstr>
      <vt:lpstr>Figure 28 Nat'l Wireless Mrkt </vt:lpstr>
      <vt:lpstr>Figure 29 Prov Wireless Subs</vt:lpstr>
      <vt:lpstr>Figure 30 Prov Wireless $</vt:lpstr>
      <vt:lpstr>Figure 31 IPTV Subs</vt:lpstr>
      <vt:lpstr>Figure 32 IPTV $</vt:lpstr>
      <vt:lpstr>Figure 33 BDU $</vt:lpstr>
      <vt:lpstr>Fig 34 Cable vs Telcos</vt:lpstr>
      <vt:lpstr>Figure 35 BDU R2 Before After</vt:lpstr>
      <vt:lpstr>Figure 36 ISP MS Subs</vt:lpstr>
      <vt:lpstr>Figure 37 ISP MS $</vt:lpstr>
      <vt:lpstr>Fig38 RS ISP Before-After</vt:lpstr>
      <vt:lpstr>Figure 39 Fibre Broadband</vt:lpstr>
      <vt:lpstr>Figure 40 VI vs Big Tech</vt:lpstr>
      <vt:lpstr>Figure 41 App Store &amp; Game $</vt:lpstr>
      <vt:lpstr>Figure 42  Cloud computing $</vt:lpstr>
      <vt:lpstr>Figure 43 Trad+online media$</vt:lpstr>
      <vt:lpstr>Figure 44 OnlineVsLegacymedia</vt:lpstr>
      <vt:lpstr>Figure 45 Rise &amp; Fall of Ad Med</vt:lpstr>
      <vt:lpstr>Figure 46 Internet ad$vsallad$</vt:lpstr>
      <vt:lpstr>Figure 47 Ad $ vs GDI</vt:lpstr>
      <vt:lpstr>Figure 48 Adv % Media Economy</vt:lpstr>
      <vt:lpstr>Figure 49 Adv per Capita </vt:lpstr>
      <vt:lpstr>Fig 50 Internet Ad$ </vt:lpstr>
      <vt:lpstr>Figure 51 Search Engine DT MS</vt:lpstr>
      <vt:lpstr>Figure 52 Google Ad Tech Stack</vt:lpstr>
      <vt:lpstr>Figure 53  X-DigMrktDom</vt:lpstr>
      <vt:lpstr>Figure 54 Social Media </vt:lpstr>
      <vt:lpstr>Figure 55 Facebook Growth</vt:lpstr>
      <vt:lpstr>Figure 56 Total Ad$ ConMetrics </vt:lpstr>
      <vt:lpstr>Figure 57 CR1, 4 &amp; 10</vt:lpstr>
      <vt:lpstr>Figure 58 Radio Recomposed</vt:lpstr>
      <vt:lpstr>Figure 59 Online Video $</vt:lpstr>
      <vt:lpstr>Figure 60 OVS Conc $</vt:lpstr>
      <vt:lpstr>Figure 61 OVS Conc Subs MS</vt:lpstr>
      <vt:lpstr>Figure 62 OVD MrktShare $ w YT</vt:lpstr>
      <vt:lpstr>Figure 63 GrowthUpheavaTV Mrkt</vt:lpstr>
      <vt:lpstr>Figure 64 TV ownership, 84-23</vt:lpstr>
      <vt:lpstr>Figure 65 CR ScoresTV</vt:lpstr>
      <vt:lpstr>Figure 66 HHI ScoresTV</vt:lpstr>
      <vt:lpstr>Figure 67 TV+Film Prod</vt:lpstr>
      <vt:lpstr>Figure 68 PayingforTV</vt:lpstr>
      <vt:lpstr>Figure 69 Newspaper $</vt:lpstr>
      <vt:lpstr>Figure 70 Journos vs PR  </vt:lpstr>
      <vt:lpstr>Figure 71 Internet News</vt:lpstr>
      <vt:lpstr>Figure 72 Gaming Industry $</vt:lpstr>
      <vt:lpstr>Figure 73 GameCos</vt:lpstr>
      <vt:lpstr>Figure 74 Games ConcMetric</vt:lpstr>
      <vt:lpstr>Figure 75 Total Music $</vt:lpstr>
      <vt:lpstr>Figure76 StreamingMusic+Publish</vt:lpstr>
      <vt:lpstr>Figure 77  Leading Music Cos</vt:lpstr>
      <vt:lpstr>Figure 78 Online Media Economy</vt:lpstr>
      <vt:lpstr>Figure 79 Top InternetCos</vt:lpstr>
      <vt:lpstr>Figure 80 Top internetcos ranke</vt:lpstr>
      <vt:lpstr>Figure 81 Leading Content Cos</vt:lpstr>
      <vt:lpstr>Figure 82 Online digital media</vt:lpstr>
      <vt:lpstr>Figure 83 Dig+Legacy HHI&amp;CR4</vt:lpstr>
      <vt:lpstr>Figure 84 CR1, 4 &amp; 10</vt:lpstr>
      <vt:lpstr>Figure 85 NME CR4&amp;HHI</vt:lpstr>
      <vt:lpstr>Figure 86 Select Intl Compari</vt:lpstr>
      <vt:lpstr>Figure X Infrastructure</vt:lpstr>
      <vt:lpstr>Figure X Infrastructure CR4 </vt:lpstr>
      <vt:lpstr>Figure X Infrastructure HHI </vt:lpstr>
      <vt:lpstr>All Advertising $</vt:lpstr>
      <vt:lpstr>Pay TV ownership groups</vt:lpstr>
      <vt:lpstr>Sheet1 (2)</vt:lpstr>
      <vt:lpstr>'All Advertising $'!Print_Area</vt:lpstr>
      <vt:lpstr>'Figure 11 Leading Mediacos'!Print_Area</vt:lpstr>
      <vt:lpstr>'Figure 9 1969 Media Economy'!Print_Area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DD</dc:creator>
  <cp:keywords/>
  <dc:description/>
  <cp:lastModifiedBy>Agnes Malkinson</cp:lastModifiedBy>
  <cp:revision/>
  <dcterms:created xsi:type="dcterms:W3CDTF">2024-11-13T00:11:17Z</dcterms:created>
  <dcterms:modified xsi:type="dcterms:W3CDTF">2025-12-11T03:31:21Z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9694e0f-943f-4e6f-bf55-6e34fbc91307_Enabled">
    <vt:lpwstr>true</vt:lpwstr>
  </property>
  <property fmtid="{D5CDD505-2E9C-101B-9397-08002B2CF9AE}" pid="3" name="MSIP_Label_a9694e0f-943f-4e6f-bf55-6e34fbc91307_SetDate">
    <vt:lpwstr>2025-11-10T21:22:56Z</vt:lpwstr>
  </property>
  <property fmtid="{D5CDD505-2E9C-101B-9397-08002B2CF9AE}" pid="4" name="MSIP_Label_a9694e0f-943f-4e6f-bf55-6e34fbc91307_Method">
    <vt:lpwstr>Standard</vt:lpwstr>
  </property>
  <property fmtid="{D5CDD505-2E9C-101B-9397-08002B2CF9AE}" pid="5" name="MSIP_Label_a9694e0f-943f-4e6f-bf55-6e34fbc91307_Name">
    <vt:lpwstr>Usage interne</vt:lpwstr>
  </property>
  <property fmtid="{D5CDD505-2E9C-101B-9397-08002B2CF9AE}" pid="6" name="MSIP_Label_a9694e0f-943f-4e6f-bf55-6e34fbc91307_SiteId">
    <vt:lpwstr>728d20a5-0b44-47dd-9470-20f37cbf2d9a</vt:lpwstr>
  </property>
  <property fmtid="{D5CDD505-2E9C-101B-9397-08002B2CF9AE}" pid="7" name="MSIP_Label_a9694e0f-943f-4e6f-bf55-6e34fbc91307_ActionId">
    <vt:lpwstr>9d05a54a-73fb-446c-bbf7-fc0fed02ec45</vt:lpwstr>
  </property>
  <property fmtid="{D5CDD505-2E9C-101B-9397-08002B2CF9AE}" pid="8" name="MSIP_Label_a9694e0f-943f-4e6f-bf55-6e34fbc91307_ContentBits">
    <vt:lpwstr>0</vt:lpwstr>
  </property>
  <property fmtid="{D5CDD505-2E9C-101B-9397-08002B2CF9AE}" pid="9" name="MSIP_Label_a9694e0f-943f-4e6f-bf55-6e34fbc91307_Tag">
    <vt:lpwstr>10, 3, 0, 1</vt:lpwstr>
  </property>
</Properties>
</file>