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Users/agnesmalkinson/Documents/GMCIP/2024 reports/Canada/"/>
    </mc:Choice>
  </mc:AlternateContent>
  <xr:revisionPtr revIDLastSave="0" documentId="13_ncr:1_{CC65DEC3-1C9A-FF45-B661-53D6C0A61A6C}" xr6:coauthVersionLast="47" xr6:coauthVersionMax="47" xr10:uidLastSave="{00000000-0000-0000-0000-000000000000}"/>
  <bookViews>
    <workbookView xWindow="0" yWindow="500" windowWidth="28800" windowHeight="16140" xr2:uid="{8E7B4D7A-D990-F640-A0FA-53CBD5DE621B}"/>
  </bookViews>
  <sheets>
    <sheet name="Table of Contents" sheetId="1" r:id="rId1"/>
    <sheet name="Figure 1 Sectors Covered" sheetId="2" r:id="rId2"/>
    <sheet name="Figure 2 Development" sheetId="4" r:id="rId3"/>
    <sheet name="Figure 3 GSDR" sheetId="3" r:id="rId4"/>
    <sheet name="Figure 4 Household Spending " sheetId="5" r:id="rId5"/>
    <sheet name="Fig 5 Leading Companies" sheetId="61" r:id="rId6"/>
    <sheet name="Figure 6 Conc RankingsHHI" sheetId="62" r:id="rId7"/>
    <sheet name="Figure 7 1969 Media Economy" sheetId="6" r:id="rId8"/>
    <sheet name="Figure 8 Leading BC&amp;Pubs" sheetId="11" r:id="rId9"/>
    <sheet name="Figure 9  Leading Mediacos" sheetId="10" r:id="rId10"/>
    <sheet name="Fig 10 MediaEcon 1969v84v96" sheetId="8" r:id="rId11"/>
    <sheet name="Fig 11 Major Comms+Media M&amp;A" sheetId="9" r:id="rId12"/>
    <sheet name="Figure 12 Can vs US VI" sheetId="13" r:id="rId13"/>
    <sheet name="Figure 13 Com vs Content" sheetId="14" r:id="rId14"/>
    <sheet name="Figure 14 VI vs Big Tech" sheetId="12" r:id="rId15"/>
    <sheet name="Figure 15 NME All Sector $" sheetId="7" r:id="rId16"/>
    <sheet name="Figure 16  Telecom+ISP $" sheetId="21" r:id="rId17"/>
    <sheet name="Figure 17 Network Conn Subs" sheetId="16" r:id="rId18"/>
    <sheet name="Figure 18 Network Conn $" sheetId="15" r:id="rId19"/>
    <sheet name="Figure 19 CR4 Telecom+Internet" sheetId="17" r:id="rId20"/>
    <sheet name="Figure 20 HHI Telecom+Internet" sheetId="18" r:id="rId21"/>
    <sheet name="Figure 21 Biggest Mobile Mrkts" sheetId="20" r:id="rId22"/>
    <sheet name="Figure 22 Comm Serv vs CPI" sheetId="23" r:id="rId23"/>
    <sheet name="Figure 23 ARPU" sheetId="24" r:id="rId24"/>
    <sheet name="Figure 24 ICT Income" sheetId="22" r:id="rId25"/>
    <sheet name="Fig 25 OECD Mobile Adoption" sheetId="25" r:id="rId26"/>
    <sheet name="Figure 26 Mobile Data Usage" sheetId="28" r:id="rId27"/>
    <sheet name="Figure 27 Nat'l Wireless Mrkt " sheetId="27" r:id="rId28"/>
    <sheet name="Figure 28 Prov Wireless Subs" sheetId="29" r:id="rId29"/>
    <sheet name="Figure 29 Prov Wireless $" sheetId="26" r:id="rId30"/>
    <sheet name="Figure 30 IPTV Subs" sheetId="35" r:id="rId31"/>
    <sheet name="Figure 31 IPTV $" sheetId="36" r:id="rId32"/>
    <sheet name="Figure 32 BDU $" sheetId="37" r:id="rId33"/>
    <sheet name="Figure 33 BDU RS Before After" sheetId="41" r:id="rId34"/>
    <sheet name="Fig 34 Cable vs Telcos" sheetId="40" r:id="rId35"/>
    <sheet name="Figure 35 HSIA" sheetId="32" r:id="rId36"/>
    <sheet name="Figure 36 Fibre Broadband" sheetId="39" r:id="rId37"/>
    <sheet name="Figure 37 ISP MS Subs" sheetId="31" r:id="rId38"/>
    <sheet name="Fig38 RS ISP Before-After" sheetId="42" r:id="rId39"/>
    <sheet name="Figure 39 Content Media $" sheetId="87" r:id="rId40"/>
    <sheet name="Figure 40 OnlineVsLegacymedia" sheetId="57" r:id="rId41"/>
    <sheet name="Figure 41 Rise &amp; Fall of Ad Med" sheetId="60" r:id="rId42"/>
    <sheet name="Figure 42 Internet ad$vsallad$" sheetId="43" r:id="rId43"/>
    <sheet name="Figure 43 Ad $ vs GDI" sheetId="44" r:id="rId44"/>
    <sheet name="Figure 44 Adv % Media Economy" sheetId="45" r:id="rId45"/>
    <sheet name="Figure 45 Adv per Capita " sheetId="46" r:id="rId46"/>
    <sheet name="Fig 46 Internet Ad$ " sheetId="47" r:id="rId47"/>
    <sheet name="Figure 47 Search Engine DT MS" sheetId="48" r:id="rId48"/>
    <sheet name="Figure 48 Google Ad Tech Stack" sheetId="52" r:id="rId49"/>
    <sheet name="Figure 49 Social Media " sheetId="53" r:id="rId50"/>
    <sheet name="Figure 50 Facebook Growth" sheetId="55" r:id="rId51"/>
    <sheet name="Figure 51 Total Ad$ ConMetrics " sheetId="49" r:id="rId52"/>
    <sheet name="Figure 52 CR1, 4 &amp; 10" sheetId="67" r:id="rId53"/>
    <sheet name="Figure 53 Radio Recomposed" sheetId="69" r:id="rId54"/>
    <sheet name="Figure 54 Online Video $" sheetId="70" r:id="rId55"/>
    <sheet name="Figure 55 OVS Conc $" sheetId="73" r:id="rId56"/>
    <sheet name="Figure 56 OVS Conc Subs MS" sheetId="71" r:id="rId57"/>
    <sheet name="Figure 57 OVD MrktShare $ w YT" sheetId="72" r:id="rId58"/>
    <sheet name="Figure58 GrowthUpheavaTV Mrkt" sheetId="74" r:id="rId59"/>
    <sheet name="Figure 59 TV ownership, 84-23" sheetId="77" r:id="rId60"/>
    <sheet name="Figure 60 CR ScoresTV" sheetId="79" r:id="rId61"/>
    <sheet name="Figure 61 HHI ScoresTV" sheetId="80" r:id="rId62"/>
    <sheet name="Figure 62 TV+Film Prod" sheetId="75" r:id="rId63"/>
    <sheet name="Figure 63 PayingforTV" sheetId="78" r:id="rId64"/>
    <sheet name="Figure 64 Newspaper $" sheetId="81" r:id="rId65"/>
    <sheet name="Figure 65 Journos vs PR  " sheetId="82" r:id="rId66"/>
    <sheet name="Figure 66 Internet News" sheetId="83" r:id="rId67"/>
    <sheet name="Figure 67 App Store &amp; Game $" sheetId="88" r:id="rId68"/>
    <sheet name="Figure 68 Gaming Industry $" sheetId="89" r:id="rId69"/>
    <sheet name="Figure 69 GameCos" sheetId="90" r:id="rId70"/>
    <sheet name="Figure 70 Games ConcMetric" sheetId="91" r:id="rId71"/>
    <sheet name="Figure 71 Total Music $" sheetId="93" r:id="rId72"/>
    <sheet name="Figure72 StreamingMusic+Publish" sheetId="92" r:id="rId73"/>
    <sheet name="Figure 73 MusicChange" sheetId="95" r:id="rId74"/>
    <sheet name="Figure 74  Leading Music Cos" sheetId="94" r:id="rId75"/>
    <sheet name="Figure 75 Online Media Economy" sheetId="85" r:id="rId76"/>
    <sheet name="Figure 76 Top InternetCos" sheetId="97" r:id="rId77"/>
    <sheet name="Figure 77 Top internetcos ranke" sheetId="96" r:id="rId78"/>
    <sheet name="Figure 78 Leading Content Cos" sheetId="98" r:id="rId79"/>
    <sheet name="Figure 79 Online digital media" sheetId="111" r:id="rId80"/>
    <sheet name="Figure 80 Dig+Legacy HHI&amp;CR4" sheetId="84" r:id="rId81"/>
    <sheet name="Figure 81 CR1, 4 &amp; 10" sheetId="100" r:id="rId82"/>
    <sheet name="Figure 82 NME CR4&amp;HHI" sheetId="107" r:id="rId83"/>
    <sheet name="Figure 83  Cloud computing $" sheetId="115" r:id="rId84"/>
    <sheet name="Figure 84 Top Cos with Cloud" sheetId="113" r:id="rId85"/>
    <sheet name="Figure 85 Select Intl Compari" sheetId="114" r:id="rId86"/>
  </sheets>
  <definedNames>
    <definedName name="_xlnm.Print_Area" localSheetId="7">'Figure 7 1969 Media Economy'!$A$1:$B$13</definedName>
    <definedName name="_xlnm.Print_Area" localSheetId="9">'Figure 9  Leading Mediacos'!$A$1:$K$28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97" l="1"/>
  <c r="C20" i="97" s="1"/>
  <c r="E49" i="97"/>
  <c r="D49" i="97"/>
  <c r="C49" i="97"/>
  <c r="B49" i="97"/>
  <c r="E48" i="97"/>
  <c r="D48" i="97"/>
  <c r="C48" i="97"/>
  <c r="B48" i="97"/>
  <c r="E47" i="97"/>
  <c r="D47" i="97"/>
  <c r="C47" i="97"/>
  <c r="B47" i="97"/>
  <c r="E46" i="97"/>
  <c r="D46" i="97"/>
  <c r="C46" i="97"/>
  <c r="B46" i="97"/>
  <c r="E45" i="97"/>
  <c r="D45" i="97"/>
  <c r="C45" i="97"/>
  <c r="B45" i="97"/>
  <c r="E44" i="97"/>
  <c r="D44" i="97"/>
  <c r="C44" i="97"/>
  <c r="B44" i="97"/>
  <c r="E43" i="97"/>
  <c r="D43" i="97"/>
  <c r="C43" i="97"/>
  <c r="B43" i="97"/>
  <c r="E42" i="97"/>
  <c r="D42" i="97"/>
  <c r="C42" i="97"/>
  <c r="B42" i="97"/>
  <c r="E41" i="97"/>
  <c r="D41" i="97"/>
  <c r="C41" i="97"/>
  <c r="B41" i="97"/>
  <c r="E40" i="97"/>
  <c r="D40" i="97"/>
  <c r="C40" i="97"/>
  <c r="B40" i="97"/>
  <c r="E39" i="97"/>
  <c r="D39" i="97"/>
  <c r="C39" i="97"/>
  <c r="B39" i="97"/>
  <c r="E38" i="97"/>
  <c r="E50" i="97" s="1"/>
  <c r="E57" i="97" s="1"/>
  <c r="D38" i="97"/>
  <c r="D50" i="97" s="1"/>
  <c r="D57" i="97" s="1"/>
  <c r="C38" i="97"/>
  <c r="C50" i="97" s="1"/>
  <c r="C57" i="97" s="1"/>
  <c r="B38" i="97"/>
  <c r="E18" i="97"/>
  <c r="D18" i="97"/>
  <c r="C18" i="97"/>
  <c r="B18" i="97"/>
  <c r="B5" i="57"/>
  <c r="C5" i="57"/>
  <c r="C9" i="57" s="1"/>
  <c r="D5" i="57"/>
  <c r="D8" i="57" s="1"/>
  <c r="E5" i="57"/>
  <c r="F5" i="57"/>
  <c r="F8" i="57" s="1"/>
  <c r="G5" i="57"/>
  <c r="H5" i="57"/>
  <c r="I5" i="57"/>
  <c r="I8" i="57" s="1"/>
  <c r="J5" i="57"/>
  <c r="K5" i="57"/>
  <c r="K9" i="57" s="1"/>
  <c r="L5" i="57"/>
  <c r="L8" i="57" s="1"/>
  <c r="M5" i="57"/>
  <c r="N5" i="57"/>
  <c r="N8" i="57" s="1"/>
  <c r="O5" i="57"/>
  <c r="P5" i="57"/>
  <c r="Q5" i="57"/>
  <c r="R5" i="57"/>
  <c r="B8" i="57"/>
  <c r="C8" i="57"/>
  <c r="E8" i="57"/>
  <c r="G8" i="57"/>
  <c r="H8" i="57"/>
  <c r="J8" i="57"/>
  <c r="K8" i="57"/>
  <c r="M8" i="57"/>
  <c r="O8" i="57"/>
  <c r="P8" i="57"/>
  <c r="Q8" i="57"/>
  <c r="R8" i="57"/>
  <c r="B9" i="57"/>
  <c r="E9" i="57"/>
  <c r="F9" i="57"/>
  <c r="G9" i="57"/>
  <c r="H9" i="57"/>
  <c r="J9" i="57"/>
  <c r="M9" i="57"/>
  <c r="N9" i="57"/>
  <c r="O9" i="57"/>
  <c r="P9" i="57"/>
  <c r="Q9" i="57"/>
  <c r="R9" i="57"/>
  <c r="E51" i="97" l="1"/>
  <c r="E29" i="97" s="1"/>
  <c r="B50" i="97"/>
  <c r="B57" i="97" s="1"/>
  <c r="B51" i="97"/>
  <c r="B28" i="97" s="1"/>
  <c r="D51" i="97"/>
  <c r="D19" i="97" s="1"/>
  <c r="D31" i="97" s="1"/>
  <c r="B56" i="97"/>
  <c r="C56" i="97"/>
  <c r="D56" i="97"/>
  <c r="E56" i="97"/>
  <c r="D22" i="97"/>
  <c r="E20" i="97"/>
  <c r="E24" i="97"/>
  <c r="B19" i="97"/>
  <c r="B21" i="97"/>
  <c r="B23" i="97"/>
  <c r="B25" i="97"/>
  <c r="B29" i="97"/>
  <c r="C22" i="97"/>
  <c r="C24" i="97"/>
  <c r="C26" i="97"/>
  <c r="C28" i="97"/>
  <c r="D20" i="97"/>
  <c r="D24" i="97"/>
  <c r="E28" i="97"/>
  <c r="C19" i="97"/>
  <c r="C21" i="97"/>
  <c r="C23" i="97"/>
  <c r="C25" i="97"/>
  <c r="C27" i="97"/>
  <c r="C29" i="97"/>
  <c r="D21" i="97"/>
  <c r="D23" i="97"/>
  <c r="D25" i="97"/>
  <c r="D27" i="97"/>
  <c r="D29" i="97"/>
  <c r="B20" i="97"/>
  <c r="B24" i="97"/>
  <c r="B26" i="97"/>
  <c r="E19" i="97"/>
  <c r="E21" i="97"/>
  <c r="E23" i="97"/>
  <c r="E25" i="97"/>
  <c r="E27" i="97"/>
  <c r="L9" i="57"/>
  <c r="D9" i="57"/>
  <c r="I9" i="57"/>
  <c r="E31" i="97" l="1"/>
  <c r="C31" i="97"/>
  <c r="E26" i="97"/>
  <c r="E22" i="97"/>
  <c r="D28" i="97"/>
  <c r="B22" i="97"/>
  <c r="B31" i="97" s="1"/>
  <c r="B27" i="97"/>
  <c r="D26" i="97"/>
  <c r="D35" i="97" s="1"/>
  <c r="E35" i="97"/>
  <c r="C35" i="97"/>
  <c r="I31" i="10"/>
  <c r="I30" i="10"/>
  <c r="D55" i="97" l="1"/>
  <c r="D36" i="97"/>
  <c r="B35" i="97"/>
  <c r="C55" i="97"/>
  <c r="C36" i="97"/>
  <c r="E55" i="97"/>
  <c r="E36" i="97"/>
  <c r="Q44" i="61"/>
  <c r="B36" i="97" l="1"/>
  <c r="B55" i="97"/>
  <c r="G14" i="96"/>
  <c r="G12" i="96"/>
  <c r="G9" i="96"/>
  <c r="G16" i="96"/>
  <c r="M59" i="98" l="1"/>
  <c r="M60" i="98"/>
  <c r="M61" i="98"/>
  <c r="M62" i="98"/>
  <c r="M63" i="98"/>
  <c r="M64" i="98"/>
  <c r="M65" i="98"/>
  <c r="M66" i="98"/>
  <c r="M67" i="98"/>
  <c r="M68" i="98"/>
  <c r="M69" i="98"/>
  <c r="M70" i="98"/>
  <c r="M71" i="98"/>
  <c r="M72" i="98"/>
  <c r="M73" i="98"/>
  <c r="M74" i="98"/>
  <c r="M76" i="98"/>
  <c r="M77" i="98"/>
  <c r="M78" i="98"/>
  <c r="M79" i="98"/>
  <c r="N79" i="98" s="1"/>
  <c r="M114" i="98"/>
  <c r="M115" i="98"/>
  <c r="M116" i="98"/>
  <c r="M117" i="98"/>
  <c r="M118" i="98"/>
  <c r="M119" i="98"/>
  <c r="M120" i="98"/>
  <c r="M121" i="98"/>
  <c r="M122" i="98"/>
  <c r="M123" i="98"/>
  <c r="M124" i="98"/>
  <c r="M125" i="98"/>
  <c r="M126" i="98"/>
  <c r="M127" i="98"/>
  <c r="M128" i="98"/>
  <c r="M129" i="98"/>
  <c r="M130" i="98"/>
  <c r="M131" i="98"/>
  <c r="M132" i="98"/>
  <c r="M134" i="98"/>
  <c r="N134" i="98" s="1"/>
  <c r="G3" i="96"/>
  <c r="G4" i="96"/>
  <c r="G5" i="96"/>
  <c r="G6" i="96"/>
  <c r="G7" i="96"/>
  <c r="G8" i="96"/>
  <c r="G11" i="96"/>
  <c r="G13" i="96"/>
  <c r="N68" i="98" l="1"/>
  <c r="N114" i="98"/>
  <c r="N129" i="98"/>
  <c r="N78" i="98"/>
  <c r="N128" i="98"/>
  <c r="N120" i="98"/>
  <c r="N122" i="98"/>
  <c r="N73" i="98"/>
  <c r="N132" i="98"/>
  <c r="N125" i="98"/>
  <c r="N124" i="98"/>
  <c r="N117" i="98"/>
  <c r="N63" i="98"/>
  <c r="N118" i="98"/>
  <c r="N72" i="98"/>
  <c r="N67" i="98"/>
  <c r="N61" i="98"/>
  <c r="N77" i="98"/>
  <c r="N71" i="98"/>
  <c r="N60" i="98"/>
  <c r="N121" i="98"/>
  <c r="N116" i="98"/>
  <c r="N76" i="98"/>
  <c r="N65" i="98"/>
  <c r="N133" i="98"/>
  <c r="N64" i="98"/>
  <c r="N59" i="98"/>
  <c r="N75" i="98"/>
  <c r="N69" i="98"/>
  <c r="N127" i="98"/>
  <c r="N119" i="98"/>
  <c r="N74" i="98"/>
  <c r="N70" i="98"/>
  <c r="N66" i="98"/>
  <c r="N62" i="98"/>
  <c r="N131" i="98"/>
  <c r="N123" i="98"/>
  <c r="N126" i="98"/>
  <c r="N115" i="98"/>
  <c r="N130" i="98"/>
  <c r="O59" i="98" l="1"/>
  <c r="O123" i="98"/>
  <c r="N135" i="98"/>
  <c r="N81" i="98"/>
  <c r="N80" i="98"/>
  <c r="N82" i="98"/>
  <c r="N137" i="98"/>
  <c r="N136" i="98"/>
  <c r="H3" i="94" l="1"/>
  <c r="H4" i="94"/>
  <c r="H7" i="94"/>
  <c r="H8" i="94"/>
  <c r="H6" i="94"/>
  <c r="H5" i="94"/>
  <c r="H9" i="94"/>
  <c r="H11" i="94"/>
  <c r="B12" i="93"/>
  <c r="C12" i="93"/>
  <c r="D12" i="93"/>
  <c r="E12" i="93"/>
  <c r="F12" i="93"/>
  <c r="G12" i="93"/>
  <c r="H12" i="93"/>
  <c r="I12" i="93"/>
  <c r="J12" i="93"/>
  <c r="K12" i="93"/>
  <c r="L12" i="93"/>
  <c r="M12" i="93"/>
  <c r="N12" i="93"/>
  <c r="O12" i="93"/>
  <c r="P12" i="93"/>
  <c r="Q12" i="93"/>
  <c r="R12" i="93"/>
  <c r="S12" i="93"/>
  <c r="T12" i="93"/>
  <c r="U12" i="93"/>
  <c r="V12" i="93"/>
  <c r="B13" i="93"/>
  <c r="C13" i="93"/>
  <c r="D13" i="93"/>
  <c r="E13" i="93"/>
  <c r="F13" i="93"/>
  <c r="G13" i="93"/>
  <c r="H13" i="93"/>
  <c r="I13" i="93"/>
  <c r="J13" i="93"/>
  <c r="K13" i="93"/>
  <c r="L13" i="93"/>
  <c r="M13" i="93"/>
  <c r="N13" i="93"/>
  <c r="O13" i="93"/>
  <c r="P13" i="93"/>
  <c r="Q13" i="93"/>
  <c r="R13" i="93"/>
  <c r="S13" i="93"/>
  <c r="T13" i="93"/>
  <c r="U13" i="93"/>
  <c r="V13" i="93"/>
  <c r="D53" i="91"/>
  <c r="D34" i="91"/>
  <c r="D35" i="91"/>
  <c r="D36" i="91"/>
  <c r="D37" i="91"/>
  <c r="D38" i="91"/>
  <c r="D39" i="91"/>
  <c r="D40" i="91"/>
  <c r="D41" i="91"/>
  <c r="D42" i="91"/>
  <c r="D43" i="91"/>
  <c r="D44" i="91"/>
  <c r="D45" i="91"/>
  <c r="D46" i="91"/>
  <c r="D47" i="91"/>
  <c r="D48" i="91"/>
  <c r="D49" i="91"/>
  <c r="D50" i="91"/>
  <c r="D51" i="91"/>
  <c r="D52" i="91"/>
  <c r="B54" i="91"/>
  <c r="C52" i="91"/>
  <c r="C51" i="91"/>
  <c r="C50" i="91"/>
  <c r="C49" i="91"/>
  <c r="C48" i="91"/>
  <c r="C47" i="91"/>
  <c r="C46" i="91"/>
  <c r="C45" i="91"/>
  <c r="C44" i="91"/>
  <c r="C43" i="91"/>
  <c r="C42" i="91"/>
  <c r="C41" i="91"/>
  <c r="C40" i="91"/>
  <c r="C39" i="91"/>
  <c r="C38" i="91"/>
  <c r="C37" i="91"/>
  <c r="C36" i="91"/>
  <c r="C35" i="91"/>
  <c r="C33" i="91"/>
  <c r="C4" i="91"/>
  <c r="C34" i="91" s="1"/>
  <c r="C5" i="91"/>
  <c r="C6" i="91"/>
  <c r="C7" i="91"/>
  <c r="C8" i="91"/>
  <c r="C9" i="91"/>
  <c r="C10" i="91"/>
  <c r="C11" i="91"/>
  <c r="C12" i="91"/>
  <c r="C13" i="91"/>
  <c r="C14" i="91"/>
  <c r="C15" i="91"/>
  <c r="C16" i="91"/>
  <c r="C17" i="91"/>
  <c r="C18" i="91"/>
  <c r="C19" i="91"/>
  <c r="C20" i="91"/>
  <c r="C21" i="91"/>
  <c r="C22" i="91"/>
  <c r="C23" i="91"/>
  <c r="C3" i="91"/>
  <c r="G20" i="90"/>
  <c r="G21" i="90"/>
  <c r="G22" i="90"/>
  <c r="G4" i="90"/>
  <c r="G5" i="90"/>
  <c r="G6" i="90"/>
  <c r="G7" i="90"/>
  <c r="G8" i="90"/>
  <c r="G9" i="90"/>
  <c r="G10" i="90"/>
  <c r="G11" i="90"/>
  <c r="G12" i="90"/>
  <c r="G14" i="90"/>
  <c r="G13" i="90"/>
  <c r="G15" i="90"/>
  <c r="G16" i="90"/>
  <c r="G17" i="90"/>
  <c r="G18" i="90"/>
  <c r="G19" i="90"/>
  <c r="G3" i="90"/>
  <c r="D33" i="91" l="1"/>
  <c r="B7" i="89" l="1"/>
  <c r="C7" i="89"/>
  <c r="D7" i="89"/>
  <c r="E7" i="89"/>
  <c r="F7" i="89"/>
  <c r="G7" i="89"/>
  <c r="H7" i="89"/>
  <c r="I7" i="89"/>
  <c r="J7" i="89"/>
  <c r="K7" i="89"/>
  <c r="L7" i="89"/>
  <c r="M7" i="89"/>
  <c r="N7" i="89"/>
  <c r="O7" i="89"/>
  <c r="E6" i="88"/>
  <c r="F6" i="88"/>
  <c r="C6" i="88"/>
  <c r="D6" i="88"/>
  <c r="G6" i="88"/>
  <c r="H6" i="88"/>
  <c r="I6" i="88"/>
  <c r="J6" i="88"/>
  <c r="K6" i="88"/>
  <c r="L6" i="88"/>
  <c r="M6" i="88"/>
  <c r="N6" i="88"/>
  <c r="B6" i="88"/>
  <c r="C4" i="88"/>
  <c r="D4" i="88"/>
  <c r="E4" i="88"/>
  <c r="F4" i="88"/>
  <c r="G4" i="88"/>
  <c r="H4" i="88"/>
  <c r="I4" i="88"/>
  <c r="J4" i="88"/>
  <c r="K4" i="88"/>
  <c r="L4" i="88"/>
  <c r="M4" i="88"/>
  <c r="N4" i="88"/>
  <c r="B4" i="88"/>
  <c r="C28" i="85"/>
  <c r="D28" i="85"/>
  <c r="E28" i="85"/>
  <c r="F28" i="85"/>
  <c r="G28" i="85"/>
  <c r="H28" i="85"/>
  <c r="I28" i="85"/>
  <c r="J28" i="85"/>
  <c r="K28" i="85"/>
  <c r="L28" i="85"/>
  <c r="M28" i="85"/>
  <c r="N28" i="85"/>
  <c r="B28" i="85"/>
  <c r="C27" i="85"/>
  <c r="D27" i="85"/>
  <c r="E27" i="85"/>
  <c r="F27" i="85"/>
  <c r="G27" i="85"/>
  <c r="H27" i="85"/>
  <c r="I27" i="85"/>
  <c r="J27" i="85"/>
  <c r="K27" i="85"/>
  <c r="L27" i="85"/>
  <c r="M27" i="85"/>
  <c r="N27" i="85"/>
  <c r="B27" i="85"/>
  <c r="H20" i="85"/>
  <c r="I20" i="85"/>
  <c r="J20" i="85"/>
  <c r="C18" i="85"/>
  <c r="C20" i="85" s="1"/>
  <c r="D18" i="85"/>
  <c r="D20" i="85" s="1"/>
  <c r="E18" i="85"/>
  <c r="E21" i="85" s="1"/>
  <c r="F18" i="85"/>
  <c r="F30" i="85" s="1"/>
  <c r="G18" i="85"/>
  <c r="G30" i="85" s="1"/>
  <c r="H18" i="85"/>
  <c r="H30" i="85" s="1"/>
  <c r="I18" i="85"/>
  <c r="I30" i="85" s="1"/>
  <c r="J18" i="85"/>
  <c r="J21" i="85" s="1"/>
  <c r="K18" i="85"/>
  <c r="K20" i="85" s="1"/>
  <c r="L18" i="85"/>
  <c r="L21" i="85" s="1"/>
  <c r="M18" i="85"/>
  <c r="M21" i="85" s="1"/>
  <c r="N18" i="85"/>
  <c r="N30" i="85" s="1"/>
  <c r="B18" i="85"/>
  <c r="B21" i="85" s="1"/>
  <c r="M30" i="85" l="1"/>
  <c r="E30" i="85"/>
  <c r="B20" i="85"/>
  <c r="G21" i="85"/>
  <c r="F21" i="85"/>
  <c r="D21" i="85"/>
  <c r="L30" i="85"/>
  <c r="D30" i="85"/>
  <c r="K30" i="85"/>
  <c r="G20" i="85"/>
  <c r="E20" i="85"/>
  <c r="J30" i="85"/>
  <c r="F20" i="85"/>
  <c r="K21" i="85"/>
  <c r="L20" i="85"/>
  <c r="I21" i="85"/>
  <c r="M20" i="85"/>
  <c r="N21" i="85"/>
  <c r="C21" i="85"/>
  <c r="N20" i="85"/>
  <c r="H21" i="85"/>
  <c r="B15" i="87" l="1"/>
  <c r="C15" i="87"/>
  <c r="D15" i="87"/>
  <c r="E15" i="87"/>
  <c r="F15" i="87"/>
  <c r="G15" i="87"/>
  <c r="H15" i="87"/>
  <c r="I15" i="87"/>
  <c r="J15" i="87"/>
  <c r="K15" i="87"/>
  <c r="L15" i="87"/>
  <c r="M15" i="87"/>
  <c r="N15" i="87"/>
  <c r="O15" i="87"/>
  <c r="P15" i="87"/>
  <c r="Q15" i="87"/>
  <c r="R15" i="87"/>
  <c r="S15" i="87"/>
  <c r="T15" i="87"/>
  <c r="U15" i="87"/>
  <c r="V15" i="87"/>
  <c r="B9" i="85"/>
  <c r="C9" i="85"/>
  <c r="D9" i="85"/>
  <c r="E9" i="85"/>
  <c r="F9" i="85"/>
  <c r="G9" i="85"/>
  <c r="H9" i="85"/>
  <c r="I9" i="85"/>
  <c r="J9" i="85"/>
  <c r="K9" i="85"/>
  <c r="L9" i="85"/>
  <c r="M9" i="85"/>
  <c r="N9" i="85"/>
  <c r="AL5" i="82" l="1"/>
  <c r="B10" i="81" l="1"/>
  <c r="C10" i="81"/>
  <c r="D10" i="81"/>
  <c r="E10" i="81"/>
  <c r="F10" i="81"/>
  <c r="G10" i="81"/>
  <c r="H10" i="81"/>
  <c r="I10" i="81"/>
  <c r="J10" i="81"/>
  <c r="K10" i="81"/>
  <c r="L10" i="81"/>
  <c r="M10" i="81"/>
  <c r="N10" i="81"/>
  <c r="O10" i="81"/>
  <c r="P10" i="81"/>
  <c r="Q10" i="81"/>
  <c r="R10" i="81"/>
  <c r="S10" i="81"/>
  <c r="T10" i="81"/>
  <c r="U10" i="81"/>
  <c r="O5" i="78" l="1"/>
  <c r="G5" i="78"/>
  <c r="T4" i="78"/>
  <c r="L4" i="78"/>
  <c r="D4" i="78"/>
  <c r="Q3" i="78"/>
  <c r="I3" i="78"/>
  <c r="B6" i="74"/>
  <c r="B4" i="78" s="1"/>
  <c r="C6" i="74"/>
  <c r="C4" i="78" s="1"/>
  <c r="D6" i="74"/>
  <c r="D5" i="78" s="1"/>
  <c r="E6" i="74"/>
  <c r="E5" i="78" s="1"/>
  <c r="F6" i="74"/>
  <c r="F5" i="78" s="1"/>
  <c r="G6" i="74"/>
  <c r="G3" i="78" s="1"/>
  <c r="H6" i="74"/>
  <c r="H3" i="78" s="1"/>
  <c r="I6" i="74"/>
  <c r="I4" i="78" s="1"/>
  <c r="J6" i="74"/>
  <c r="J4" i="78" s="1"/>
  <c r="K6" i="74"/>
  <c r="K4" i="78" s="1"/>
  <c r="L6" i="74"/>
  <c r="L5" i="78" s="1"/>
  <c r="M6" i="74"/>
  <c r="M5" i="78" s="1"/>
  <c r="N6" i="74"/>
  <c r="N5" i="78" s="1"/>
  <c r="O6" i="74"/>
  <c r="O3" i="78" s="1"/>
  <c r="P6" i="74"/>
  <c r="P3" i="78" s="1"/>
  <c r="Q6" i="74"/>
  <c r="Q4" i="78" s="1"/>
  <c r="R6" i="74"/>
  <c r="R4" i="78" s="1"/>
  <c r="S6" i="74"/>
  <c r="S4" i="78" s="1"/>
  <c r="T6" i="74"/>
  <c r="T5" i="78" s="1"/>
  <c r="U6" i="74"/>
  <c r="U5" i="78" s="1"/>
  <c r="V6" i="74"/>
  <c r="V5" i="78" s="1"/>
  <c r="B7" i="75"/>
  <c r="C7" i="75"/>
  <c r="D7" i="75"/>
  <c r="E7" i="75"/>
  <c r="F7" i="75"/>
  <c r="G7" i="75"/>
  <c r="H7" i="75"/>
  <c r="I7" i="75"/>
  <c r="J7" i="75"/>
  <c r="K7" i="75"/>
  <c r="L7" i="75"/>
  <c r="M7" i="75"/>
  <c r="N7" i="75"/>
  <c r="W5" i="74" a="1"/>
  <c r="W5" i="74" s="1"/>
  <c r="B16" i="72"/>
  <c r="B15" i="72"/>
  <c r="C16" i="72"/>
  <c r="C15" i="72"/>
  <c r="B3" i="78" l="1"/>
  <c r="J3" i="78"/>
  <c r="R3" i="78"/>
  <c r="E4" i="78"/>
  <c r="M4" i="78"/>
  <c r="U4" i="78"/>
  <c r="H5" i="78"/>
  <c r="P5" i="78"/>
  <c r="C3" i="78"/>
  <c r="K3" i="78"/>
  <c r="S3" i="78"/>
  <c r="F4" i="78"/>
  <c r="N4" i="78"/>
  <c r="V4" i="78"/>
  <c r="I5" i="78"/>
  <c r="Q5" i="78"/>
  <c r="D3" i="78"/>
  <c r="L3" i="78"/>
  <c r="T3" i="78"/>
  <c r="G4" i="78"/>
  <c r="O4" i="78"/>
  <c r="B5" i="78"/>
  <c r="J5" i="78"/>
  <c r="R5" i="78"/>
  <c r="E3" i="78"/>
  <c r="M3" i="78"/>
  <c r="U3" i="78"/>
  <c r="H4" i="78"/>
  <c r="P4" i="78"/>
  <c r="C5" i="78"/>
  <c r="K5" i="78"/>
  <c r="S5" i="78"/>
  <c r="F3" i="78"/>
  <c r="N3" i="78"/>
  <c r="V3" i="78"/>
  <c r="N53" i="72"/>
  <c r="M53" i="72"/>
  <c r="L53" i="72"/>
  <c r="K53" i="72"/>
  <c r="J53" i="72"/>
  <c r="I53" i="72"/>
  <c r="H53" i="72"/>
  <c r="G53" i="72"/>
  <c r="F53" i="72"/>
  <c r="E53" i="72"/>
  <c r="D53" i="72"/>
  <c r="C53" i="72"/>
  <c r="B53" i="72"/>
  <c r="N52" i="72"/>
  <c r="M52" i="72"/>
  <c r="L52" i="72"/>
  <c r="K52" i="72"/>
  <c r="J52" i="72"/>
  <c r="I52" i="72"/>
  <c r="H52" i="72"/>
  <c r="G52" i="72"/>
  <c r="F52" i="72"/>
  <c r="E52" i="72"/>
  <c r="D52" i="72"/>
  <c r="C52" i="72"/>
  <c r="B52" i="72"/>
  <c r="D15" i="72"/>
  <c r="D16" i="72"/>
  <c r="B6" i="69" l="1"/>
  <c r="C6" i="69"/>
  <c r="D6" i="69"/>
  <c r="E6" i="69"/>
  <c r="F6" i="69"/>
  <c r="G6" i="69"/>
  <c r="H6" i="69"/>
  <c r="I6" i="69"/>
  <c r="J6" i="69"/>
  <c r="K6" i="69"/>
  <c r="L6" i="69"/>
  <c r="M6" i="69"/>
  <c r="N6" i="69"/>
  <c r="O6" i="69"/>
  <c r="P6" i="69"/>
  <c r="Q6" i="69"/>
  <c r="R6" i="69"/>
  <c r="S6" i="69"/>
  <c r="T6" i="69"/>
  <c r="U6" i="69"/>
  <c r="V6" i="69"/>
  <c r="G120" i="69"/>
  <c r="H120" i="69"/>
  <c r="I120" i="69"/>
  <c r="J120" i="69"/>
  <c r="G121" i="69"/>
  <c r="G126" i="69" s="1"/>
  <c r="H121" i="69"/>
  <c r="I121" i="69"/>
  <c r="J121" i="69"/>
  <c r="J126" i="69" s="1"/>
  <c r="J125" i="69"/>
  <c r="B126" i="69"/>
  <c r="C126" i="69"/>
  <c r="D126" i="69"/>
  <c r="E126" i="69"/>
  <c r="F126" i="69"/>
  <c r="H126" i="69"/>
  <c r="I126" i="69"/>
  <c r="C140" i="69"/>
  <c r="D140" i="69"/>
  <c r="E140" i="69"/>
  <c r="F140" i="69"/>
  <c r="G140" i="69"/>
  <c r="H140" i="69"/>
  <c r="I140" i="69"/>
  <c r="P40" i="61" l="1"/>
  <c r="Q40" i="61" s="1"/>
  <c r="R40" i="61" s="1"/>
  <c r="P41" i="61"/>
  <c r="Q41" i="61" s="1"/>
  <c r="R41" i="61" s="1"/>
  <c r="P39" i="61"/>
  <c r="Q39" i="61" s="1"/>
  <c r="R39" i="61" s="1"/>
  <c r="P38" i="61"/>
  <c r="Q38" i="61" s="1"/>
  <c r="R38" i="61" s="1"/>
  <c r="Q37" i="61"/>
  <c r="R37" i="61" s="1"/>
  <c r="P37" i="61"/>
  <c r="P36" i="61"/>
  <c r="Q36" i="61" s="1"/>
  <c r="R36" i="61" s="1"/>
  <c r="P35" i="61"/>
  <c r="Q35" i="61" s="1"/>
  <c r="R35" i="61" s="1"/>
  <c r="P34" i="61"/>
  <c r="Q34" i="61" s="1"/>
  <c r="R34" i="61" s="1"/>
  <c r="P33" i="61"/>
  <c r="Q33" i="61" s="1"/>
  <c r="R33" i="61" s="1"/>
  <c r="P32" i="61"/>
  <c r="Q32" i="61" s="1"/>
  <c r="R32" i="61" s="1"/>
  <c r="P31" i="61"/>
  <c r="Q31" i="61" s="1"/>
  <c r="R31" i="61" s="1"/>
  <c r="P30" i="61"/>
  <c r="Q30" i="61" s="1"/>
  <c r="R30" i="61" s="1"/>
  <c r="P29" i="61"/>
  <c r="Q29" i="61" s="1"/>
  <c r="R29" i="61" s="1"/>
  <c r="Q28" i="61"/>
  <c r="R28" i="61" s="1"/>
  <c r="P28" i="61"/>
  <c r="P27" i="61"/>
  <c r="Q27" i="61" s="1"/>
  <c r="R27" i="61" s="1"/>
  <c r="P26" i="61"/>
  <c r="Q26" i="61" s="1"/>
  <c r="R26" i="61" s="1"/>
  <c r="P25" i="61"/>
  <c r="Q25" i="61" s="1"/>
  <c r="R25" i="61" s="1"/>
  <c r="P24" i="61"/>
  <c r="Q24" i="61" s="1"/>
  <c r="R24" i="61" s="1"/>
  <c r="P23" i="61"/>
  <c r="Q23" i="61" s="1"/>
  <c r="R23" i="61" s="1"/>
  <c r="P22" i="61"/>
  <c r="Q22" i="61" s="1"/>
  <c r="R22" i="61" s="1"/>
  <c r="P21" i="61"/>
  <c r="Q21" i="61" s="1"/>
  <c r="R21" i="61" s="1"/>
  <c r="P20" i="61"/>
  <c r="Q20" i="61" s="1"/>
  <c r="R20" i="61" s="1"/>
  <c r="P19" i="61"/>
  <c r="Q19" i="61" s="1"/>
  <c r="R19" i="61" s="1"/>
  <c r="P18" i="61"/>
  <c r="Q18" i="61" s="1"/>
  <c r="R18" i="61" s="1"/>
  <c r="P17" i="61"/>
  <c r="Q17" i="61" s="1"/>
  <c r="R17" i="61" s="1"/>
  <c r="P16" i="61"/>
  <c r="Q16" i="61" s="1"/>
  <c r="R16" i="61" s="1"/>
  <c r="P15" i="61"/>
  <c r="Q15" i="61" s="1"/>
  <c r="R15" i="61" s="1"/>
  <c r="P14" i="61"/>
  <c r="Q14" i="61" s="1"/>
  <c r="R14" i="61" s="1"/>
  <c r="P13" i="61"/>
  <c r="Q13" i="61" s="1"/>
  <c r="R13" i="61" s="1"/>
  <c r="P12" i="61"/>
  <c r="Q12" i="61" s="1"/>
  <c r="R12" i="61" s="1"/>
  <c r="P11" i="61"/>
  <c r="Q11" i="61" s="1"/>
  <c r="R11" i="61" s="1"/>
  <c r="P10" i="61"/>
  <c r="Q10" i="61" s="1"/>
  <c r="R10" i="61" s="1"/>
  <c r="P9" i="61"/>
  <c r="Q9" i="61" s="1"/>
  <c r="R9" i="61" s="1"/>
  <c r="P8" i="61"/>
  <c r="Q8" i="61" s="1"/>
  <c r="R8" i="61" s="1"/>
  <c r="P7" i="61"/>
  <c r="Q7" i="61" s="1"/>
  <c r="R7" i="61" s="1"/>
  <c r="Q6" i="61"/>
  <c r="P6" i="61"/>
  <c r="P5" i="61"/>
  <c r="Q5" i="61" s="1"/>
  <c r="R5" i="61" s="1"/>
  <c r="P4" i="61"/>
  <c r="Q4" i="61" s="1"/>
  <c r="R4" i="61" s="1"/>
  <c r="P3" i="61"/>
  <c r="Q3" i="61" s="1"/>
  <c r="Q47" i="61" l="1"/>
  <c r="Q45" i="61"/>
  <c r="Q43" i="61"/>
  <c r="Q42" i="61"/>
  <c r="R3" i="61"/>
  <c r="Q46" i="61"/>
  <c r="R6" i="61"/>
  <c r="B7" i="60" l="1"/>
  <c r="C7" i="60"/>
  <c r="D7" i="60"/>
  <c r="E7" i="60"/>
  <c r="F7" i="60"/>
  <c r="G7" i="60"/>
  <c r="H7" i="60"/>
  <c r="I7" i="60"/>
  <c r="J7" i="60"/>
  <c r="K7" i="60"/>
  <c r="L7" i="60"/>
  <c r="M7" i="60"/>
  <c r="N7" i="60"/>
  <c r="O7" i="60"/>
  <c r="P7" i="60"/>
  <c r="Q7" i="60"/>
  <c r="R7" i="60"/>
  <c r="S7" i="60"/>
  <c r="T7" i="60"/>
  <c r="U7" i="60"/>
  <c r="V7" i="60"/>
  <c r="Q4" i="55"/>
  <c r="P4" i="55"/>
  <c r="O4" i="55"/>
  <c r="B13" i="53" l="1"/>
  <c r="C13" i="53"/>
  <c r="D13" i="53"/>
  <c r="E13" i="53"/>
  <c r="F13" i="53"/>
  <c r="G13" i="53"/>
  <c r="H13" i="53"/>
  <c r="I13" i="53"/>
  <c r="J13" i="53"/>
  <c r="K13" i="53"/>
  <c r="L13" i="53"/>
  <c r="M13" i="53"/>
  <c r="N13" i="53"/>
  <c r="B6" i="55" l="1"/>
  <c r="C6" i="55"/>
  <c r="C4" i="55" s="1"/>
  <c r="D6" i="55"/>
  <c r="E6" i="55"/>
  <c r="E4" i="55" s="1"/>
  <c r="F6" i="55"/>
  <c r="F4" i="55" s="1"/>
  <c r="G6" i="55"/>
  <c r="G4" i="55" s="1"/>
  <c r="H6" i="55"/>
  <c r="H4" i="55" s="1"/>
  <c r="I6" i="55"/>
  <c r="I4" i="55" s="1"/>
  <c r="J6" i="55"/>
  <c r="K6" i="55"/>
  <c r="K4" i="55" s="1"/>
  <c r="L6" i="55"/>
  <c r="M6" i="55"/>
  <c r="M4" i="55" s="1"/>
  <c r="N6" i="55"/>
  <c r="N4" i="55" s="1"/>
  <c r="B4" i="55"/>
  <c r="D4" i="55"/>
  <c r="J4" i="55"/>
  <c r="L4" i="55"/>
  <c r="B14" i="53"/>
  <c r="C14" i="53"/>
  <c r="D14" i="53"/>
  <c r="E14" i="53"/>
  <c r="F14" i="53"/>
  <c r="G14" i="53"/>
  <c r="H14" i="53"/>
  <c r="I14" i="53"/>
  <c r="J14" i="53"/>
  <c r="K14" i="53"/>
  <c r="L14" i="53"/>
  <c r="M14" i="53"/>
  <c r="N14" i="53"/>
  <c r="B13" i="48"/>
  <c r="C13" i="48"/>
  <c r="D13" i="48"/>
  <c r="E13" i="48"/>
  <c r="F13" i="48"/>
  <c r="G13" i="48"/>
  <c r="H13" i="48"/>
  <c r="I13" i="48"/>
  <c r="J13" i="48"/>
  <c r="K13" i="48"/>
  <c r="L13" i="48"/>
  <c r="M13" i="48"/>
  <c r="N13" i="48"/>
  <c r="O13" i="48"/>
  <c r="P13" i="48"/>
  <c r="B14" i="48"/>
  <c r="C14" i="48"/>
  <c r="D14" i="48"/>
  <c r="E14" i="48"/>
  <c r="F14" i="48"/>
  <c r="G14" i="48"/>
  <c r="H14" i="48"/>
  <c r="I14" i="48"/>
  <c r="J14" i="48"/>
  <c r="K14" i="48"/>
  <c r="L14" i="48"/>
  <c r="M14" i="48"/>
  <c r="N14" i="48"/>
  <c r="O14" i="48"/>
  <c r="P14" i="48"/>
  <c r="B15" i="48"/>
  <c r="C15" i="48"/>
  <c r="D15" i="48"/>
  <c r="E15" i="48"/>
  <c r="F15" i="48"/>
  <c r="G15" i="48"/>
  <c r="H15" i="48"/>
  <c r="I15" i="48"/>
  <c r="J15" i="48"/>
  <c r="K15" i="48"/>
  <c r="L15" i="48"/>
  <c r="M15" i="48"/>
  <c r="N15" i="48"/>
  <c r="O15" i="48"/>
  <c r="P15" i="48"/>
  <c r="U6" i="46" l="1"/>
  <c r="T6" i="46"/>
  <c r="S6" i="46"/>
  <c r="R6" i="46"/>
  <c r="Q6" i="46"/>
  <c r="P6" i="46"/>
  <c r="O6" i="46"/>
  <c r="N6" i="46"/>
  <c r="M6" i="46"/>
  <c r="L6" i="46"/>
  <c r="K6" i="46"/>
  <c r="J6" i="46"/>
  <c r="I6" i="46"/>
  <c r="H6" i="46"/>
  <c r="G6" i="46"/>
  <c r="F6" i="46"/>
  <c r="E6" i="46"/>
  <c r="D6" i="46"/>
  <c r="C6" i="46"/>
  <c r="B6" i="46"/>
  <c r="O10" i="43" l="1"/>
  <c r="M10" i="43"/>
  <c r="K10" i="43"/>
  <c r="V10" i="43"/>
  <c r="R10" i="43"/>
  <c r="Q10" i="43"/>
  <c r="P10" i="43"/>
  <c r="N10" i="43"/>
  <c r="U10" i="43"/>
  <c r="S10" i="43"/>
  <c r="H10" i="43"/>
  <c r="G10" i="43"/>
  <c r="F10" i="43"/>
  <c r="E10" i="43"/>
  <c r="D10" i="43"/>
  <c r="C10" i="43"/>
  <c r="B10" i="43"/>
  <c r="T10" i="43"/>
  <c r="L10" i="43"/>
  <c r="J10" i="43"/>
  <c r="I10" i="43"/>
  <c r="B23" i="42" l="1"/>
  <c r="B24" i="42"/>
  <c r="B26" i="42"/>
  <c r="B27" i="42"/>
  <c r="C12" i="41" l="1"/>
  <c r="B12" i="41"/>
  <c r="B5" i="40"/>
  <c r="C5" i="40"/>
  <c r="D5" i="40"/>
  <c r="E5" i="40"/>
  <c r="F5" i="40"/>
  <c r="G5" i="40"/>
  <c r="H5" i="40"/>
  <c r="I5" i="40"/>
  <c r="J5" i="40"/>
  <c r="K5" i="40"/>
  <c r="L5" i="40"/>
  <c r="M5" i="40"/>
  <c r="N5" i="40"/>
  <c r="Q7" i="36" l="1"/>
  <c r="P7" i="36"/>
  <c r="O7" i="36"/>
  <c r="N7" i="36"/>
  <c r="M7" i="36"/>
  <c r="L7" i="36"/>
  <c r="K7" i="36"/>
  <c r="J7" i="36"/>
  <c r="I7" i="36"/>
  <c r="H7" i="36"/>
  <c r="G7" i="36"/>
  <c r="F7" i="36"/>
  <c r="E7" i="36"/>
  <c r="D7" i="36"/>
  <c r="C7" i="36"/>
  <c r="B7" i="36"/>
  <c r="Q8" i="35"/>
  <c r="P8" i="35"/>
  <c r="O8" i="35"/>
  <c r="N8" i="35"/>
  <c r="M8" i="35"/>
  <c r="L8" i="35"/>
  <c r="K8" i="35"/>
  <c r="J8" i="35"/>
  <c r="I8" i="35"/>
  <c r="H8" i="35"/>
  <c r="G8" i="35"/>
  <c r="F8" i="35"/>
  <c r="E8" i="35"/>
  <c r="D8" i="35"/>
  <c r="C8" i="35"/>
  <c r="B8" i="35"/>
  <c r="C31" i="10" l="1"/>
  <c r="C30" i="10"/>
  <c r="R7" i="31"/>
  <c r="Q7" i="31"/>
  <c r="P7" i="31"/>
  <c r="O7" i="31"/>
  <c r="N7" i="31"/>
  <c r="M7" i="31"/>
  <c r="L7" i="31"/>
  <c r="K7" i="31"/>
  <c r="J7" i="31"/>
  <c r="I7" i="31"/>
  <c r="H7" i="31"/>
  <c r="G7" i="31"/>
  <c r="F7" i="31"/>
  <c r="E7" i="31"/>
  <c r="D7" i="31"/>
  <c r="C7" i="31"/>
  <c r="B7" i="31"/>
  <c r="R5" i="31"/>
  <c r="Q5" i="31"/>
  <c r="P5" i="31"/>
  <c r="O5" i="31"/>
  <c r="N5" i="31"/>
  <c r="M5" i="31"/>
  <c r="L5" i="31"/>
  <c r="K5" i="31"/>
  <c r="J5" i="31"/>
  <c r="I5" i="31"/>
  <c r="H5" i="31"/>
  <c r="G5" i="31"/>
  <c r="F5" i="31"/>
  <c r="E5" i="31"/>
  <c r="D5" i="31"/>
  <c r="C5" i="31"/>
  <c r="B5" i="31"/>
  <c r="E33" i="13" l="1"/>
  <c r="E32" i="13"/>
  <c r="E31" i="13"/>
  <c r="E30" i="13"/>
  <c r="K3" i="29" l="1"/>
  <c r="L3" i="29"/>
  <c r="K4" i="29"/>
  <c r="L4" i="29"/>
  <c r="K5" i="29"/>
  <c r="L5" i="29"/>
  <c r="K6" i="29"/>
  <c r="L6" i="29"/>
  <c r="K7" i="29"/>
  <c r="L7" i="29"/>
  <c r="K8" i="29"/>
  <c r="L8" i="29"/>
  <c r="K9" i="29"/>
  <c r="L9" i="29"/>
  <c r="K10" i="29"/>
  <c r="L10" i="29"/>
  <c r="K11" i="29"/>
  <c r="L11" i="29"/>
  <c r="K12" i="29"/>
  <c r="L12" i="29"/>
  <c r="K13" i="29"/>
  <c r="L13" i="29"/>
  <c r="L3" i="28" l="1"/>
  <c r="L4" i="28"/>
  <c r="L5" i="28"/>
  <c r="L6" i="28"/>
  <c r="L7" i="28"/>
  <c r="L8" i="28"/>
  <c r="L9" i="28"/>
  <c r="L10" i="28"/>
  <c r="L11" i="28"/>
  <c r="L12" i="28"/>
  <c r="L13" i="28"/>
  <c r="L14" i="28"/>
  <c r="L15" i="28"/>
  <c r="L16" i="28"/>
  <c r="L17" i="28"/>
  <c r="L18" i="28"/>
  <c r="L19" i="28"/>
  <c r="L20" i="28"/>
  <c r="L21" i="28"/>
  <c r="L22" i="28"/>
  <c r="L24" i="28"/>
  <c r="L25" i="28"/>
  <c r="L26" i="28"/>
  <c r="L27" i="28"/>
  <c r="L28" i="28"/>
  <c r="L29" i="28"/>
  <c r="L30" i="28"/>
  <c r="L31" i="28"/>
  <c r="L32" i="28"/>
  <c r="L33" i="28"/>
  <c r="L34" i="28"/>
  <c r="L35" i="28"/>
  <c r="L36" i="28"/>
  <c r="L37" i="28"/>
  <c r="L38" i="28"/>
  <c r="L39" i="28"/>
  <c r="L40" i="28"/>
  <c r="L41" i="28"/>
  <c r="Q21" i="27" l="1"/>
  <c r="P21" i="27"/>
  <c r="O21" i="27"/>
  <c r="I21" i="27"/>
  <c r="H21" i="27"/>
  <c r="G21" i="27"/>
  <c r="V20" i="27"/>
  <c r="V21" i="27" s="1"/>
  <c r="U20" i="27"/>
  <c r="U21" i="27" s="1"/>
  <c r="T20" i="27"/>
  <c r="T21" i="27" s="1"/>
  <c r="S20" i="27"/>
  <c r="S21" i="27" s="1"/>
  <c r="R20" i="27"/>
  <c r="R21" i="27" s="1"/>
  <c r="Q20" i="27"/>
  <c r="P20" i="27"/>
  <c r="O20" i="27"/>
  <c r="N20" i="27"/>
  <c r="N21" i="27" s="1"/>
  <c r="M20" i="27"/>
  <c r="M21" i="27" s="1"/>
  <c r="L20" i="27"/>
  <c r="L21" i="27" s="1"/>
  <c r="K20" i="27"/>
  <c r="K21" i="27" s="1"/>
  <c r="J20" i="27"/>
  <c r="J21" i="27" s="1"/>
  <c r="I20" i="27"/>
  <c r="H20" i="27"/>
  <c r="G20" i="27"/>
  <c r="F20" i="27"/>
  <c r="F21" i="27" s="1"/>
  <c r="E20" i="27"/>
  <c r="E21" i="27" s="1"/>
  <c r="V19" i="27"/>
  <c r="U19" i="27"/>
  <c r="T19" i="27"/>
  <c r="S19" i="27"/>
  <c r="R19" i="27"/>
  <c r="Q19" i="27"/>
  <c r="P19" i="27"/>
  <c r="O19" i="27"/>
  <c r="N19" i="27"/>
  <c r="M19" i="27"/>
  <c r="L19" i="27"/>
  <c r="K19" i="27"/>
  <c r="J19" i="27"/>
  <c r="I19" i="27"/>
  <c r="H19" i="27"/>
  <c r="G19" i="27"/>
  <c r="F19" i="27"/>
  <c r="E19" i="27"/>
  <c r="L4" i="26" l="1"/>
  <c r="L5" i="26"/>
  <c r="L6" i="26"/>
  <c r="L7" i="26"/>
  <c r="L8" i="26"/>
  <c r="L9" i="26"/>
  <c r="L10" i="26"/>
  <c r="L11" i="26"/>
  <c r="L12" i="26"/>
  <c r="L13" i="26"/>
  <c r="K8" i="26"/>
  <c r="K7" i="26"/>
  <c r="K5" i="26"/>
  <c r="K6" i="26"/>
  <c r="K9" i="26"/>
  <c r="K10" i="26"/>
  <c r="K11" i="26"/>
  <c r="K4" i="26"/>
  <c r="K3" i="26"/>
  <c r="K12" i="26"/>
  <c r="K13" i="26"/>
  <c r="L3" i="26"/>
  <c r="G20" i="22" l="1"/>
  <c r="G19" i="22"/>
  <c r="G18" i="22"/>
  <c r="G17" i="22"/>
  <c r="G10" i="22"/>
  <c r="F10" i="22"/>
  <c r="E10" i="22"/>
  <c r="D10" i="22"/>
  <c r="C10" i="22"/>
  <c r="B10" i="22"/>
  <c r="F6" i="22"/>
  <c r="E6" i="22"/>
  <c r="D6" i="22"/>
  <c r="C6" i="22"/>
  <c r="B6" i="22"/>
  <c r="G6" i="22" s="1"/>
  <c r="F5" i="22"/>
  <c r="E5" i="22"/>
  <c r="D5" i="22"/>
  <c r="C5" i="22"/>
  <c r="B5" i="22"/>
  <c r="G5" i="22" s="1"/>
  <c r="F4" i="22"/>
  <c r="G4" i="22" s="1"/>
  <c r="E4" i="22"/>
  <c r="D4" i="22"/>
  <c r="C4" i="22"/>
  <c r="B4" i="22"/>
  <c r="D3" i="22"/>
  <c r="G3" i="22" s="1"/>
  <c r="C3" i="22"/>
  <c r="B3" i="22"/>
  <c r="K41" i="28" l="1"/>
  <c r="J41" i="28"/>
  <c r="K40" i="28"/>
  <c r="J40" i="28"/>
  <c r="K39" i="28"/>
  <c r="J39" i="28"/>
  <c r="K38" i="28"/>
  <c r="J38" i="28"/>
  <c r="K37" i="28"/>
  <c r="J37" i="28"/>
  <c r="K36" i="28"/>
  <c r="J36" i="28"/>
  <c r="K35" i="28"/>
  <c r="J35" i="28"/>
  <c r="K34" i="28"/>
  <c r="J34" i="28"/>
  <c r="K33" i="28"/>
  <c r="J33" i="28"/>
  <c r="K32" i="28"/>
  <c r="J32" i="28"/>
  <c r="K31" i="28"/>
  <c r="J31" i="28"/>
  <c r="K30" i="28"/>
  <c r="J30" i="28"/>
  <c r="K29" i="28"/>
  <c r="J29" i="28"/>
  <c r="K28" i="28"/>
  <c r="J28" i="28"/>
  <c r="K27" i="28"/>
  <c r="J27" i="28"/>
  <c r="K26" i="28"/>
  <c r="J26" i="28"/>
  <c r="K25" i="28"/>
  <c r="J25" i="28"/>
  <c r="K24" i="28"/>
  <c r="J24" i="28"/>
  <c r="K22" i="28"/>
  <c r="J22" i="28"/>
  <c r="K21" i="28"/>
  <c r="J21" i="28"/>
  <c r="K20" i="28"/>
  <c r="J20" i="28"/>
  <c r="K19" i="28"/>
  <c r="J19" i="28"/>
  <c r="K18" i="28"/>
  <c r="J18" i="28"/>
  <c r="K17" i="28"/>
  <c r="J17" i="28"/>
  <c r="K16" i="28"/>
  <c r="J16" i="28"/>
  <c r="K15" i="28"/>
  <c r="J15" i="28"/>
  <c r="K14" i="28"/>
  <c r="J14" i="28"/>
  <c r="K13" i="28"/>
  <c r="J13" i="28"/>
  <c r="K12" i="28"/>
  <c r="J12" i="28"/>
  <c r="K11" i="28"/>
  <c r="J11" i="28"/>
  <c r="K10" i="28"/>
  <c r="J10" i="28"/>
  <c r="K9" i="28"/>
  <c r="J9" i="28"/>
  <c r="K8" i="28"/>
  <c r="J8" i="28"/>
  <c r="K7" i="28"/>
  <c r="J7" i="28"/>
  <c r="K6" i="28"/>
  <c r="J6" i="28"/>
  <c r="K5" i="28"/>
  <c r="J5" i="28"/>
  <c r="K4" i="28"/>
  <c r="J4" i="28"/>
  <c r="K3" i="28"/>
  <c r="J3" i="28"/>
  <c r="F9" i="25"/>
  <c r="F8" i="25"/>
  <c r="E23" i="20" l="1"/>
  <c r="E6" i="20"/>
  <c r="V8" i="21"/>
  <c r="U8" i="21"/>
  <c r="T8" i="21"/>
  <c r="S8" i="21"/>
  <c r="R8" i="21"/>
  <c r="Q8" i="21"/>
  <c r="P8" i="21"/>
  <c r="O8" i="21"/>
  <c r="N8" i="21"/>
  <c r="M8" i="21"/>
  <c r="L8" i="21"/>
  <c r="K8" i="21"/>
  <c r="J8" i="21"/>
  <c r="I8" i="21"/>
  <c r="H8" i="21"/>
  <c r="G8" i="21"/>
  <c r="F8" i="21"/>
  <c r="E8" i="21"/>
  <c r="D8" i="21"/>
  <c r="C8" i="21"/>
  <c r="B8" i="21"/>
  <c r="F7" i="16" l="1"/>
  <c r="F9" i="15"/>
  <c r="I8" i="15"/>
  <c r="H8" i="15"/>
  <c r="E7" i="15"/>
  <c r="E8" i="15" s="1"/>
  <c r="D7" i="15"/>
  <c r="D8" i="15" s="1"/>
  <c r="C7" i="15"/>
  <c r="C8" i="15" s="1"/>
  <c r="B7" i="15"/>
  <c r="F7" i="15" s="1"/>
  <c r="J6" i="15"/>
  <c r="I6" i="15"/>
  <c r="H6" i="15"/>
  <c r="G6" i="15"/>
  <c r="F6" i="15"/>
  <c r="K6" i="15" s="1"/>
  <c r="K5" i="15"/>
  <c r="J5" i="15"/>
  <c r="I5" i="15"/>
  <c r="H5" i="15"/>
  <c r="G5" i="15"/>
  <c r="F5" i="15"/>
  <c r="K4" i="15"/>
  <c r="J4" i="15"/>
  <c r="I4" i="15"/>
  <c r="H4" i="15"/>
  <c r="G4" i="15"/>
  <c r="F4" i="15"/>
  <c r="J3" i="15"/>
  <c r="I3" i="15"/>
  <c r="H3" i="15"/>
  <c r="G3" i="15"/>
  <c r="F3" i="15"/>
  <c r="K3" i="15" s="1"/>
  <c r="K8" i="15" s="1"/>
  <c r="F9" i="16"/>
  <c r="K4" i="16" s="1"/>
  <c r="J8" i="16"/>
  <c r="I8" i="16"/>
  <c r="D8" i="16"/>
  <c r="C8" i="16"/>
  <c r="B8" i="16"/>
  <c r="E7" i="16"/>
  <c r="E8" i="16" s="1"/>
  <c r="D7" i="16"/>
  <c r="C7" i="16"/>
  <c r="B7" i="16"/>
  <c r="J6" i="16"/>
  <c r="I6" i="16"/>
  <c r="H6" i="16"/>
  <c r="G6" i="16"/>
  <c r="F6" i="16"/>
  <c r="J5" i="16"/>
  <c r="I5" i="16"/>
  <c r="H5" i="16"/>
  <c r="G5" i="16"/>
  <c r="F5" i="16"/>
  <c r="J4" i="16"/>
  <c r="I4" i="16"/>
  <c r="H4" i="16"/>
  <c r="G4" i="16"/>
  <c r="F4" i="16"/>
  <c r="J3" i="16"/>
  <c r="I3" i="16"/>
  <c r="H3" i="16"/>
  <c r="H8" i="16" s="1"/>
  <c r="G3" i="16"/>
  <c r="F3" i="16"/>
  <c r="G8" i="16" l="1"/>
  <c r="K3" i="16"/>
  <c r="K6" i="16"/>
  <c r="F8" i="16"/>
  <c r="G8" i="15"/>
  <c r="B8" i="15"/>
  <c r="F8" i="15" s="1"/>
  <c r="J8" i="15"/>
  <c r="K5" i="16"/>
  <c r="K8" i="16" s="1"/>
  <c r="J32" i="10" l="1"/>
  <c r="E29" i="11" l="1"/>
  <c r="C29" i="11"/>
  <c r="H28" i="11"/>
  <c r="I28" i="11" s="1"/>
  <c r="J70" i="10"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H6" i="11"/>
  <c r="I6" i="11" s="1"/>
  <c r="H5" i="11"/>
  <c r="H4" i="11"/>
  <c r="H3" i="11"/>
  <c r="J28" i="10"/>
  <c r="K28" i="10" s="1"/>
  <c r="J27" i="10"/>
  <c r="K27" i="10" s="1"/>
  <c r="J26" i="10"/>
  <c r="K26" i="10" s="1"/>
  <c r="J25" i="10"/>
  <c r="K25" i="10" s="1"/>
  <c r="J24" i="10"/>
  <c r="K24" i="10" s="1"/>
  <c r="J23" i="10"/>
  <c r="K23" i="10" s="1"/>
  <c r="J22" i="10"/>
  <c r="K22" i="10" s="1"/>
  <c r="J21" i="10"/>
  <c r="K21" i="10" s="1"/>
  <c r="J20" i="10"/>
  <c r="K20" i="10" s="1"/>
  <c r="J19" i="10"/>
  <c r="K19" i="10" s="1"/>
  <c r="J18" i="10"/>
  <c r="K18" i="10" s="1"/>
  <c r="J17" i="10"/>
  <c r="K17" i="10" s="1"/>
  <c r="J16" i="10"/>
  <c r="K16" i="10" s="1"/>
  <c r="J15" i="10"/>
  <c r="K15" i="10" s="1"/>
  <c r="J14" i="10"/>
  <c r="K14" i="10" s="1"/>
  <c r="J13" i="10"/>
  <c r="K13" i="10" s="1"/>
  <c r="J12" i="10"/>
  <c r="K12" i="10" s="1"/>
  <c r="J11" i="10"/>
  <c r="K11" i="10" s="1"/>
  <c r="J10" i="10"/>
  <c r="J9" i="10"/>
  <c r="K9" i="10" s="1"/>
  <c r="J8" i="10"/>
  <c r="K8" i="10" s="1"/>
  <c r="J7" i="10"/>
  <c r="K7" i="10" s="1"/>
  <c r="J6" i="10"/>
  <c r="K6" i="10" s="1"/>
  <c r="J5" i="10"/>
  <c r="K5" i="10" s="1"/>
  <c r="J4" i="10"/>
  <c r="K4" i="10" s="1"/>
  <c r="J3" i="10"/>
  <c r="I4" i="11" l="1"/>
  <c r="I5" i="11"/>
  <c r="I3" i="11"/>
  <c r="I32" i="11"/>
  <c r="I33" i="11"/>
  <c r="I30" i="11"/>
  <c r="I29" i="11"/>
  <c r="I31" i="11"/>
  <c r="J33" i="10"/>
  <c r="K10" i="10"/>
  <c r="J29" i="10"/>
  <c r="K3" i="10"/>
  <c r="J30" i="10"/>
  <c r="J31" i="10"/>
  <c r="B10" i="6"/>
  <c r="D13" i="8"/>
  <c r="D15" i="8" s="1"/>
  <c r="B12" i="6" l="1"/>
  <c r="B13" i="8"/>
  <c r="B15" i="8" s="1"/>
  <c r="C13" i="8" l="1"/>
  <c r="C15" i="8" s="1"/>
  <c r="B18" i="7" l="1"/>
  <c r="C18" i="7"/>
  <c r="D18" i="7"/>
  <c r="E18" i="7"/>
  <c r="F18" i="7"/>
  <c r="G18" i="7"/>
  <c r="H18" i="7"/>
  <c r="I18" i="7"/>
  <c r="J18" i="7"/>
  <c r="K18" i="7"/>
  <c r="L18" i="7"/>
  <c r="M18" i="7"/>
  <c r="N18" i="7"/>
  <c r="O18" i="7"/>
  <c r="P18" i="7"/>
  <c r="Q18" i="7"/>
  <c r="R18" i="7"/>
  <c r="S18" i="7"/>
  <c r="T18" i="7"/>
  <c r="U18" i="7"/>
  <c r="V18" i="7"/>
  <c r="Q5" i="5" l="1"/>
  <c r="S5" i="5"/>
  <c r="F9" i="5"/>
  <c r="F15" i="5" s="1"/>
  <c r="Q9" i="5"/>
  <c r="Q15" i="5" s="1"/>
  <c r="S9" i="5"/>
  <c r="S11" i="5" s="1"/>
  <c r="U9" i="5"/>
  <c r="U11" i="5" s="1"/>
  <c r="V9" i="5"/>
  <c r="V11" i="5" s="1"/>
  <c r="B11" i="5"/>
  <c r="C11" i="5"/>
  <c r="D11" i="5"/>
  <c r="E11" i="5"/>
  <c r="G11" i="5"/>
  <c r="H11" i="5"/>
  <c r="I11" i="5"/>
  <c r="J11" i="5"/>
  <c r="K11" i="5"/>
  <c r="L11" i="5"/>
  <c r="M11" i="5"/>
  <c r="N11" i="5"/>
  <c r="O11" i="5"/>
  <c r="P11" i="5"/>
  <c r="R11" i="5"/>
  <c r="T11" i="5"/>
  <c r="B14" i="5"/>
  <c r="C14" i="5"/>
  <c r="C17" i="5" s="1"/>
  <c r="D14" i="5"/>
  <c r="E14" i="5"/>
  <c r="F14" i="5"/>
  <c r="G14" i="5"/>
  <c r="H14" i="5"/>
  <c r="I14" i="5"/>
  <c r="J14" i="5"/>
  <c r="K14" i="5"/>
  <c r="L14" i="5"/>
  <c r="M14" i="5"/>
  <c r="N14" i="5"/>
  <c r="O14" i="5"/>
  <c r="P14" i="5"/>
  <c r="Q14" i="5"/>
  <c r="R14" i="5"/>
  <c r="S14" i="5"/>
  <c r="T14" i="5"/>
  <c r="U14" i="5"/>
  <c r="V14" i="5"/>
  <c r="B15" i="5"/>
  <c r="C15" i="5"/>
  <c r="D15" i="5"/>
  <c r="E15" i="5"/>
  <c r="G15" i="5"/>
  <c r="H15" i="5"/>
  <c r="I15" i="5"/>
  <c r="J15" i="5"/>
  <c r="K15" i="5"/>
  <c r="K17" i="5" s="1"/>
  <c r="L15" i="5"/>
  <c r="M15" i="5"/>
  <c r="N15" i="5"/>
  <c r="O15" i="5"/>
  <c r="P15" i="5"/>
  <c r="R15" i="5"/>
  <c r="T15" i="5"/>
  <c r="B16" i="5"/>
  <c r="C16" i="5"/>
  <c r="D16" i="5"/>
  <c r="E16" i="5"/>
  <c r="F16" i="5"/>
  <c r="G16" i="5"/>
  <c r="H16" i="5"/>
  <c r="I16" i="5"/>
  <c r="J16" i="5"/>
  <c r="K16" i="5"/>
  <c r="L16" i="5"/>
  <c r="M16" i="5"/>
  <c r="N16" i="5"/>
  <c r="O16" i="5"/>
  <c r="P16" i="5"/>
  <c r="Q16" i="5"/>
  <c r="R16" i="5"/>
  <c r="S16" i="5"/>
  <c r="T16" i="5"/>
  <c r="U16" i="5"/>
  <c r="V16" i="5"/>
  <c r="E22" i="5"/>
  <c r="F22" i="5"/>
  <c r="G22" i="5"/>
  <c r="H22" i="5"/>
  <c r="I22" i="5"/>
  <c r="J22" i="5"/>
  <c r="K22" i="5"/>
  <c r="L22" i="5"/>
  <c r="M22" i="5"/>
  <c r="N22" i="5"/>
  <c r="O22" i="5"/>
  <c r="P22" i="5"/>
  <c r="Q22" i="5"/>
  <c r="R22" i="5"/>
  <c r="S22" i="5"/>
  <c r="T22" i="5"/>
  <c r="U22" i="5"/>
  <c r="V22" i="5"/>
  <c r="Q23" i="5"/>
  <c r="Q24" i="5" s="1"/>
  <c r="S23" i="5"/>
  <c r="S24" i="5" s="1"/>
  <c r="E24" i="5"/>
  <c r="F24" i="5"/>
  <c r="G24" i="5"/>
  <c r="H24" i="5"/>
  <c r="I24" i="5"/>
  <c r="J24" i="5"/>
  <c r="K24" i="5"/>
  <c r="L24" i="5"/>
  <c r="M24" i="5"/>
  <c r="N24" i="5"/>
  <c r="O24" i="5"/>
  <c r="P24" i="5"/>
  <c r="R24" i="5"/>
  <c r="T24" i="5"/>
  <c r="U24" i="5"/>
  <c r="V24" i="5"/>
  <c r="B26" i="5"/>
  <c r="C26" i="5"/>
  <c r="D26" i="5"/>
  <c r="E26" i="5"/>
  <c r="F26" i="5"/>
  <c r="G26" i="5"/>
  <c r="H26" i="5"/>
  <c r="I26" i="5"/>
  <c r="J26" i="5"/>
  <c r="K26" i="5"/>
  <c r="L26" i="5"/>
  <c r="M26" i="5"/>
  <c r="N26" i="5"/>
  <c r="O26" i="5"/>
  <c r="P26" i="5"/>
  <c r="Q26" i="5"/>
  <c r="R26" i="5"/>
  <c r="S26" i="5"/>
  <c r="T26" i="5"/>
  <c r="U26" i="5"/>
  <c r="V26" i="5"/>
  <c r="E27" i="5"/>
  <c r="F27" i="5"/>
  <c r="G27" i="5"/>
  <c r="H27" i="5"/>
  <c r="I27" i="5"/>
  <c r="J27" i="5"/>
  <c r="K27" i="5"/>
  <c r="L27" i="5"/>
  <c r="M27" i="5"/>
  <c r="N27" i="5"/>
  <c r="O27" i="5"/>
  <c r="P27" i="5"/>
  <c r="Q27" i="5"/>
  <c r="R27" i="5"/>
  <c r="S27" i="5"/>
  <c r="T27" i="5"/>
  <c r="U27" i="5"/>
  <c r="V27" i="5"/>
  <c r="E28" i="5"/>
  <c r="F28" i="5"/>
  <c r="G28" i="5"/>
  <c r="H28" i="5"/>
  <c r="I28" i="5"/>
  <c r="J28" i="5"/>
  <c r="K28" i="5"/>
  <c r="L28" i="5"/>
  <c r="M28" i="5"/>
  <c r="N28" i="5"/>
  <c r="O28" i="5"/>
  <c r="P28" i="5"/>
  <c r="R28" i="5"/>
  <c r="S28" i="5"/>
  <c r="T28" i="5"/>
  <c r="U28" i="5"/>
  <c r="V28" i="5"/>
  <c r="W5" i="4"/>
  <c r="B6" i="4"/>
  <c r="C6" i="4"/>
  <c r="D6" i="4"/>
  <c r="E6" i="4"/>
  <c r="F6" i="4"/>
  <c r="G6" i="4"/>
  <c r="H6" i="4"/>
  <c r="I6" i="4"/>
  <c r="J6" i="4"/>
  <c r="K6" i="4"/>
  <c r="L6" i="4"/>
  <c r="M6" i="4"/>
  <c r="N6" i="4"/>
  <c r="O6" i="4"/>
  <c r="P6" i="4"/>
  <c r="Q6" i="4"/>
  <c r="R6" i="4"/>
  <c r="S6" i="4"/>
  <c r="T6" i="4"/>
  <c r="U6" i="4"/>
  <c r="V6" i="4"/>
  <c r="F11" i="5" l="1"/>
  <c r="V15" i="5"/>
  <c r="V17" i="5" s="1"/>
  <c r="O17" i="5"/>
  <c r="G17" i="5"/>
  <c r="R17" i="5"/>
  <c r="J17" i="5"/>
  <c r="P17" i="5"/>
  <c r="H17" i="5"/>
  <c r="U15" i="5"/>
  <c r="B17" i="5"/>
  <c r="Q11" i="5"/>
  <c r="U17" i="5"/>
  <c r="M17" i="5"/>
  <c r="E17" i="5"/>
  <c r="T17" i="5"/>
  <c r="L17" i="5"/>
  <c r="D17" i="5"/>
  <c r="N17" i="5"/>
  <c r="F17" i="5"/>
  <c r="I17" i="5"/>
  <c r="Q17" i="5"/>
  <c r="Q28" i="5"/>
  <c r="S15" i="5"/>
  <c r="S17" i="5" s="1"/>
  <c r="W6" i="74" l="1"/>
  <c r="X6" i="74"/>
  <c r="Y6" i="74"/>
  <c r="B25"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author>
    <author/>
  </authors>
  <commentList>
    <comment ref="A4" authorId="0" shapeId="0" xr:uid="{60C9DD9F-397F-F547-8EFF-5243D51030FB}">
      <text>
        <r>
          <rPr>
            <sz val="10"/>
            <color rgb="FF000000"/>
            <rFont val="Aptos Narrow"/>
            <family val="2"/>
            <scheme val="minor"/>
          </rPr>
          <t>Private Dwellings occupied by usual residents. Years between census data points are based on CAGR between census, i.e. betweeen the 2016 and 2021 Census of Population. Statistics Canada. 2023. (table). </t>
        </r>
        <r>
          <rPr>
            <i/>
            <sz val="10"/>
            <color rgb="FF000000"/>
            <rFont val="Aptos Narrow"/>
            <family val="2"/>
            <scheme val="minor"/>
          </rPr>
          <t>Census Profile</t>
        </r>
        <r>
          <rPr>
            <sz val="10"/>
            <color rgb="FF000000"/>
            <rFont val="Aptos Narrow"/>
            <family val="2"/>
            <scheme val="minor"/>
          </rPr>
          <t xml:space="preserve">. 2021 Census of Population. Statistics Canada Catalogue no. 98-316-X2021001. Ottawa. Released March 29, 2023. https://www12.statcan.gc.ca/census-recensement/2021/dp-pd/prof/index.cfm?Lang=E (accessed August 19, 2023) </t>
        </r>
        <r>
          <rPr>
            <sz val="10"/>
            <color rgb="FF000000"/>
            <rFont val="Aptos Narrow"/>
            <family val="2"/>
            <scheme val="minor"/>
          </rPr>
          <t xml:space="preserve">
</t>
        </r>
      </text>
    </comment>
    <comment ref="A6" authorId="0" shapeId="0" xr:uid="{322F9DED-50B5-D842-80C7-F83ABEE8A705}">
      <text>
        <r>
          <rPr>
            <b/>
            <sz val="10"/>
            <color rgb="FF000000"/>
            <rFont val="Tahoma"/>
            <family val="2"/>
          </rPr>
          <t>DD:</t>
        </r>
        <r>
          <rPr>
            <sz val="10"/>
            <color rgb="FF000000"/>
            <rFont val="Tahoma"/>
            <family val="2"/>
          </rPr>
          <t xml:space="preserve">
</t>
        </r>
        <r>
          <rPr>
            <sz val="10"/>
            <color rgb="FF000000"/>
            <rFont val="Tahoma"/>
            <family val="2"/>
          </rPr>
          <t xml:space="preserve">Statistics Canada (2017). Table 203-0021 Survey of household spending (SHS), household spending, Canada, regions and provinces. </t>
        </r>
      </text>
    </comment>
    <comment ref="S10" authorId="0" shapeId="0" xr:uid="{A17B1C04-88DB-2844-B74F-24D9DDD02EA5}">
      <text>
        <r>
          <rPr>
            <b/>
            <sz val="10"/>
            <color rgb="FF000000"/>
            <rFont val="Tahoma"/>
            <family val="2"/>
          </rPr>
          <t>DD:</t>
        </r>
        <r>
          <rPr>
            <sz val="10"/>
            <color rgb="FF000000"/>
            <rFont val="Tahoma"/>
            <family val="2"/>
          </rPr>
          <t xml:space="preserve">
</t>
        </r>
        <r>
          <rPr>
            <sz val="10"/>
            <color rgb="FF000000"/>
            <rFont val="Calibri"/>
            <family val="2"/>
          </rPr>
          <t xml:space="preserve">Statistics Canada (Feb 29, 2024). Table 36-10-0124-01) Detailed household final consumption expenditure, Canada, quarterly (x 1,000,000). https://www150.statcan.gc.ca/t1/tbl1/en/tv.action?pid=3610012401
</t>
        </r>
      </text>
    </comment>
    <comment ref="T10" authorId="0" shapeId="0" xr:uid="{EB68D82A-E1B0-AE46-99B4-BB6D9BBE0799}">
      <text>
        <r>
          <rPr>
            <sz val="10"/>
            <color rgb="FF000000"/>
            <rFont val="Calibri"/>
            <family val="2"/>
          </rPr>
          <t xml:space="preserve">Statistics Canada (Feb 29, 2024). Table 36-10-0124-01) Detailed household final consumption expenditure, Canada, quarterly (x 1,000,000). https://www150.statcan.gc.ca/t1/tbl1/en/tv.action?pid=3610012401
</t>
        </r>
      </text>
    </comment>
    <comment ref="U10" authorId="0" shapeId="0" xr:uid="{286DBD1C-717F-6544-9DED-7CDA4D40A704}">
      <text>
        <r>
          <rPr>
            <sz val="10"/>
            <color rgb="FF000000"/>
            <rFont val="Times New Roman"/>
            <family val="18"/>
          </rPr>
          <t xml:space="preserve">Statistics Canada (Feb 29, 2024). Table 36-10-0124-01) Detailed household final consumption expenditure, Canada, quarterly (x 1,000,000). https://www150.statcan.gc.ca/t1/tbl1/en/tv.action?pid=3610012401
</t>
        </r>
      </text>
    </comment>
    <comment ref="V10" authorId="0" shapeId="0" xr:uid="{93E47A33-935C-0449-BE34-96899C16F993}">
      <text>
        <r>
          <rPr>
            <sz val="10"/>
            <color rgb="FF000000"/>
            <rFont val="Calibri"/>
            <family val="2"/>
          </rPr>
          <t xml:space="preserve">Statistics Canada (Feb 29, 2024). Table 36-10-0124-01) Detailed household final consumption expenditure, Canada, quarterly (x 1,000,000). https://www150.statcan.gc.ca/t1/tbl1/en/tv.action?pid=3610012401
</t>
        </r>
      </text>
    </comment>
    <comment ref="U21" authorId="1" shapeId="0" xr:uid="{1388215A-7E36-D244-BAE5-50B9A3398D5D}">
      <text>
        <r>
          <rPr>
            <sz val="10"/>
            <color rgb="FF000000"/>
            <rFont val="Tahoma"/>
            <family val="2"/>
          </rPr>
          <t xml:space="preserve">Statistics Canada (Aug. 30, 2024). Table 36-10-0124-01) Detailed household final consumption expenditure, Canada, quarterly (x 1,000,000). https://www150.statcan.gc.ca/t1/tbl1/en/tv.action?pid=3610012401
</t>
        </r>
      </text>
    </comment>
    <comment ref="V21" authorId="1" shapeId="0" xr:uid="{A87B2A87-3152-6A40-92E0-38D736A55E3C}">
      <text>
        <r>
          <rPr>
            <sz val="10"/>
            <color rgb="FF000000"/>
            <rFont val="Tahoma"/>
            <family val="2"/>
          </rPr>
          <t xml:space="preserve">Statistics Canada (Aug. 30, 2024). Table 36-10-0124-01) Detailed household final consumption expenditure, Canada, quarterly (x 1,000,000). https://www150.statcan.gc.ca/t1/tbl1/en/tv.action?pid=3610012401
</t>
        </r>
      </text>
    </comment>
    <comment ref="A36" authorId="0" shapeId="0" xr:uid="{BDB377B3-BE2D-AE41-AAB7-54E5C16C2BD0}">
      <text>
        <r>
          <rPr>
            <sz val="10"/>
            <color rgb="FF000000"/>
            <rFont val="Tahoma"/>
            <family val="2"/>
          </rPr>
          <t xml:space="preserve">From 2017 onward, </t>
        </r>
        <r>
          <rPr>
            <sz val="10"/>
            <color rgb="FF000000"/>
            <rFont val="Calibri"/>
            <family val="2"/>
          </rPr>
          <t xml:space="preserve">Statistics Canada (Feb 29, 2024). Table 36-10-0124-01) Detailed household final consumption expenditure, Canada, quarterly (x 1,000,000). https://www150.statcan.gc.ca/t1/tbl1/en/tv.action?pid=3610012401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author>
    <author>XF</author>
    <author>Utilisateur de Microsoft Office</author>
  </authors>
  <commentList>
    <comment ref="C3" authorId="0" shapeId="0" xr:uid="{74978BC2-6469-DC4C-9541-F68FDC0AE49A}">
      <text>
        <r>
          <rPr>
            <sz val="10"/>
            <color rgb="FF000000"/>
            <rFont val="Calibri"/>
            <family val="2"/>
          </rPr>
          <t>2021: US industry revenue of $311 billion from Jameson Ayers IBIS World report "Wireless Telecommunications carriers in the US" Key statistics (Industry NAICS REPORT 51721) Total subscribers calculated by taking 2020-2021 CAGR (12%) amongst the named companies and applying that growth rate to the 2020 "other" of 26,677).</t>
        </r>
      </text>
    </comment>
    <comment ref="D3" authorId="0" shapeId="0" xr:uid="{5B39F402-FE9A-D340-BC41-B1B3BC74BD35}">
      <text>
        <r>
          <rPr>
            <sz val="10"/>
            <color rgb="FF000000"/>
            <rFont val="Calibri"/>
            <family val="2"/>
          </rPr>
          <t>2022: US industry revenue of $322 billion from  IBIS World report "Wireless Telecommunications carriers in the US" Key statistics (Industry NAICS REPORT 51721) Total subscribers calculated by taking 2021-2022 CAGR (12%) amongst the named companies and applying that growth rate to the 2021</t>
        </r>
      </text>
    </comment>
    <comment ref="E3" authorId="0" shapeId="0" xr:uid="{57660269-ED32-ED4B-8762-6D28D17926CC}">
      <text>
        <r>
          <rPr>
            <sz val="10"/>
            <color rgb="FF000000"/>
            <rFont val="Calibri"/>
            <family val="2"/>
          </rPr>
          <t>IBIS World report "Wireless Telecommunications carriers in the US" Key statistics (Industry NAICS REPORT 51721)</t>
        </r>
      </text>
    </comment>
    <comment ref="C4" authorId="0" shapeId="0" xr:uid="{B7A4CD4C-81C6-D044-8F86-568BDA1BEF9E}">
      <text>
        <r>
          <rPr>
            <b/>
            <sz val="10"/>
            <color rgb="FF000000"/>
            <rFont val="Tahoma"/>
            <family val="2"/>
          </rPr>
          <t xml:space="preserve">Source: </t>
        </r>
        <r>
          <rPr>
            <sz val="10"/>
            <color rgb="FF000000"/>
            <rFont val="Tahoma"/>
            <family val="2"/>
          </rPr>
          <t xml:space="preserve">MIIT </t>
        </r>
        <r>
          <rPr>
            <sz val="10"/>
            <color rgb="FF000000"/>
            <rFont val="Calibri"/>
            <family val="2"/>
          </rPr>
          <t xml:space="preserve">2021 telecom report (https://www.miit.gov.cn/gxsj/tjfx/txy/art/2022/art_e8b64ba8f29d4ce18a1003c4f4d88234.html).
</t>
        </r>
        <r>
          <rPr>
            <sz val="10"/>
            <color rgb="FF000000"/>
            <rFont val="Calibri"/>
            <family val="2"/>
          </rPr>
          <t xml:space="preserve">
</t>
        </r>
        <r>
          <rPr>
            <sz val="10"/>
            <color rgb="FF000000"/>
            <rFont val="Calibri"/>
            <family val="2"/>
          </rPr>
          <t xml:space="preserve">Revenue for data roaming &amp; value-added serviced for mobile phones is 640.9 billion RMB (above chart 1-2) and the mobile voice revenue is 115.5 billion RMB (above chart 1-5). 
</t>
        </r>
      </text>
    </comment>
    <comment ref="D4" authorId="0" shapeId="0" xr:uid="{78F4F8B8-54AE-BE44-AD9B-0304D697670D}">
      <text>
        <r>
          <rPr>
            <b/>
            <sz val="10"/>
            <color rgb="FF000000"/>
            <rFont val="Tahoma"/>
            <family val="2"/>
          </rPr>
          <t>DD:</t>
        </r>
        <r>
          <rPr>
            <sz val="10"/>
            <color rgb="FF000000"/>
            <rFont val="Tahoma"/>
            <family val="2"/>
          </rPr>
          <t xml:space="preserve">
</t>
        </r>
        <r>
          <rPr>
            <sz val="10"/>
            <color rgb="FF000000"/>
            <rFont val="Calibri"/>
            <family val="2"/>
          </rPr>
          <t>Source: MIIT 2022 telecom report (</t>
        </r>
        <r>
          <rPr>
            <u/>
            <sz val="10"/>
            <color rgb="FF000000"/>
            <rFont val="Calibri"/>
            <family val="2"/>
          </rPr>
          <t>https://www.gov.cn/xinwen/2023-02/02/content_5739680.html</t>
        </r>
        <r>
          <rPr>
            <sz val="10"/>
            <color rgb="FF000000"/>
            <rFont val="Calibri"/>
            <family val="2"/>
          </rPr>
          <t xml:space="preserve">). 
</t>
        </r>
      </text>
    </comment>
    <comment ref="E4" authorId="0" shapeId="0" xr:uid="{DDA9ECC0-9EA9-6B4E-897E-52C39DD63212}">
      <text>
        <r>
          <rPr>
            <sz val="10"/>
            <color rgb="FF000000"/>
            <rFont val="Tahoma"/>
            <family val="2"/>
          </rPr>
          <t xml:space="preserve">Total is sum of mobile wireless revenue from China Mobile, China Telecom and China Unicom + the difference between the sum of big 3 revenue and the total revenue presented in 2022 by </t>
        </r>
        <r>
          <rPr>
            <sz val="10"/>
            <color rgb="FF000000"/>
            <rFont val="Calibri"/>
            <family val="2"/>
          </rPr>
          <t>MIIT in its 2022 telecom report (</t>
        </r>
        <r>
          <rPr>
            <u/>
            <sz val="10"/>
            <color rgb="FF000000"/>
            <rFont val="Calibri"/>
            <family val="2"/>
          </rPr>
          <t>https://www.gov.cn/xinwen/2023-02/02/content_5739680.html</t>
        </r>
        <r>
          <rPr>
            <sz val="10"/>
            <color rgb="FF000000"/>
            <rFont val="Calibri"/>
            <family val="2"/>
          </rPr>
          <t xml:space="preserve">), i.e. 1.19%. This difference is attributed to two wireless new entrants, CITIC and China Broadnet. 
</t>
        </r>
        <r>
          <rPr>
            <sz val="10"/>
            <color rgb="FF000000"/>
            <rFont val="Tahoma"/>
            <family val="2"/>
          </rPr>
          <t xml:space="preserve">
</t>
        </r>
        <r>
          <rPr>
            <sz val="10"/>
            <color rgb="FF000000"/>
            <rFont val="Tahoma"/>
            <family val="2"/>
          </rPr>
          <t>China Mobile AR2023 (HKSE), p. 116, voice services, SMS&amp;MMS services &amp;. Wireless data traffic services. Mobile data services = SMS&amp;MMS (31106) + Wireless data traffic (394797); *voice revenue here includes fixed voices (no reporting of separate revenue) but mobile voice services is expetected to be the major portion of the voice services revenue for China Mobile. Source: https://www.chinamobileltd.com/en/ir/reports/ar2023.pdf; China Telecom AR2023 (HKSE), p. 36. "Mobile communications service revenues/</t>
        </r>
        <r>
          <rPr>
            <sz val="10"/>
            <color rgb="FF000000"/>
            <rFont val="Tahoma"/>
            <family val="2"/>
          </rPr>
          <t>移动通信服务收入</t>
        </r>
        <r>
          <rPr>
            <sz val="10"/>
            <color rgb="FF000000"/>
            <rFont val="Tahoma"/>
            <family val="2"/>
          </rPr>
          <t xml:space="preserve">"; China Unicom changed its revenue breakdown in its annual report 2023, again. There are two ways the company breaks down its telecom service revenues and neither provides possible solutions to align with the sectors defined by our projects. On page 4 of its 2023 annual report, the company breaks service revenue into "Connectivity and Communications business revenue" ("Connectivity and Communications business encompasses mobile connectivity, broadband connectivity, TV connectivity, leased line connectivity, communications services as well as information services") and "Computing and Digital Smart Applications business revenue" ("Computing and Digital Smart Applications business encompasses Unicom Cloud, data centre, system integration, data services, digital smart applications as well as cybersecurity"). On page 142, the company breaks service revenue into different categories, including  "voice usage and monthly fees" "broadband and mobile data services" "other value-added services" (SMS, MMS, personalized ringtones, etc.). The three categories correspond to the ISP and Wireless sectors defined by our project (with fixed voice services revenue though, which cannot be spearated) yet the revenue for the ISP and Wireless cannot be calculated respectively. Therefore, revenue for Wireless and ISP sectors for 2023 is estimated based on the data in 2022 with a yoy increase rate 0.9% calculated specifically for the combined revenue for "voice usage and monthly fees" "broadband and mobile data services" "other value-added services".  *Calculation details for the new yoy increase rate for Wireless and ISP (AR2022, p. 145; AR2023, p. 142):
</t>
        </r>
        <r>
          <rPr>
            <sz val="10"/>
            <color rgb="FF000000"/>
            <rFont val="Tahoma"/>
            <family val="2"/>
          </rPr>
          <t xml:space="preserve">
</t>
        </r>
        <r>
          <rPr>
            <sz val="10"/>
            <color rgb="FF000000"/>
            <rFont val="Tahoma"/>
            <family val="2"/>
          </rPr>
          <t xml:space="preserve">2023 ISP + wireless(fixed voice included): 205,145 million RMB
</t>
        </r>
        <r>
          <rPr>
            <sz val="10"/>
            <color rgb="FF000000"/>
            <rFont val="Tahoma"/>
            <family val="2"/>
          </rPr>
          <t xml:space="preserve">
</t>
        </r>
        <r>
          <rPr>
            <sz val="10"/>
            <color rgb="FF000000"/>
            <rFont val="Tahoma"/>
            <family val="2"/>
          </rPr>
          <t xml:space="preserve">2022 ISP + wireless(fixed voice included): 203,391 million RMB
</t>
        </r>
        <r>
          <rPr>
            <sz val="10"/>
            <color rgb="FF000000"/>
            <rFont val="Tahoma"/>
            <family val="2"/>
          </rPr>
          <t xml:space="preserve">
</t>
        </r>
        <r>
          <rPr>
            <sz val="10"/>
            <color rgb="FF000000"/>
            <rFont val="Tahoma"/>
            <family val="2"/>
          </rPr>
          <t xml:space="preserve">2021 ISP + wireless(fixed voice included): 200,401 million RMB
</t>
        </r>
        <r>
          <rPr>
            <sz val="10"/>
            <color rgb="FF000000"/>
            <rFont val="Tahoma"/>
            <family val="2"/>
          </rPr>
          <t xml:space="preserve">
</t>
        </r>
        <r>
          <rPr>
            <sz val="10"/>
            <color rgb="FF000000"/>
            <rFont val="Tahoma"/>
            <family val="2"/>
          </rPr>
          <t xml:space="preserve">yoy 21-22: 1.5%
</t>
        </r>
        <r>
          <rPr>
            <sz val="10"/>
            <color rgb="FF000000"/>
            <rFont val="Tahoma"/>
            <family val="2"/>
          </rPr>
          <t xml:space="preserve">
</t>
        </r>
        <r>
          <rPr>
            <sz val="10"/>
            <color rgb="FF000000"/>
            <rFont val="Tahoma"/>
            <family val="2"/>
          </rPr>
          <t xml:space="preserve">yoy 22-23: 0.9%
</t>
        </r>
        <r>
          <rPr>
            <sz val="10"/>
            <color rgb="FF000000"/>
            <rFont val="Tahoma"/>
            <family val="2"/>
          </rPr>
          <t xml:space="preserve">
</t>
        </r>
      </text>
    </comment>
    <comment ref="C5" authorId="0" shapeId="0" xr:uid="{BF3C760C-36FE-2446-B32A-56A0ECEC44E0}">
      <text>
        <r>
          <rPr>
            <b/>
            <sz val="10"/>
            <color rgb="FF000000"/>
            <rFont val="+mn-lt"/>
            <charset val="1"/>
          </rPr>
          <t xml:space="preserve">Source: </t>
        </r>
        <r>
          <rPr>
            <sz val="10"/>
            <color rgb="FF000000"/>
            <rFont val="+mn-lt"/>
            <charset val="1"/>
          </rPr>
          <t xml:space="preserve">The figures for FY2021 are based on estimates of y-o-y mobile wireless revenue growth rates for IIJ, NTT, KDDI, and Rakuten. The documents used for the estimation are
</t>
        </r>
        <r>
          <rPr>
            <sz val="10"/>
            <color rgb="FF000000"/>
            <rFont val="+mn-lt"/>
            <charset val="1"/>
          </rPr>
          <t xml:space="preserve">
</t>
        </r>
        <r>
          <rPr>
            <sz val="10"/>
            <color rgb="FF000000"/>
            <rFont val="+mn-lt"/>
            <charset val="1"/>
          </rPr>
          <t xml:space="preserve">2021 Basic Survey of Information and Communication Industry
</t>
        </r>
        <r>
          <rPr>
            <sz val="10"/>
            <color rgb="FF000000"/>
            <rFont val="+mn-lt"/>
            <charset val="1"/>
          </rPr>
          <t xml:space="preserve">https://www.soumu.go.jp/johotsusintokei/statistics/data/jouhoutsuusin220329b.pdf
</t>
        </r>
        <r>
          <rPr>
            <sz val="10"/>
            <color rgb="FF000000"/>
            <rFont val="+mn-lt"/>
            <charset val="1"/>
          </rPr>
          <t xml:space="preserve">
</t>
        </r>
        <r>
          <rPr>
            <sz val="10"/>
            <color rgb="FF000000"/>
            <rFont val="+mn-lt"/>
            <charset val="1"/>
          </rPr>
          <t xml:space="preserve">Financial statement for each firm
</t>
        </r>
        <r>
          <rPr>
            <sz val="10"/>
            <color rgb="FF000000"/>
            <rFont val="+mn-lt"/>
            <charset val="1"/>
          </rPr>
          <t xml:space="preserve">https://www.iij.ad.jp/ir/library/report/pdf/FY2021_End.pdf
</t>
        </r>
        <r>
          <rPr>
            <sz val="10"/>
            <color rgb="FF000000"/>
            <rFont val="+mn-lt"/>
            <charset val="1"/>
          </rPr>
          <t xml:space="preserve">https://group.ntt/jp/ir/library/yuho/2021/pdf/37yuho.pdf
</t>
        </r>
        <r>
          <rPr>
            <sz val="10"/>
            <color rgb="FF000000"/>
            <rFont val="+mn-lt"/>
            <charset val="1"/>
          </rPr>
          <t xml:space="preserve">https://www.kddi.com/extlib/files/corporate/ir/library/yuka_shoken/pdf/yuho_2022_4q.pdf
</t>
        </r>
        <r>
          <rPr>
            <sz val="10"/>
            <color rgb="FF000000"/>
            <rFont val="+mn-lt"/>
            <charset val="1"/>
          </rPr>
          <t xml:space="preserve">https://www.softbank.jp/corp/set/data/ir/documents/security_reports/pdf/sbkk_fy2021_security_reports.pdf
</t>
        </r>
        <r>
          <rPr>
            <sz val="10"/>
            <color rgb="FF000000"/>
            <rFont val="+mn-lt"/>
            <charset val="1"/>
          </rPr>
          <t>https://corp.rakuten.co.jp/investors/assets/doc/documents/dai25_yuho.pdf</t>
        </r>
      </text>
    </comment>
    <comment ref="D5" authorId="0" shapeId="0" xr:uid="{F05F579A-DAFD-AC46-BF4A-251C1FC336F2}">
      <text>
        <r>
          <rPr>
            <b/>
            <sz val="10"/>
            <color rgb="FF000000"/>
            <rFont val="Tahoma"/>
            <family val="2"/>
          </rPr>
          <t>DD:</t>
        </r>
        <r>
          <rPr>
            <sz val="10"/>
            <color rgb="FF000000"/>
            <rFont val="Tahoma"/>
            <family val="2"/>
          </rPr>
          <t xml:space="preserve">
</t>
        </r>
        <r>
          <rPr>
            <sz val="12"/>
            <color rgb="FF000000"/>
            <rFont val="+mn-lt"/>
            <charset val="1"/>
          </rPr>
          <t xml:space="preserve">Source [# in 2021]: The figures for FY2022 are based on estimates of y-o-y mobile wireless revenue growth rates for IIJ, NTT, KDDI, Softbank, and Rakuten. The documents used for the estimation are
</t>
        </r>
        <r>
          <rPr>
            <sz val="12"/>
            <color rgb="FF000000"/>
            <rFont val="+mn-lt"/>
            <charset val="1"/>
          </rPr>
          <t xml:space="preserve">2022 Basic Survey of Information and Communication Industry
</t>
        </r>
        <r>
          <rPr>
            <u/>
            <sz val="12"/>
            <color rgb="FF000000"/>
            <rFont val="+mn-lt"/>
            <charset val="1"/>
          </rPr>
          <t>https://www.soumu.go.jp/johotsusintokei/statistics/data/jouhoutsuusin230331b.pdf</t>
        </r>
        <r>
          <rPr>
            <sz val="12"/>
            <color rgb="FF000000"/>
            <rFont val="+mn-lt"/>
            <charset val="1"/>
          </rPr>
          <t xml:space="preserve">; </t>
        </r>
        <r>
          <rPr>
            <u/>
            <sz val="12"/>
            <color rgb="FF000000"/>
            <rFont val="+mn-lt"/>
            <charset val="1"/>
          </rPr>
          <t>https://www.soumu.go.jp/main_sosiki/joho_tsusin/eng/presentation/pdf/Overview_of_the_2022_White_Paper_on_Information_and_Communications_in_Japan.pdf</t>
        </r>
        <r>
          <rPr>
            <sz val="12"/>
            <color rgb="FF000000"/>
            <rFont val="+mn-lt"/>
            <charset val="1"/>
          </rPr>
          <t xml:space="preserve"> (this report only has numbers for FY 2021)
</t>
        </r>
        <r>
          <rPr>
            <sz val="12"/>
            <color rgb="FF000000"/>
            <rFont val="+mn-lt"/>
            <charset val="1"/>
          </rPr>
          <t xml:space="preserve">Financial statement for each firm
</t>
        </r>
        <r>
          <rPr>
            <u/>
            <sz val="12"/>
            <color rgb="FF000000"/>
            <rFont val="+mn-lt"/>
            <charset val="1"/>
          </rPr>
          <t>https://www.iij.ad.jp/en/ir/library/financial/pdf/IIJ4Q22E.pdfhttps://group.ntt/jp/ir/library/yuho/2021/pdf/37yuho.pdf</t>
        </r>
        <r>
          <rPr>
            <sz val="12"/>
            <color rgb="FF000000"/>
            <rFont val="+mn-lt"/>
            <charset val="1"/>
          </rPr>
          <t xml:space="preserve"> 138,922 JPY millions;
</t>
        </r>
        <r>
          <rPr>
            <u/>
            <sz val="12"/>
            <color rgb="FF000000"/>
            <rFont val="+mn-lt"/>
            <charset val="1"/>
          </rPr>
          <t>https://www.kddi.com/extlib/files/english/corporate/ir/library/presentation/2023/pdf/kddi_230202_e_statement_full_uNubdV.pdf</t>
        </r>
        <r>
          <rPr>
            <sz val="12"/>
            <color rgb="FF000000"/>
            <rFont val="+mn-lt"/>
            <charset val="1"/>
          </rPr>
          <t xml:space="preserve">;  </t>
        </r>
        <r>
          <rPr>
            <u/>
            <sz val="12"/>
            <color rgb="FF000000"/>
            <rFont val="+mn-lt"/>
            <charset val="1"/>
          </rPr>
          <t>https://www.kddi.com/extlib/files/english/corporate/ir/ir-library/sustainability-integrated-report/pdf/kddi_sir2022_e.pdf</t>
        </r>
        <r>
          <rPr>
            <sz val="12"/>
            <color rgb="FF000000"/>
            <rFont val="+mn-lt"/>
            <charset val="1"/>
          </rPr>
          <t xml:space="preserve">; </t>
        </r>
        <r>
          <rPr>
            <u/>
            <sz val="12"/>
            <color rgb="FF000000"/>
            <rFont val="+mn-lt"/>
            <charset val="1"/>
          </rPr>
          <t>https://www.softbank.jp/en/corp/set/data/ir/documents/financial_reports/fy2022/pdf/sbkk_financial_report_20230510_en.pdf</t>
        </r>
        <r>
          <rPr>
            <sz val="12"/>
            <color rgb="FF000000"/>
            <rFont val="+mn-lt"/>
            <charset val="1"/>
          </rPr>
          <t xml:space="preserve">, </t>
        </r>
        <r>
          <rPr>
            <u/>
            <sz val="12"/>
            <color rgb="FF000000"/>
            <rFont val="+mn-lt"/>
            <charset val="1"/>
          </rPr>
          <t>https://www.softbank.jp/en/corp/set/data/ir/documents/presentations/fy2022/investors/pdf/sbkk_investors_presentation_supplement_20230510_en.pdf?202307_01</t>
        </r>
        <r>
          <rPr>
            <sz val="12"/>
            <color rgb="FF000000"/>
            <rFont val="+mn-lt"/>
            <charset val="1"/>
          </rPr>
          <t xml:space="preserve">; </t>
        </r>
        <r>
          <rPr>
            <u/>
            <sz val="12"/>
            <color rgb="FF000000"/>
            <rFont val="+mn-lt"/>
            <charset val="1"/>
          </rPr>
          <t>https://global.rakuten.com/corp/investors/documents/results/2022.html</t>
        </r>
        <r>
          <rPr>
            <sz val="12"/>
            <color rgb="FF000000"/>
            <rFont val="+mn-lt"/>
            <charset val="1"/>
          </rPr>
          <t xml:space="preserve"> 227,511 millions in 2021 and 368,669 millions in 2022
</t>
        </r>
        <r>
          <rPr>
            <u/>
            <sz val="12"/>
            <color rgb="FF000000"/>
            <rFont val="+mn-lt"/>
            <charset val="1"/>
          </rPr>
          <t>https://www.capitaliq.spglobal.com/web/client?auth=inherit#industry/GlobalMultichannelTopOperators</t>
        </r>
        <r>
          <rPr>
            <sz val="12"/>
            <color rgb="FF000000"/>
            <rFont val="+mn-lt"/>
            <charset val="1"/>
          </rPr>
          <t xml:space="preserve">
</t>
        </r>
        <r>
          <rPr>
            <sz val="12"/>
            <color rgb="FF000000"/>
            <rFont val="+mn-lt"/>
            <charset val="1"/>
          </rPr>
          <t xml:space="preserve">7433271 YEN converted at the 2021 annual exchange rate published by the Bank of Canada, i.e. 0.01142.
</t>
        </r>
        <r>
          <rPr>
            <sz val="12"/>
            <color rgb="FF000000"/>
            <rFont val="+mn-lt"/>
            <charset val="1"/>
          </rPr>
          <t xml:space="preserve">YEN converted at the 2022 annual exchange rate published by the Bank of Canada, i.e. 0.009940.
</t>
        </r>
      </text>
    </comment>
    <comment ref="E5" authorId="0" shapeId="0" xr:uid="{CF34557C-F439-284F-B04C-9D38541DE21C}">
      <text>
        <r>
          <rPr>
            <sz val="10"/>
            <color rgb="FF000000"/>
            <rFont val="Tahoma"/>
            <family val="2"/>
          </rPr>
          <t xml:space="preserve">Official data for Japan for 2023 will not be released until March 2025. For the time being, the estimate uses 2022 data as a proxy for 2023. This is because revenue has fluctuated a great deal over the last 5 years and it is not possible to reliably use CAGR to estimate 2023 revenue. </t>
        </r>
      </text>
    </comment>
    <comment ref="C6" authorId="0" shapeId="0" xr:uid="{A32EF8A6-123E-5D4B-A9C8-EDE60C59A00F}">
      <text>
        <r>
          <rPr>
            <b/>
            <sz val="10"/>
            <color rgb="FF000000"/>
            <rFont val="Tahoma"/>
            <family val="2"/>
          </rPr>
          <t>DD:</t>
        </r>
        <r>
          <rPr>
            <sz val="10"/>
            <color rgb="FF000000"/>
            <rFont val="Tahoma"/>
            <family val="2"/>
          </rPr>
          <t xml:space="preserve">
</t>
        </r>
        <r>
          <rPr>
            <sz val="10"/>
            <color rgb="FF000000"/>
            <rFont val="Calibri"/>
            <family val="2"/>
          </rPr>
          <t xml:space="preserve">2021: https://digital.gov.ru/uploaded/files/ekonomicheskie-pokazateli-2021.xls 
</t>
        </r>
        <r>
          <rPr>
            <sz val="10"/>
            <color rgb="FF000000"/>
            <rFont val="Calibri"/>
            <family val="2"/>
          </rPr>
          <t>2020: </t>
        </r>
        <r>
          <rPr>
            <u/>
            <sz val="10"/>
            <color rgb="FF000000"/>
            <rFont val="Calibri"/>
            <family val="2"/>
          </rPr>
          <t>https://digital.gov.ru/uploaded/files/ekonomicheskie-pokazateli-god-4-kvartal-2020.xls</t>
        </r>
        <r>
          <rPr>
            <sz val="10"/>
            <color rgb="FF000000"/>
            <rFont val="Calibri"/>
            <family val="2"/>
          </rPr>
          <t xml:space="preserve"> 
</t>
        </r>
        <r>
          <rPr>
            <sz val="10"/>
            <color rgb="FF000000"/>
            <rFont val="Calibri"/>
            <family val="2"/>
          </rPr>
          <t>2019: </t>
        </r>
        <r>
          <rPr>
            <u/>
            <sz val="10"/>
            <color rgb="FF000000"/>
            <rFont val="Calibri"/>
            <family val="2"/>
          </rPr>
          <t>https://digital.gov.ru/uploaded/files/ekonomicheskie-pokazateli-2019-god_FjnOu42.xls</t>
        </r>
        <r>
          <rPr>
            <sz val="10"/>
            <color rgb="FF000000"/>
            <rFont val="Calibri"/>
            <family val="2"/>
          </rPr>
          <t xml:space="preserve"> 
</t>
        </r>
        <r>
          <rPr>
            <sz val="10"/>
            <color rgb="FF000000"/>
            <rFont val="Calibri"/>
            <family val="2"/>
          </rPr>
          <t xml:space="preserve"> 
</t>
        </r>
        <r>
          <rPr>
            <sz val="10"/>
            <color rgb="FF000000"/>
            <rFont val="Calibri"/>
            <family val="2"/>
          </rPr>
          <t>2018: </t>
        </r>
        <r>
          <rPr>
            <u/>
            <sz val="10"/>
            <color rgb="FF000000"/>
            <rFont val="Calibri"/>
            <family val="2"/>
          </rPr>
          <t>https://digital.gov.ru/uploaded/files/ekonomicheskie-pokazateli-2018-god.xlsx</t>
        </r>
        <r>
          <rPr>
            <sz val="10"/>
            <color rgb="FF000000"/>
            <rFont val="Calibri"/>
            <family val="2"/>
          </rPr>
          <t xml:space="preserve"> 
</t>
        </r>
        <r>
          <rPr>
            <sz val="10"/>
            <color rgb="FF000000"/>
            <rFont val="Calibri"/>
            <family val="2"/>
          </rPr>
          <t>2017: </t>
        </r>
        <r>
          <rPr>
            <u/>
            <sz val="10"/>
            <color rgb="FF000000"/>
            <rFont val="Calibri"/>
            <family val="2"/>
          </rPr>
          <t>https://digital.gov.ru/uploaded/files/ekonomicheskie-pokazateli-2017-god.xlsx</t>
        </r>
        <r>
          <rPr>
            <sz val="10"/>
            <color rgb="FF000000"/>
            <rFont val="Calibri"/>
            <family val="2"/>
          </rPr>
          <t xml:space="preserve"> 
</t>
        </r>
        <r>
          <rPr>
            <sz val="10"/>
            <color rgb="FF000000"/>
            <rFont val="Calibri"/>
            <family val="2"/>
          </rPr>
          <t xml:space="preserve"> 
</t>
        </r>
      </text>
    </comment>
    <comment ref="D6" authorId="0" shapeId="0" xr:uid="{9EAA8C2C-A82B-0E42-88CE-651C203D8C2E}">
      <text>
        <r>
          <rPr>
            <sz val="10"/>
            <color rgb="FF000000"/>
            <rFont val="Calibri"/>
            <family val="2"/>
          </rPr>
          <t xml:space="preserve">2022: </t>
        </r>
        <r>
          <rPr>
            <u/>
            <sz val="10"/>
            <color rgb="FF000000"/>
            <rFont val="Calibri"/>
            <family val="2"/>
          </rPr>
          <t>https://digital.gov.ru/uploaded/files/ekonomicheskie-pokazateli-2022.xls</t>
        </r>
        <r>
          <rPr>
            <sz val="10"/>
            <color rgb="FF000000"/>
            <rFont val="Calibri"/>
            <family val="2"/>
          </rPr>
          <t xml:space="preserve">
</t>
        </r>
        <r>
          <rPr>
            <sz val="10"/>
            <color rgb="FF000000"/>
            <rFont val="Calibri"/>
            <family val="2"/>
          </rPr>
          <t xml:space="preserve">2021: https://digital.gov.ru/uploaded/files/ekonomicheskie-pokazateli-2021.xls 
</t>
        </r>
        <r>
          <rPr>
            <sz val="10"/>
            <color rgb="FF000000"/>
            <rFont val="Calibri"/>
            <family val="2"/>
          </rPr>
          <t xml:space="preserve">2020: https://digital.gov.ru/uploaded/files/ekonomicheskie-pokazateli-god-4-kvartal-2020.xls 
</t>
        </r>
        <r>
          <rPr>
            <sz val="10"/>
            <color rgb="FF000000"/>
            <rFont val="Calibri"/>
            <family val="2"/>
          </rPr>
          <t xml:space="preserve">2019: https://digital.gov.ru/uploaded/files/ekonomicheskie-pokazateli-2019-god_FjnOu42.xls 
</t>
        </r>
        <r>
          <rPr>
            <sz val="10"/>
            <color rgb="FF000000"/>
            <rFont val="Calibri"/>
            <family val="2"/>
          </rPr>
          <t xml:space="preserve">2018: https://digital.gov.ru/uploaded/files/ekonomicheskie-pokazateli-2018-god.xlsx 
</t>
        </r>
        <r>
          <rPr>
            <sz val="10"/>
            <color rgb="FF000000"/>
            <rFont val="Calibri"/>
            <family val="2"/>
          </rPr>
          <t xml:space="preserve">2017: https://digital.gov.ru/uploaded/files/ekonomicheskie-pokazateli-2017-god.xlsx 
</t>
        </r>
        <r>
          <rPr>
            <sz val="10"/>
            <color rgb="FF000000"/>
            <rFont val="Calibri"/>
            <family val="2"/>
          </rPr>
          <t xml:space="preserve"> 
</t>
        </r>
        <r>
          <rPr>
            <sz val="10"/>
            <color rgb="FF000000"/>
            <rFont val="Calibri"/>
            <family val="2"/>
          </rPr>
          <t xml:space="preserve">Russian ruble 1994042.1 converted at the 2022 annual exchange rate published by the Bank of Canada, i.e. 0.01937.
</t>
        </r>
      </text>
    </comment>
    <comment ref="E6" authorId="0" shapeId="0" xr:uid="{93DEDB26-F635-CE43-8C93-067A9141C229}">
      <text>
        <r>
          <rPr>
            <sz val="10"/>
            <color rgb="FF000000"/>
            <rFont val="Tahoma"/>
            <family val="2"/>
          </rPr>
          <t xml:space="preserve">Telecompaper </t>
        </r>
        <r>
          <rPr>
            <sz val="10"/>
            <color rgb="FF000000"/>
            <rFont val="Calibri"/>
            <family val="2"/>
          </rPr>
          <t>Russian telecom market grows 5% in 2023 - study. Observing a 7.1% increse in mobile revenue. https://www.telecompaper.com/news/russian-telecom-market-grows-5-in-2023-study--1486716</t>
        </r>
      </text>
    </comment>
    <comment ref="C7" authorId="1" shapeId="0" xr:uid="{920A8005-0ACE-3541-9F8B-5EA38683B523}">
      <text>
        <r>
          <rPr>
            <sz val="10"/>
            <color rgb="FF000000"/>
            <rFont val="+mn-lt"/>
            <charset val="1"/>
          </rPr>
          <t>Source: D</t>
        </r>
        <r>
          <rPr>
            <sz val="10"/>
            <color rgb="FF000000"/>
            <rFont val="Calibri"/>
            <family val="2"/>
          </rPr>
          <t xml:space="preserve">ata for 2021 still are a forecast. </t>
        </r>
        <r>
          <rPr>
            <sz val="10"/>
            <color rgb="FF000000"/>
            <rFont val="+mn-lt"/>
            <charset val="1"/>
          </rPr>
          <t xml:space="preserve">Statista.de, based on the annual reports of the Bundesnetzagentur (Federal Network Agency). https://www.bundesnetzagentur.de/SharedDocs/Mediathek/Jahresberichte/JB2021.pdf?__blob=publicationFile&amp;v=3). </t>
        </r>
      </text>
    </comment>
    <comment ref="D7" authorId="0" shapeId="0" xr:uid="{F1C3DD9B-5188-124B-81B7-1A56E67263AD}">
      <text>
        <r>
          <rPr>
            <sz val="12"/>
            <color rgb="FF000000"/>
            <rFont val="+mn-lt"/>
            <charset val="1"/>
          </rPr>
          <t xml:space="preserve">Source: Bundesnetzagentur (Federal Network Agency). On page 9, it's mentioned that the numbers for 2021 were adjusted from 26,359.9 to 26,500 in the 2022 report. Jahrestelekommunikationsbericht 2023, Bundesnetzagentur, p.9  </t>
        </r>
        <r>
          <rPr>
            <u/>
            <sz val="12"/>
            <color rgb="FF000000"/>
            <rFont val="+mn-lt"/>
            <charset val="1"/>
          </rPr>
          <t>https://www.bundesnetzagentur.de/SharedDocs/Mediathek/Berichte/2023/JB_TK_2022.pdf?__blob=publicationFile&amp;v=4</t>
        </r>
        <r>
          <rPr>
            <sz val="12"/>
            <color rgb="FF000000"/>
            <rFont val="+mn-lt"/>
            <charset val="1"/>
          </rPr>
          <t xml:space="preserve">.
</t>
        </r>
      </text>
    </comment>
    <comment ref="E7" authorId="0" shapeId="0" xr:uid="{0703D570-2745-3E49-9741-E0E8C1BD9024}">
      <text>
        <r>
          <rPr>
            <sz val="10"/>
            <color rgb="FF000000"/>
            <rFont val="Tahoma"/>
            <family val="2"/>
          </rPr>
          <t>Jahrestelekommunikationsbericht 2023, Bundesnetzagentur, p.9; forecast prediction.</t>
        </r>
      </text>
    </comment>
    <comment ref="C8" authorId="0" shapeId="0" xr:uid="{7CD8127C-E98B-1A49-96CD-990026AF1A4C}">
      <text>
        <r>
          <rPr>
            <sz val="10"/>
            <color rgb="FF000000"/>
            <rFont val="Calibri"/>
            <family val="2"/>
          </rPr>
          <t xml:space="preserve">Estimate based on sum of the revenues reported by the companies and as stated and cited on the "Wireless" sheet + revenue of $247.9 million for Eastlink and $159.1 million for TBayTel, as explained in the notes for those two entries in the "Wireless Sheet". </t>
        </r>
      </text>
    </comment>
    <comment ref="E8" authorId="0" shapeId="0" xr:uid="{1F485F0C-2CEF-1E48-8D7A-FAF001A7A9AD}">
      <text>
        <r>
          <rPr>
            <sz val="10"/>
            <color rgb="FF000000"/>
            <rFont val="Calibri"/>
            <family val="2"/>
          </rPr>
          <t xml:space="preserve">Result based on sum of the revenues reported by the companies and aa estimated for Eastlink and TBayTel, as explained in the notes for those two entries in the "Wireless Sheet". 
</t>
        </r>
      </text>
    </comment>
    <comment ref="C9" authorId="0" shapeId="0" xr:uid="{1AE9E8F3-6B30-C042-9A64-F7EAF3977294}">
      <text>
        <r>
          <rPr>
            <b/>
            <sz val="10"/>
            <color rgb="FF000000"/>
            <rFont val="Tahoma"/>
            <family val="2"/>
          </rPr>
          <t xml:space="preserve">Source: </t>
        </r>
        <r>
          <rPr>
            <sz val="10"/>
            <color rgb="FF000000"/>
            <rFont val="Tahoma"/>
            <family val="2"/>
          </rPr>
          <t>Estimate based on 1,154.62 million subscribers with ARPU/year of Rs 1,300.8.   https://www.trai.gov.in/sites/default/files/YIR_08072022_0.pdf</t>
        </r>
      </text>
    </comment>
    <comment ref="D9" authorId="0" shapeId="0" xr:uid="{875B1ACD-B2D8-5749-8EC1-74E4446C171A}">
      <text>
        <r>
          <rPr>
            <sz val="10"/>
            <color rgb="FF000000"/>
            <rFont val="Calibri"/>
            <family val="2"/>
          </rPr>
          <t xml:space="preserve">Source: Estimate based on 1,142.93 million subscribers with ARPU/year of Rs 1,300.8.  </t>
        </r>
        <r>
          <rPr>
            <u/>
            <sz val="10"/>
            <color rgb="FF000000"/>
            <rFont val="Calibri"/>
            <family val="2"/>
          </rPr>
          <t>https://www.trai.gov.in/release-publication/reports/performance-indicators-reports</t>
        </r>
        <r>
          <rPr>
            <sz val="10"/>
            <color rgb="FF000000"/>
            <rFont val="Calibri"/>
            <family val="2"/>
          </rPr>
          <t xml:space="preserve"> [only has arpu/month]
</t>
        </r>
        <r>
          <rPr>
            <sz val="10"/>
            <color rgb="FF000000"/>
            <rFont val="Calibri"/>
            <family val="2"/>
          </rPr>
          <t xml:space="preserve">
</t>
        </r>
        <r>
          <rPr>
            <sz val="10"/>
            <color rgb="FF000000"/>
            <rFont val="Calibri"/>
            <family val="2"/>
          </rPr>
          <t xml:space="preserve">
</t>
        </r>
        <r>
          <rPr>
            <sz val="10"/>
            <color rgb="FF000000"/>
            <rFont val="Calibri"/>
            <family val="2"/>
          </rPr>
          <t xml:space="preserve">Consulted financial statement for each firm: Reliance Jio Infocomm Ltd, Airtel, and Vodafone Idea Ltd. </t>
        </r>
        <r>
          <rPr>
            <u/>
            <sz val="10"/>
            <color rgb="FF000000"/>
            <rFont val="Calibri"/>
            <family val="2"/>
          </rPr>
          <t>https://www.capitaliq.spglobal.com/web/client?auth=inherit#industry/GlobalMultichannelTopOperators</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Indian rupee converted at the 2022 annual exchange rate published by the Bank of Canada, i.e. 0.01656 .
</t>
        </r>
      </text>
    </comment>
    <comment ref="E9" authorId="0" shapeId="0" xr:uid="{0F8BD58A-5DEA-4A4C-9735-CBE180F5DC73}">
      <text>
        <r>
          <rPr>
            <sz val="10"/>
            <color rgb="FF000000"/>
            <rFont val="+mn-lt"/>
            <charset val="1"/>
          </rPr>
          <t xml:space="preserve">Source: Estimate based on subscribers multiplied by ARPU/year. </t>
        </r>
        <r>
          <rPr>
            <sz val="10"/>
            <color rgb="FF000000"/>
            <rFont val="Calibri"/>
            <family val="2"/>
          </rPr>
          <t>https://trai.gov.in/sites/default/files/QPIR_23042024_0.pdf</t>
        </r>
      </text>
    </comment>
    <comment ref="C10" authorId="0" shapeId="0" xr:uid="{88F95085-8AF8-5A49-B0F6-D1855B40FD89}">
      <text>
        <r>
          <rPr>
            <b/>
            <sz val="10"/>
            <color rgb="FF000000"/>
            <rFont val="Tahoma"/>
            <family val="2"/>
          </rPr>
          <t xml:space="preserve">Source: </t>
        </r>
        <r>
          <rPr>
            <sz val="10"/>
            <color rgb="FF000000"/>
            <rFont val="Calibri"/>
            <family val="2"/>
          </rPr>
          <t>Vazquez Mendoza, Paola (2022, February 28). Telecomunicaciones Móviles al 4T-2021 y 2021: Evolución y Escenario Previsible ante la Coyuntura Global. The Competitive Intelligence Unit (The CIU). </t>
        </r>
        <r>
          <rPr>
            <u/>
            <sz val="10"/>
            <color rgb="FF000000"/>
            <rFont val="Calibri"/>
            <family val="2"/>
          </rPr>
          <t>https://www.theciu.com/publicaciones-2/2022/2/28/telecomunicaciones-mviles-al-4t-2021-y-2021-evolucin-y-escenario-previsible-ante-la-coyuntura-global</t>
        </r>
      </text>
    </comment>
    <comment ref="D10" authorId="0" shapeId="0" xr:uid="{D90B1497-0B42-FD4A-A431-5C9EE3A2DC2A}">
      <text>
        <r>
          <rPr>
            <sz val="10"/>
            <color rgb="FF000000"/>
            <rFont val="Calibri"/>
            <family val="2"/>
          </rPr>
          <t>Source [Telecomunicaciones Móviles al 4T-2021 y 2021: Evolución y Escenario Previsible ante la Coyuntura Global. The Competitive Intelligence Unit (The CIU). </t>
        </r>
        <r>
          <rPr>
            <u/>
            <sz val="10"/>
            <color rgb="FF000000"/>
            <rFont val="Calibri"/>
            <family val="2"/>
          </rPr>
          <t>https://www.theciu.com/publicaciones-2/2022/2/28/telecomunicaciones-mviles-al-4t-2021-y-2021-evolucin-y-escenario-previsible-ante-la-coyuntura-global</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From the Mexico team: combined revenue from Telcel, Movistar Mexico, AT&amp;T, MVNO.
</t>
        </r>
        <r>
          <rPr>
            <sz val="10"/>
            <color rgb="FF000000"/>
            <rFont val="Calibri"/>
            <family val="2"/>
          </rPr>
          <t xml:space="preserve">Market Share by Subscribers: </t>
        </r>
        <r>
          <rPr>
            <u/>
            <sz val="10"/>
            <color rgb="FF000000"/>
            <rFont val="Calibri"/>
            <family val="2"/>
          </rPr>
          <t>https://bit.ift.org.mx/descargas/datos/tabs/TD_MARKET_SHARE_TELMOVIL_ITE_VA.csv</t>
        </r>
        <r>
          <rPr>
            <sz val="10"/>
            <color rgb="FF000000"/>
            <rFont val="Calibri"/>
            <family val="2"/>
          </rPr>
          <t xml:space="preserve">
</t>
        </r>
        <r>
          <rPr>
            <sz val="10"/>
            <color rgb="FF000000"/>
            <rFont val="Calibri"/>
            <family val="2"/>
          </rPr>
          <t xml:space="preserve">Market Share by Subscribers: </t>
        </r>
        <r>
          <rPr>
            <u/>
            <sz val="10"/>
            <color rgb="FF000000"/>
            <rFont val="Calibri"/>
            <family val="2"/>
          </rPr>
          <t>https://bit.ift.org.mx/descargas/datos/tabs/TD_MARKET_SHARE_TELMOVIL_ITE_VA.csv</t>
        </r>
        <r>
          <rPr>
            <sz val="10"/>
            <color rgb="FF000000"/>
            <rFont val="Calibri"/>
            <family val="2"/>
          </rPr>
          <t xml:space="preserve">
</t>
        </r>
        <r>
          <rPr>
            <sz val="10"/>
            <color rgb="FF000000"/>
            <rFont val="Calibri"/>
            <family val="2"/>
          </rPr>
          <t xml:space="preserve">Market Share by Subscribers: </t>
        </r>
        <r>
          <rPr>
            <u/>
            <sz val="10"/>
            <color rgb="FF000000"/>
            <rFont val="Calibri"/>
            <family val="2"/>
          </rPr>
          <t>https://bit.ift.org.mx/descargas/datos/tabs/TD_MARKET_SHARE_TELMOVIL_ITE_VA.csv</t>
        </r>
        <r>
          <rPr>
            <sz val="10"/>
            <color rgb="FF000000"/>
            <rFont val="Calibri"/>
            <family val="2"/>
          </rPr>
          <t xml:space="preserve">
</t>
        </r>
        <r>
          <rPr>
            <sz val="10"/>
            <color rgb="FF000000"/>
            <rFont val="Calibri"/>
            <family val="2"/>
          </rPr>
          <t xml:space="preserve">Market Share by Subscribers: IFT (2023). 
</t>
        </r>
        <r>
          <rPr>
            <sz val="10"/>
            <color rgb="FF000000"/>
            <rFont val="Calibri"/>
            <family val="2"/>
          </rPr>
          <t xml:space="preserve">Las líneas del servicio móvil de acceso a internet aumentaron 10.3 millones en un año. (Comunicado 72/2023) 17 de julio
</t>
        </r>
        <r>
          <rPr>
            <u/>
            <sz val="10"/>
            <color rgb="FF000000"/>
            <rFont val="Calibri"/>
            <family val="2"/>
          </rPr>
          <t>https://www.ift.org.mx/comunicacion-y-medios/comunicados-ift/es/las-lineas-del-servicio-movil-de-acceso-internet-aumentaron-103-millones-en-un-ano-comunicado-722023</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Revenue: IFT (2023), Ingresos Telecomunicaciones, (Aggregated data from 4 reports from THE CIU:
</t>
        </r>
        <r>
          <rPr>
            <sz val="10"/>
            <color rgb="FF000000"/>
            <rFont val="Calibri"/>
            <family val="2"/>
          </rPr>
          <t xml:space="preserve">1. Telecomunicaciones Móviles al 1T-2022: </t>
        </r>
        <r>
          <rPr>
            <u/>
            <sz val="10"/>
            <color rgb="FF000000"/>
            <rFont val="Calibri"/>
            <family val="2"/>
          </rPr>
          <t>https://www.theciu.com/publicaciones-2/2022/5/23/telecomunicaciones-mviles-al-1t-2022</t>
        </r>
        <r>
          <rPr>
            <sz val="10"/>
            <color rgb="FF000000"/>
            <rFont val="Calibri"/>
            <family val="2"/>
          </rPr>
          <t xml:space="preserve">
</t>
        </r>
        <r>
          <rPr>
            <sz val="10"/>
            <color rgb="FF000000"/>
            <rFont val="Calibri"/>
            <family val="2"/>
          </rPr>
          <t xml:space="preserve">2. Telecomunicaciones Móviles al 2T-2022: </t>
        </r>
        <r>
          <rPr>
            <u/>
            <sz val="10"/>
            <color rgb="FF000000"/>
            <rFont val="Calibri"/>
            <family val="2"/>
          </rPr>
          <t>https://www.theciu.com/publicaciones-2/2022/8/8/telecomunicaciones-mviles-al-2t-2022</t>
        </r>
        <r>
          <rPr>
            <sz val="10"/>
            <color rgb="FF000000"/>
            <rFont val="Calibri"/>
            <family val="2"/>
          </rPr>
          <t xml:space="preserve">
</t>
        </r>
        <r>
          <rPr>
            <sz val="10"/>
            <color rgb="FF000000"/>
            <rFont val="Calibri"/>
            <family val="2"/>
          </rPr>
          <t xml:space="preserve">3. Telecomunicaciones Móviles al 3T-2022: </t>
        </r>
        <r>
          <rPr>
            <u/>
            <sz val="10"/>
            <color rgb="FF000000"/>
            <rFont val="Calibri"/>
            <family val="2"/>
          </rPr>
          <t>https://www.theciu.com/publicaciones-2/2022/11/7/telecomunicaciones-mviles-al-3t-2022</t>
        </r>
        <r>
          <rPr>
            <sz val="10"/>
            <color rgb="FF000000"/>
            <rFont val="Calibri"/>
            <family val="2"/>
          </rPr>
          <t xml:space="preserve">
</t>
        </r>
        <r>
          <rPr>
            <sz val="10"/>
            <color rgb="FF000000"/>
            <rFont val="Calibri"/>
            <family val="2"/>
          </rPr>
          <t xml:space="preserve">4. Telecomunicaciones Móviles al 4T-2022: </t>
        </r>
        <r>
          <rPr>
            <u/>
            <sz val="10"/>
            <color rgb="FF000000"/>
            <rFont val="Calibri"/>
            <family val="2"/>
          </rPr>
          <t>https://www.theciu.com/publicaciones-2/2023/2/27/telecomunicaciones-mviles-al-4t-2022</t>
        </r>
        <r>
          <rPr>
            <sz val="10"/>
            <color rgb="FF000000"/>
            <rFont val="Calibri"/>
            <family val="2"/>
          </rPr>
          <t xml:space="preserve">
</t>
        </r>
        <r>
          <rPr>
            <sz val="10"/>
            <color rgb="FF000000"/>
            <rFont val="Calibri"/>
            <family val="2"/>
          </rPr>
          <t xml:space="preserve">)
</t>
        </r>
        <r>
          <rPr>
            <sz val="10"/>
            <color rgb="FF000000"/>
            <rFont val="Calibri"/>
            <family val="2"/>
          </rPr>
          <t xml:space="preserve">Revenue: IFT (2022), Ingresos Telecomunicaciones: </t>
        </r>
        <r>
          <rPr>
            <u/>
            <sz val="10"/>
            <color rgb="FF000000"/>
            <rFont val="Calibri"/>
            <family val="2"/>
          </rPr>
          <t>https://bit.ift.org.mx/descargas/datos/tabs/TD_INGRESOS_TELECOM_ITE_VA.csv</t>
        </r>
        <r>
          <rPr>
            <sz val="10"/>
            <color rgb="FF000000"/>
            <rFont val="Calibri"/>
            <family val="2"/>
          </rPr>
          <t xml:space="preserve">
</t>
        </r>
        <r>
          <rPr>
            <sz val="10"/>
            <color rgb="FF000000"/>
            <rFont val="Calibri"/>
            <family val="2"/>
          </rPr>
          <t xml:space="preserve">Revenue: IFT (2022), Ingresos Telecomunicaciones: </t>
        </r>
        <r>
          <rPr>
            <u/>
            <sz val="10"/>
            <color rgb="FF000000"/>
            <rFont val="Calibri"/>
            <family val="2"/>
          </rPr>
          <t>https://bit.ift.org.mx/descargas/datos/tabs/TD_INGRESOS_TELECOM_ITE_VA.csv</t>
        </r>
        <r>
          <rPr>
            <sz val="10"/>
            <color rgb="FF000000"/>
            <rFont val="Calibri"/>
            <family val="2"/>
          </rPr>
          <t xml:space="preserve">
</t>
        </r>
        <r>
          <rPr>
            <sz val="10"/>
            <color rgb="FF000000"/>
            <rFont val="Calibri"/>
            <family val="2"/>
          </rPr>
          <t xml:space="preserve">Revenue: America Movil (2021) Anuario estadístico 2022, p. 23.
</t>
        </r>
        <r>
          <rPr>
            <sz val="10"/>
            <color rgb="FF000000"/>
            <rFont val="Calibri"/>
            <family val="2"/>
          </rPr>
          <t xml:space="preserve">
</t>
        </r>
        <r>
          <rPr>
            <sz val="10"/>
            <color rgb="FF000000"/>
            <rFont val="Calibri"/>
            <family val="2"/>
          </rPr>
          <t xml:space="preserve">
</t>
        </r>
        <r>
          <rPr>
            <u/>
            <sz val="10"/>
            <color rgb="FF000000"/>
            <rFont val="Calibri"/>
            <family val="2"/>
          </rPr>
          <t>https://tynmagazine.com/telecomunicaciones-moviles-al-4t-2022/</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343,835.98 Mexican peso converted at the 2022 annual exchange rate published by the Bank of Canada, i.e. 0.06472.
</t>
        </r>
      </text>
    </comment>
    <comment ref="E10" authorId="0" shapeId="0" xr:uid="{1E0937E8-DE12-6949-B3CB-1CF3E46695BD}">
      <text>
        <r>
          <rPr>
            <sz val="10"/>
            <color rgb="FF000000"/>
            <rFont val="Aptos Narrow"/>
            <family val="2"/>
            <scheme val="minor"/>
          </rPr>
          <t xml:space="preserve">Revenue: IFT (2023), Ingresos Telecomunicaciones: </t>
        </r>
        <r>
          <rPr>
            <u/>
            <sz val="10"/>
            <color rgb="FF000000"/>
            <rFont val="Aptos Narrow"/>
            <family val="2"/>
            <scheme val="minor"/>
          </rPr>
          <t>https://bit.ift.org.mx/descargas/datos/tabs/TD_INGRESOS_TELECOM_ITE_VA.csv</t>
        </r>
        <r>
          <rPr>
            <sz val="10"/>
            <color rgb="FF000000"/>
            <rFont val="Aptos Narrow"/>
            <family val="2"/>
            <scheme val="minor"/>
          </rPr>
          <t xml:space="preserve">
</t>
        </r>
      </text>
    </comment>
    <comment ref="C11" authorId="0" shapeId="0" xr:uid="{EF565B65-B0A8-964F-8DAD-BF0FA7E44193}">
      <text>
        <r>
          <rPr>
            <b/>
            <sz val="10"/>
            <color rgb="FF000000"/>
            <rFont val="Tahoma"/>
            <family val="2"/>
          </rPr>
          <t xml:space="preserve">Source: </t>
        </r>
        <r>
          <rPr>
            <sz val="10"/>
            <color rgb="FF000000"/>
            <rFont val="Calibri"/>
            <family val="2"/>
          </rPr>
          <t xml:space="preserve">Sources: Ministry of Science and ICT (2023). 2022 Information &amp; Communication Technology Survey. https://www.kait.or.kr/user/boardDetail.do?cateSeq=3&amp;bId=109&amp;bSeq=7083. South Korean Won converted at the 2023 annual exchange rate published by the Bank of Canada, i.e. 0.001096. 
</t>
        </r>
      </text>
    </comment>
    <comment ref="D11" authorId="0" shapeId="0" xr:uid="{C856E061-1A92-A146-A5EF-E07D13E073FE}">
      <text>
        <r>
          <rPr>
            <sz val="10"/>
            <color rgb="FF000000"/>
            <rFont val="Calibri"/>
            <family val="2"/>
          </rPr>
          <t xml:space="preserve">Source: Sources: Ministry of Science and ICT (2024). 2023 Information &amp; Communication Technology Survey. South Korean won 24,781,000 million converted at the 2022 annual exchange rate published by the Bank of Canada, i.e. 0.001009.
</t>
        </r>
      </text>
    </comment>
    <comment ref="E11" authorId="0" shapeId="0" xr:uid="{910C9640-6C7E-8C4D-ACA7-8B2C33CB01AE}">
      <text>
        <r>
          <rPr>
            <sz val="10"/>
            <color rgb="FF000000"/>
            <rFont val="Calibri"/>
            <family val="2"/>
          </rPr>
          <t xml:space="preserve">Sources: SK Telecom (2024). 2023 Earnings Release. https://www.sktelecom.com/investor/lib/announce.do?currentPage=1&amp;type=2022, KT (2024). 2023 Earnings Release. https://corp.kt.com/html/investors/resources/earnings.html, LG Uplus (2024). 4Q 2023 Earnings Release. https://www.lguplus.com/about/ko/investing/ir-resources/performance-data. South Korean Won converted at the 2023 annual exchange rate published by the Bank of Canada, i.e. 0.001033.
</t>
        </r>
      </text>
    </comment>
    <comment ref="C12" authorId="0" shapeId="0" xr:uid="{6E55674D-66FA-6540-AA17-1A4E1D16DEA6}">
      <text>
        <r>
          <rPr>
            <sz val="10"/>
            <color rgb="FF000000"/>
            <rFont val="+mn-lt"/>
            <charset val="1"/>
          </rPr>
          <t xml:space="preserve">Source: Arcep (2022). </t>
        </r>
        <r>
          <rPr>
            <sz val="10"/>
            <color rgb="FF000000"/>
            <rFont val="Calibri"/>
            <family val="2"/>
          </rPr>
          <t xml:space="preserve">Les Services de Communication Électroniques en France Resultats Provisoires/Annee 202. </t>
        </r>
        <r>
          <rPr>
            <sz val="10"/>
            <color rgb="FF000000"/>
            <rFont val="+mn-lt"/>
            <charset val="1"/>
          </rPr>
          <t xml:space="preserve">https://www.arcep.fr/fileadmin/cru-1664269931/reprise/observatoire/march-an2021/obs-marche-annee-2021-prov_mai2022.pdf, </t>
        </r>
        <r>
          <rPr>
            <sz val="10"/>
            <color rgb="FF000000"/>
            <rFont val="Calibri"/>
            <family val="2"/>
          </rPr>
          <t xml:space="preserve">p. 5.   
</t>
        </r>
        <r>
          <rPr>
            <sz val="10"/>
            <color rgb="FF000000"/>
            <rFont val="Calibri"/>
            <family val="2"/>
          </rPr>
          <t xml:space="preserve">AND ARCEP (2022). Marché des communications électroniques en France: https://www.data.gouv.fr/fr/datasets/r/f30bc772-7dff-49d6-940e-42865f32a9da
</t>
        </r>
        <r>
          <rPr>
            <sz val="10"/>
            <color rgb="FF000000"/>
            <rFont val="Calibri"/>
            <family val="2"/>
          </rPr>
          <t xml:space="preserve">
</t>
        </r>
        <r>
          <rPr>
            <sz val="10"/>
            <color rgb="FF000000"/>
            <rFont val="Calibri"/>
            <family val="2"/>
          </rPr>
          <t xml:space="preserve">Market: Mobile services (including Machine to Machine revenues) + Sale and rental of mobile terminals. Global market revenue = Line 211 « Revenus des services mobiles (hors cartes MtoM) » + Line 216 « Services à valeur ajoutée au départ des clients des opérateurs mobiles » + Line 221 « Revenu des opérateurs attributaires - services de renseignements » + Line 223 « Revenu des cartes MtoM"
</t>
        </r>
      </text>
    </comment>
    <comment ref="D12" authorId="0" shapeId="0" xr:uid="{A6C91C15-4577-5B49-B890-6A5F701CB1BB}">
      <text>
        <r>
          <rPr>
            <sz val="10"/>
            <color rgb="FF000000"/>
            <rFont val="Calibri"/>
            <family val="2"/>
          </rPr>
          <t>Source: Arcep (2023). Les Services de Communication Électroniques en France Resultats Provisoires/Annee 2022. [new report not available] report for 2021 [</t>
        </r>
        <r>
          <rPr>
            <u/>
            <sz val="10"/>
            <color rgb="FF000000"/>
            <rFont val="Calibri"/>
            <family val="2"/>
          </rPr>
          <t>https://www.arcep.fr/fileadmin/cru-1664269931/reprise/observatoire/march-an2021/obs-marche-annee-2021-prov_mai2022.pdf</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ARCEP (2023). Marché des communications électroniques en France - Année 2022 - Résultats provisoires: </t>
        </r>
        <r>
          <rPr>
            <u/>
            <sz val="10"/>
            <color rgb="FF000000"/>
            <rFont val="Calibri"/>
            <family val="2"/>
          </rPr>
          <t>https://www.arcep.fr/cartes-et-donnees/nos-publications-chiffrees/observatoire-des-marches-des-communications-electroniques-en-france/marche-communications-electroniques-france-2022-resultats-provisoires.html#:~:text=La%20consommation%20vocale%20depuis%20les,cons%C3%A9quence%20de%20la%20crise%20sanitaire</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Market: Mobile services (including Machine to Machine revenues) + Sale and rental of mobile terminals. Global market revenue = Line 211 « Revenus des services mobiles (hors cartes MtoM) » + Line 216 « Services à valeur ajoutée au départ des clients des opérateurs mobiles » + Line 221 « Revenu des opérateurs attributaires - services de renseignements » + Line 223 « Revenu des cartes MtoM"
</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E12" authorId="2" shapeId="0" xr:uid="{763E2B27-DA2C-C34C-8797-8856CF103385}">
      <text>
        <r>
          <rPr>
            <sz val="10"/>
            <color rgb="FF000000"/>
            <rFont val="Calibri"/>
            <family val="2"/>
          </rPr>
          <t xml:space="preserve">Source : Arcep "Observatoire des communications électroniques", May 30 2024. Source: https://www.data.gouv.fr/fr/datasets/r/f30bc772-7dff-49d6-940e-42865f32a9da. Line 25 "Marchés services mobiles (y-compris les recettes Machine to Machine) + Line 219 « Services à valeur ajoutée au départ des clients des opérateurs mobiles » + Line 224 « Revenu des opérateurs attributaires - services de renseignements » + Line 226 « Revenu des cartes MtoM »
</t>
        </r>
      </text>
    </comment>
    <comment ref="C13" authorId="0" shapeId="0" xr:uid="{8E849020-6921-7C45-95D0-FB454B4B18D5}">
      <text>
        <r>
          <rPr>
            <b/>
            <sz val="10"/>
            <color rgb="FF000000"/>
            <rFont val="Tahoma"/>
            <family val="2"/>
          </rPr>
          <t>Source</t>
        </r>
        <r>
          <rPr>
            <sz val="10"/>
            <color rgb="FF000000"/>
            <rFont val="Tahoma"/>
            <family val="2"/>
          </rPr>
          <t xml:space="preserve">: Ofcom. Communications Market Report, 2022 (Summary of UK telecoms revenues: retail mobile). https://www.ofcom.org.uk/research-and-data/multi-sector-research/cmr/the-communications-market-2022?SQ_VARIATION_240924=0 </t>
        </r>
      </text>
    </comment>
    <comment ref="D13" authorId="0" shapeId="0" xr:uid="{A5300515-8A0E-A842-BCCA-B94BEFF74A12}">
      <text>
        <r>
          <rPr>
            <sz val="10"/>
            <color rgb="FF000000"/>
            <rFont val="Calibri"/>
            <family val="2"/>
          </rPr>
          <t xml:space="preserve">Source: Ofcom. Communications Market Report, 2023 (Summary of UK telecoms revenues: retail mobile). </t>
        </r>
        <r>
          <rPr>
            <u/>
            <sz val="10"/>
            <color rgb="FF000000"/>
            <rFont val="Calibri"/>
            <family val="2"/>
          </rPr>
          <t>https://www.ofcom.org.uk/__data/assets/pdf_file/0034/264778/Communications-Market-Report-2023.pdf</t>
        </r>
        <r>
          <rPr>
            <sz val="10"/>
            <color rgb="FF000000"/>
            <rFont val="Calibri"/>
            <family val="2"/>
          </rPr>
          <t xml:space="preserve">
</t>
        </r>
        <r>
          <rPr>
            <sz val="10"/>
            <color rgb="FF000000"/>
            <rFont val="Calibri"/>
            <family val="2"/>
          </rPr>
          <t xml:space="preserve">Ofcom (2023). Telecommunications Market Data Update 2022. </t>
        </r>
        <r>
          <rPr>
            <u/>
            <sz val="10"/>
            <color rgb="FF000000"/>
            <rFont val="Calibri"/>
            <family val="2"/>
          </rPr>
          <t>https://www.ofcom.org.uk/__data/assets/pdf_file/0025/260539/Q4-2022-Telecoms-Data-Update.pdf</t>
        </r>
        <r>
          <rPr>
            <sz val="10"/>
            <color rgb="FF000000"/>
            <rFont val="Calibri"/>
            <family val="2"/>
          </rPr>
          <t xml:space="preserve">, p. 16
</t>
        </r>
        <r>
          <rPr>
            <sz val="10"/>
            <color rgb="FF000000"/>
            <rFont val="Calibri"/>
            <family val="2"/>
          </rPr>
          <t xml:space="preserve">
</t>
        </r>
        <r>
          <rPr>
            <sz val="10"/>
            <color rgb="FF000000"/>
            <rFont val="Calibri"/>
            <family val="2"/>
          </rPr>
          <t xml:space="preserve">
</t>
        </r>
        <r>
          <rPr>
            <sz val="10"/>
            <color rgb="FF000000"/>
            <rFont val="Calibri"/>
            <family val="2"/>
          </rPr>
          <t xml:space="preserve">UK pound sterling converted at the 2022 annual exchange rate published by the Bank of Canada, i.e. 1.6076.
</t>
        </r>
      </text>
    </comment>
    <comment ref="E13" authorId="0" shapeId="0" xr:uid="{16AF611D-DA56-064A-B5D0-12C758FCAAB6}">
      <text>
        <r>
          <rPr>
            <b/>
            <sz val="10"/>
            <color rgb="FF000000"/>
            <rFont val="Calibri"/>
            <family val="2"/>
          </rPr>
          <t>Source</t>
        </r>
        <r>
          <rPr>
            <sz val="10"/>
            <color rgb="FF000000"/>
            <rFont val="Calibri"/>
            <family val="2"/>
          </rPr>
          <t xml:space="preserve">: Ofcom. Telecommunications Market Data Update (Quarterly) 2023.
</t>
        </r>
      </text>
    </comment>
    <comment ref="C14" authorId="0" shapeId="0" xr:uid="{34529A8A-9666-ED48-9112-1AF8F84F45DF}">
      <text>
        <r>
          <rPr>
            <b/>
            <sz val="10"/>
            <color rgb="FF000000"/>
            <rFont val="Tahoma"/>
            <family val="2"/>
          </rPr>
          <t xml:space="preserve">Source: </t>
        </r>
        <r>
          <rPr>
            <sz val="10"/>
            <color rgb="FF000000"/>
            <rFont val="Calibri"/>
            <family val="2"/>
          </rPr>
          <t xml:space="preserve">IBISWorld's 'AUSTRALIA INDUSTRY (ANZSIC) REPORT J5802: Wireless Telecommunications Carriers in Australia' (Updated April 2022). </t>
        </r>
      </text>
    </comment>
    <comment ref="D14" authorId="0" shapeId="0" xr:uid="{13D3E7ED-5EE5-6B4C-87AC-FBFF6C45CE6A}">
      <text>
        <r>
          <rPr>
            <sz val="10"/>
            <color rgb="FF000000"/>
            <rFont val="Calibri"/>
            <family val="2"/>
          </rPr>
          <t xml:space="preserve">Source: IBISWorld's 'AUSTRALIA INDUSTRY (ANZSIC) REPORT J5802: Wireless Telecommunications Carriers in Australia' (Updated April 2023). </t>
        </r>
        <r>
          <rPr>
            <u/>
            <sz val="10"/>
            <color rgb="FF000000"/>
            <rFont val="Calibri"/>
            <family val="2"/>
          </rPr>
          <t>https://www.ibisworld.com/au/industry/wireless-telecommunications-carriers/1830/#IndustryStatisticsAndTrends</t>
        </r>
        <r>
          <rPr>
            <sz val="10"/>
            <color rgb="FF000000"/>
            <rFont val="Calibri"/>
            <family val="2"/>
          </rPr>
          <t xml:space="preserve"> [hmmm, it's behind a paywall. The prediction is that the industry's revenue will gradually decrease by 0.1% each year over the five-year period leading up to 2022-23, and it's expected to reach a total of $22.9 billion during that time]
</t>
        </r>
        <r>
          <rPr>
            <sz val="10"/>
            <color rgb="FF000000"/>
            <rFont val="Calibri"/>
            <family val="2"/>
          </rPr>
          <t xml:space="preserve">
</t>
        </r>
        <r>
          <rPr>
            <sz val="10"/>
            <color rgb="FF000000"/>
            <rFont val="Calibri"/>
            <family val="2"/>
          </rPr>
          <t xml:space="preserve">
</t>
        </r>
        <r>
          <rPr>
            <sz val="10"/>
            <color rgb="FF000000"/>
            <rFont val="Calibri"/>
            <family val="2"/>
          </rPr>
          <t xml:space="preserve">Australian dollar converted at the 2022 annual exchange rate published by the Bank of Canada, i.e. 0.9034.
</t>
        </r>
      </text>
    </comment>
    <comment ref="E14" authorId="0" shapeId="0" xr:uid="{BE5308DF-5E4B-F444-8DA9-0AF4FEE98F55}">
      <text>
        <r>
          <rPr>
            <sz val="10"/>
            <color rgb="FF000000"/>
            <rFont val="Aptos Narrow"/>
            <family val="2"/>
            <scheme val="minor"/>
          </rPr>
          <t>IBISWorld's J5802 - Wireless Telecommunications Carriers in Australia Report (sum of players + others)</t>
        </r>
      </text>
    </comment>
    <comment ref="C15" authorId="0" shapeId="0" xr:uid="{D12D7760-0997-B84A-9683-AAEC88861BDD}">
      <text>
        <r>
          <rPr>
            <sz val="10"/>
            <color rgb="FF000000"/>
            <rFont val="Calibri"/>
            <family val="2"/>
          </rPr>
          <t xml:space="preserve">Teleco agency, based on ANATEL,  personal communication.https://www.gov.br/anatel/pt-br/dados/relatorios-de-acompanhamento </t>
        </r>
      </text>
    </comment>
    <comment ref="D15" authorId="0" shapeId="0" xr:uid="{31B24296-D905-D84A-9BDF-9A36B53D212F}">
      <text>
        <r>
          <rPr>
            <sz val="10"/>
            <color rgb="FF000000"/>
            <rFont val="Calibri"/>
            <family val="2"/>
          </rPr>
          <t xml:space="preserve">Teleco agency, based on ANATEL,  personal communication.https://www.gov.br/anatel/pt-br/dados/relatorios-de-acompanhamento </t>
        </r>
      </text>
    </comment>
    <comment ref="E15" authorId="0" shapeId="0" xr:uid="{3D049418-ED16-1745-A829-72AD18BA4BE4}">
      <text>
        <r>
          <rPr>
            <sz val="10"/>
            <color rgb="FF000000"/>
            <rFont val="Calibri"/>
            <family val="2"/>
          </rPr>
          <t xml:space="preserve">Teleco agency, based on ANATEL,  personal communication.https://www.gov.br/anatel/pt-br/dados/relatorios-de-acompanhamento .
</t>
        </r>
        <r>
          <rPr>
            <sz val="10"/>
            <color rgb="FF000000"/>
            <rFont val="Calibri"/>
            <family val="2"/>
          </rPr>
          <t xml:space="preserve">
</t>
        </r>
      </text>
    </comment>
    <comment ref="C16" authorId="0" shapeId="0" xr:uid="{AA31CA91-2DB2-144D-B783-AC3DD137CC84}">
      <text>
        <r>
          <rPr>
            <sz val="10"/>
            <color rgb="FF000000"/>
            <rFont val="Calibri"/>
            <family val="2"/>
          </rPr>
          <t>Source: AGCOM. Relazione Annuale 2022. Appendice Statistica (page 32, figure A1.35 - Full source available here: https://www.agcom.it/documents/10179/27251843/Allegato+28-7-2022+1659015871109/c11ec9a1-57d3-4716-9201-7252b6debf44?version=1.0). Included voice, data and bundled offers revenue. ùNet revenue only: wholesale revenues are not accounted for</t>
        </r>
      </text>
    </comment>
    <comment ref="D16" authorId="0" shapeId="0" xr:uid="{56D91F73-920A-0546-ABD3-7F57BAC22388}">
      <text>
        <r>
          <rPr>
            <sz val="10"/>
            <color rgb="FF000000"/>
            <rFont val="Calibri"/>
            <family val="2"/>
          </rPr>
          <t xml:space="preserve">Source: AGCOM. Relazione Annuale 2023 (page 32 - table A1.35 and page 33 - table A1.38 of the Statistical Appendix). </t>
        </r>
        <r>
          <rPr>
            <u/>
            <sz val="10"/>
            <color rgb="FF000000"/>
            <rFont val="Calibri"/>
            <family val="2"/>
          </rPr>
          <t>https://www.agcom.it/documents/10179/31023367/Documento+generico+19-07-2023/bd485435-0467-4bf1-9a87-f074b4525ac7?version=1.0</t>
        </r>
        <r>
          <rPr>
            <sz val="10"/>
            <color rgb="FF000000"/>
            <rFont val="Calibri"/>
            <family val="2"/>
          </rPr>
          <t xml:space="preserve">; </t>
        </r>
        <r>
          <rPr>
            <u/>
            <sz val="10"/>
            <color rgb="FF000000"/>
            <rFont val="Calibri"/>
            <family val="2"/>
          </rPr>
          <t>https://www.agcom.it/documents/10179/31023367/Allegato+18-7-2023+1689717374320/ecc9b34f-5274-4065-9729-e9ed9ff7696e?version=1.0</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coverted at the 2021 annual exchange rate published by the Bank of Canada, i.e. 1.3696 .
</t>
        </r>
      </text>
    </comment>
    <comment ref="E16" authorId="0" shapeId="0" xr:uid="{7503431A-2806-1745-8A97-75C6A72D5798}">
      <text>
        <r>
          <rPr>
            <sz val="10"/>
            <color rgb="FF000000"/>
            <rFont val="Tahoma"/>
            <family val="2"/>
          </rPr>
          <t>Source: AGCOM. Relazione Annuale 2024. Appendice Statistica (page 30, figure A1.31 - Full source available here: https://www.agcom.it/sites/default/files/media/allegato/2024/APPENDICE%20STATISTICA_RA2024.pdf)</t>
        </r>
      </text>
    </comment>
    <comment ref="C17" authorId="0" shapeId="0" xr:uid="{88936573-90C5-0E44-8CB2-BD72B77FB015}">
      <text>
        <r>
          <rPr>
            <b/>
            <sz val="10"/>
            <color rgb="FF000000"/>
            <rFont val="Tahoma"/>
            <family val="2"/>
          </rPr>
          <t>Source</t>
        </r>
        <r>
          <rPr>
            <sz val="10"/>
            <color rgb="FF000000"/>
            <rFont val="Tahoma"/>
            <family val="2"/>
          </rPr>
          <t xml:space="preserve">: https://www.icasa.org.za/legislation-and-regulations/state-of-the-ict-sector-in-south-africa-2022-report, p. 9. </t>
        </r>
      </text>
    </comment>
    <comment ref="D17" authorId="0" shapeId="0" xr:uid="{C3F09A8C-25B0-EA41-B7B7-61057FBF30B0}">
      <text>
        <r>
          <rPr>
            <sz val="10"/>
            <color rgb="FF000000"/>
            <rFont val="Calibri"/>
            <family val="2"/>
          </rPr>
          <t xml:space="preserve">Source: </t>
        </r>
        <r>
          <rPr>
            <u/>
            <sz val="10"/>
            <color rgb="FF000000"/>
            <rFont val="Calibri"/>
            <family val="2"/>
          </rPr>
          <t>https://www.icasa.org.za/legislation-and-regulations/state-of-ict-sector-report-2023-report</t>
        </r>
        <r>
          <rPr>
            <sz val="10"/>
            <color rgb="FF000000"/>
            <rFont val="Calibri"/>
            <family val="2"/>
          </rPr>
          <t xml:space="preserve">, p. 19. 
</t>
        </r>
        <r>
          <rPr>
            <sz val="10"/>
            <color rgb="FF000000"/>
            <rFont val="Calibri"/>
            <family val="2"/>
          </rPr>
          <t xml:space="preserve">
</t>
        </r>
        <r>
          <rPr>
            <sz val="10"/>
            <color rgb="FF000000"/>
            <rFont val="Calibri"/>
            <family val="2"/>
          </rPr>
          <t xml:space="preserve">
</t>
        </r>
        <r>
          <rPr>
            <sz val="10"/>
            <color rgb="FF000000"/>
            <rFont val="Calibri"/>
            <family val="2"/>
          </rPr>
          <t xml:space="preserve">South African rand converted at the 2022 annual exchange rate published by the Bank of Canada, i.e. 0.07974.
</t>
        </r>
      </text>
    </comment>
    <comment ref="E17" authorId="0" shapeId="0" xr:uid="{156FF0D4-0DD8-C54A-A152-866BDB85708B}">
      <text>
        <r>
          <rPr>
            <sz val="10"/>
            <color rgb="FF000000"/>
            <rFont val="Calibri"/>
            <family val="2"/>
          </rPr>
          <t xml:space="preserve">Source:  ICASA (2024). State of the ICT seector in South Africa--2024 report, p. 20. </t>
        </r>
        <r>
          <rPr>
            <u/>
            <sz val="10"/>
            <color rgb="FF000000"/>
            <rFont val="Calibri"/>
            <family val="2"/>
          </rPr>
          <t>https://www.icasa.org.za/legislation-and-regulations/state-of-the-ict-sector-in-south-africa-2024-report</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South African rand converted at the 2022 annual exchange rate published by the Bank of Canada, i.e. 0.07974.
</t>
        </r>
      </text>
    </comment>
    <comment ref="C18" authorId="0" shapeId="0" xr:uid="{5FBAF93C-02E6-C04F-8297-8CA32009EF9A}">
      <text>
        <r>
          <rPr>
            <b/>
            <sz val="10"/>
            <color rgb="FF000000"/>
            <rFont val="Tahoma"/>
            <family val="2"/>
          </rPr>
          <t xml:space="preserve">Source: </t>
        </r>
        <r>
          <rPr>
            <sz val="10"/>
            <color rgb="FF000000"/>
            <rFont val="Calibri"/>
            <family val="2"/>
          </rPr>
          <t xml:space="preserve">Aggregated data of Mobile Voice (Telefonía móvil) and Mobile Data (Banda ancha móvil) . http://data.cnmc.es/datagraph/jsp/inf_anual.jsp
</t>
        </r>
        <r>
          <rPr>
            <sz val="10"/>
            <color rgb="FF000000"/>
            <rFont val="Calibri"/>
            <family val="2"/>
          </rPr>
          <t xml:space="preserve">
</t>
        </r>
      </text>
    </comment>
    <comment ref="D18" authorId="0" shapeId="0" xr:uid="{382ABD96-9732-6842-B8C8-8FB9FF0210C5}">
      <text>
        <r>
          <rPr>
            <sz val="10"/>
            <color rgb="FF000000"/>
            <rFont val="Aptos Narrow"/>
            <family val="2"/>
          </rPr>
          <t xml:space="preserve">Source: Aggregated data of Mobile Voice (Telefonía móvil) and Mobile Data (Banda ancha móvil) . </t>
        </r>
        <r>
          <rPr>
            <u/>
            <sz val="10"/>
            <color rgb="FF000000"/>
            <rFont val="Aptos Narrow"/>
            <family val="2"/>
          </rPr>
          <t>https://data.cnmc.es/telecomunicaciones-y-sector-audiovisual/datos-anuales/datos-generales/telecomunicaciones-anual</t>
        </r>
        <r>
          <rPr>
            <sz val="10"/>
            <color rgb="FF000000"/>
            <rFont val="Aptos Narrow"/>
            <family val="2"/>
          </rPr>
          <t xml:space="preserve">
</t>
        </r>
        <r>
          <rPr>
            <sz val="10"/>
            <color rgb="FF000000"/>
            <rFont val="Aptos Narrow"/>
            <family val="2"/>
          </rPr>
          <t xml:space="preserve">
</t>
        </r>
        <r>
          <rPr>
            <sz val="10"/>
            <color rgb="FF000000"/>
            <rFont val="Aptos Narrow"/>
            <family val="2"/>
          </rPr>
          <t xml:space="preserve">
</t>
        </r>
        <r>
          <rPr>
            <sz val="10"/>
            <color rgb="FF000000"/>
            <rFont val="Aptos Narrow"/>
            <family val="2"/>
          </rPr>
          <t xml:space="preserve">European euro converted at the 2022 annual exchange rate published by the Bank of Canada, i.e. 1.3696.
</t>
        </r>
      </text>
    </comment>
    <comment ref="C19" authorId="0" shapeId="0" xr:uid="{D3324FCE-1D64-4C43-8E11-8A1479FAF938}">
      <text>
        <r>
          <rPr>
            <sz val="10"/>
            <color rgb="FF000000"/>
            <rFont val="Calibri"/>
            <family val="2"/>
          </rPr>
          <t>Source: Nigerian Communications Commission's </t>
        </r>
        <r>
          <rPr>
            <i/>
            <sz val="10"/>
            <color rgb="FF000000"/>
            <rFont val="Calibri"/>
            <family val="2"/>
          </rPr>
          <t>2021 Subscriber/Network Data Annual Report</t>
        </r>
        <r>
          <rPr>
            <sz val="10"/>
            <color rgb="FF000000"/>
            <rFont val="Calibri"/>
            <family val="2"/>
          </rPr>
          <t xml:space="preserve">, p 4. </t>
        </r>
      </text>
    </comment>
    <comment ref="E19" authorId="0" shapeId="0" xr:uid="{CEA753C3-90CD-A64B-9BD1-E6F51315E4EC}">
      <text>
        <r>
          <rPr>
            <sz val="10"/>
            <color rgb="FF000000"/>
            <rFont val="Tahoma"/>
            <family val="2"/>
          </rPr>
          <t xml:space="preserve">Based on known revenue of MTN and Airtel, which account for roughly 70% of the market, and an estimated of the remainder. </t>
        </r>
      </text>
    </comment>
    <comment ref="C20" authorId="0" shapeId="0" xr:uid="{72991B91-D9F7-724D-94E4-EF84302532D1}">
      <text>
        <r>
          <rPr>
            <b/>
            <sz val="10"/>
            <color rgb="FF000000"/>
            <rFont val="Calibri"/>
            <family val="2"/>
          </rPr>
          <t>Source</t>
        </r>
        <r>
          <rPr>
            <sz val="10"/>
            <color rgb="FF000000"/>
            <rFont val="Calibri"/>
            <family val="2"/>
          </rPr>
          <t xml:space="preserve">: BTK (2021) "Turkiye Elektronik Haberlesme Sektoru, Uc Aylik Pazar Verileri Raporu" [Turkey Electronic Communications Sector, Quarterly Market Data Report], pp. 24, 77.  https://www.btk.gov.tr/uploads/pages/pazar-verileri/2021-4-pazar-verileri-raporu.pdf </t>
        </r>
      </text>
    </comment>
    <comment ref="D20" authorId="0" shapeId="0" xr:uid="{4CFBD11A-9D34-C044-BECB-47810206E467}">
      <text>
        <r>
          <rPr>
            <sz val="10"/>
            <color rgb="FF000000"/>
            <rFont val="Calibri"/>
            <family val="2"/>
          </rPr>
          <t xml:space="preserve">Source: BTK (2021) "Turkiye Elektronik Haberlesme Sektoru, Uc Aylik Pazar Verileri Raporu" [Turkey Electronic Communications Sector, Quarterly Market Data Report].   </t>
        </r>
        <r>
          <rPr>
            <u/>
            <sz val="10"/>
            <color rgb="FF000000"/>
            <rFont val="Calibri"/>
            <family val="2"/>
          </rPr>
          <t>https://www.btk.gov.tr/uploads/pages/pazar-verileri/2021-4-pazar-verileri-raporu.pdf</t>
        </r>
        <r>
          <rPr>
            <sz val="10"/>
            <color rgb="FF000000"/>
            <rFont val="Calibri"/>
            <family val="2"/>
          </rPr>
          <t xml:space="preserve">
</t>
        </r>
        <r>
          <rPr>
            <u/>
            <sz val="10"/>
            <color rgb="FF000000"/>
            <rFont val="Calibri"/>
            <family val="2"/>
          </rPr>
          <t>https://www.btk.gov.tr/pazar-verileri</t>
        </r>
        <r>
          <rPr>
            <sz val="10"/>
            <color rgb="FF000000"/>
            <rFont val="Calibri"/>
            <family val="2"/>
          </rPr>
          <t xml:space="preserve"> 
</t>
        </r>
        <r>
          <rPr>
            <sz val="10"/>
            <color rgb="FF000000"/>
            <rFont val="Calibri"/>
            <family val="2"/>
          </rPr>
          <t xml:space="preserve">
</t>
        </r>
        <r>
          <rPr>
            <sz val="10"/>
            <color rgb="FF000000"/>
            <rFont val="Calibri"/>
            <family val="2"/>
          </rPr>
          <t xml:space="preserve">
</t>
        </r>
        <r>
          <rPr>
            <u/>
            <sz val="10"/>
            <color rgb="FF000000"/>
            <rFont val="Calibri"/>
            <family val="2"/>
          </rPr>
          <t>https://www.bthk.org/tr/Documents/2022%20Q4%20Raporu.pdf</t>
        </r>
        <r>
          <rPr>
            <sz val="10"/>
            <color rgb="FF000000"/>
            <rFont val="Calibri"/>
            <family val="2"/>
          </rPr>
          <t xml:space="preserve">
</t>
        </r>
      </text>
    </comment>
    <comment ref="E20" authorId="0" shapeId="0" xr:uid="{F7873E91-65CF-5A4B-8A8C-9589693B33AC}">
      <text>
        <r>
          <rPr>
            <sz val="10"/>
            <color rgb="FF000000"/>
            <rFont val="Calibri"/>
            <family val="2"/>
          </rPr>
          <t>Source: Information and communication Technologies Authority, 2024 Q1 report, p. 69 https://www.btk.gov.tr/uploads/pages/pazar-verileri/2024-1-kurumdisifinal.pdf</t>
        </r>
      </text>
    </comment>
    <comment ref="C21" authorId="0" shapeId="0" xr:uid="{210E8093-5388-A04B-9751-F5FCEC000D54}">
      <text>
        <r>
          <rPr>
            <b/>
            <sz val="10"/>
            <color rgb="FF000000"/>
            <rFont val="Tahoma"/>
            <family val="2"/>
          </rPr>
          <t>DD:</t>
        </r>
        <r>
          <rPr>
            <sz val="10"/>
            <color rgb="FF000000"/>
            <rFont val="Tahoma"/>
            <family val="2"/>
          </rPr>
          <t xml:space="preserve">
</t>
        </r>
        <r>
          <rPr>
            <sz val="10"/>
            <color rgb="FF000000"/>
            <rFont val="+mn-lt"/>
            <charset val="1"/>
          </rPr>
          <t>https://www.acm.nl/nl/publicaties/acm-telecommonitor-eerste-kwartaal-2021</t>
        </r>
      </text>
    </comment>
    <comment ref="D21" authorId="0" shapeId="0" xr:uid="{C5943225-730F-9949-AEA8-02141AD24261}">
      <text>
        <r>
          <rPr>
            <sz val="10"/>
            <color rgb="FF000000"/>
            <rFont val="Calibri"/>
            <family val="2"/>
          </rPr>
          <t>The Netherlands Authority for Consumers and Markets (ACM). </t>
        </r>
        <r>
          <rPr>
            <u/>
            <sz val="10"/>
            <color rgb="FF000000"/>
            <rFont val="Calibri"/>
            <family val="2"/>
          </rPr>
          <t>https://public.tableau.com/app/profile/autoriteit.consument.en.markt/viz/Telecommonitor/OVER</t>
        </r>
        <r>
          <rPr>
            <sz val="10"/>
            <color rgb="FF000000"/>
            <rFont val="Calibri"/>
            <family val="2"/>
          </rPr>
          <t xml:space="preserve">
</t>
        </r>
        <r>
          <rPr>
            <sz val="10"/>
            <color rgb="FF000000"/>
            <rFont val="Calibri"/>
            <family val="2"/>
          </rPr>
          <t xml:space="preserve">
</t>
        </r>
        <r>
          <rPr>
            <sz val="10"/>
            <color rgb="FF000000"/>
            <rFont val="Calibri"/>
            <family val="2"/>
          </rPr>
          <t xml:space="preserve">
</t>
        </r>
        <r>
          <rPr>
            <u/>
            <sz val="10"/>
            <color rgb="FF000000"/>
            <rFont val="Calibri"/>
            <family val="2"/>
          </rPr>
          <t>https://www.acm.nl/nl/publicaties/acm-telecommonitor-eerste-kwartaal-2021</t>
        </r>
        <r>
          <rPr>
            <sz val="10"/>
            <color rgb="FF000000"/>
            <rFont val="Calibri"/>
            <family val="2"/>
          </rPr>
          <t xml:space="preserve">; </t>
        </r>
        <r>
          <rPr>
            <u/>
            <sz val="10"/>
            <color rgb="FF000000"/>
            <rFont val="Calibri"/>
            <family val="2"/>
          </rPr>
          <t>https://www.acm.nl/nl/publicaties/acm-telecommonitor-eerste-kwartaal-2022-met-nieuw-interactief-dashboard</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4174 million 57converted at the 2022 annual exchange rate published by the Bank of Canada, i.e. 1.3696.
</t>
        </r>
      </text>
    </comment>
    <comment ref="E21" authorId="0" shapeId="0" xr:uid="{EDA0F38B-E53D-F646-ABC6-B15CFD0B0DC5}">
      <text>
        <r>
          <rPr>
            <sz val="10"/>
            <color rgb="FF000000"/>
            <rFont val="Calibri"/>
            <family val="2"/>
          </rPr>
          <t>The Netherlands Authority for Consumers and Markets (ACM). </t>
        </r>
        <r>
          <rPr>
            <u/>
            <sz val="10"/>
            <color rgb="FF000000"/>
            <rFont val="Calibri"/>
            <family val="2"/>
          </rPr>
          <t>https://public.tableau.com/app/profile/autoriteit.consument.en.markt/viz/Telecommonitor/OVER</t>
        </r>
        <r>
          <rPr>
            <sz val="10"/>
            <color rgb="FF000000"/>
            <rFont val="Calibri"/>
            <family val="2"/>
          </rPr>
          <t xml:space="preserve">
</t>
        </r>
      </text>
    </comment>
    <comment ref="C22" authorId="0" shapeId="0" xr:uid="{E5FCD2B6-71B5-A143-9CE8-851F326576CC}">
      <text>
        <r>
          <rPr>
            <sz val="10"/>
            <color rgb="FF000000"/>
            <rFont val="Calibri"/>
            <family val="2"/>
          </rPr>
          <t xml:space="preserve">ENACOM (Argentina regulatory agency) //https://indicadores.enacom.gob.ar/Informes . The diferences between the overall revenue publish by ENACOM and the one calculated by us in the excel tab (Wireless) is due to the differences in the exchange rate (in Argentina it is highly fluctuating). Total revenue for all companies in 2021 is ARS$ 443.067. Total Revenue U$S 4.111. Average exchange rate AR$ 107,75./
</t>
        </r>
      </text>
    </comment>
    <comment ref="D22" authorId="0" shapeId="0" xr:uid="{AE618B34-F3FE-8640-A21A-12BDCBF2AA40}">
      <text>
        <r>
          <rPr>
            <sz val="10"/>
            <color rgb="FF000000"/>
            <rFont val="Calibri"/>
            <family val="2"/>
          </rPr>
          <t xml:space="preserve">ENACOM  (Argentina regulatory agency) //https://indicadores.enacom.gob.ar/Informes. The diferences between the overall revenue publish by ENACOM and the one calculated by us in the excel tab (Wireless) is due to the differences in the exchange rate (in Argentina it is highly fluctuating). Total revenue for all companies in 2022 is ARS$ 743.248. Total Revenue U$S 4.055. Average exchange rate AR$183,25.
</t>
        </r>
      </text>
    </comment>
    <comment ref="E22" authorId="0" shapeId="0" xr:uid="{4557A18A-5B3F-5944-85CD-EA68EDE2C829}">
      <text>
        <r>
          <rPr>
            <sz val="10"/>
            <color rgb="FF000000"/>
            <rFont val="Calibri"/>
            <family val="2"/>
          </rPr>
          <t xml:space="preserve"> ENACOM  (Argentina regulatory agency) //https://indicadores.enacom.gob.ar/Informes. Total Revenue U$S 4761. Average exchange rate AR$ 306,70 (source: investing).  
</t>
        </r>
        <r>
          <rPr>
            <sz val="10"/>
            <color rgb="FF000000"/>
            <rFont val="Calibri"/>
            <family val="2"/>
          </rPr>
          <t xml:space="preserve">
</t>
        </r>
      </text>
    </comment>
    <comment ref="C23" authorId="0" shapeId="0" xr:uid="{FE536EEC-2CDA-5546-9647-CA071525CC84}">
      <text>
        <r>
          <rPr>
            <b/>
            <sz val="10"/>
            <color rgb="FF000000"/>
            <rFont val="Tahoma"/>
            <family val="2"/>
          </rPr>
          <t xml:space="preserve">Source: </t>
        </r>
        <r>
          <rPr>
            <sz val="10"/>
            <color rgb="FF000000"/>
            <rFont val="Tahoma"/>
            <family val="2"/>
          </rPr>
          <t xml:space="preserve">Source: Total revenue for the wireless market: OFCOM. (15.06.2023). Financial results on 31.12-&gt; Fact and Figures -&gt; Excel "Financial results and number of emploxees.xlsx"-&gt; Tab_F1-&gt;"Services on mobile networks"+ "Convergent grouped offerings (fixed+mobile network)"/2 (Original data CHF - the total revenues are taken from OFCOM and do not result from the sum of the total revenues of the individual companies in the relevant worksheet): https://www.bakom.admin.ch/bakom/en/homepage/telecommunication/facts-and-figures/statistical-observatory/fixed/financial-results-on-31-12.html. 
</t>
        </r>
        <r>
          <rPr>
            <sz val="10"/>
            <color rgb="FF000000"/>
            <rFont val="Tahoma"/>
            <family val="2"/>
          </rPr>
          <t xml:space="preserve">
</t>
        </r>
        <r>
          <rPr>
            <sz val="10"/>
            <color rgb="FF000000"/>
            <rFont val="Tahoma"/>
            <family val="2"/>
          </rPr>
          <t xml:space="preserve">CHF </t>
        </r>
        <r>
          <rPr>
            <sz val="10"/>
            <color rgb="FF000000"/>
            <rFont val="Calibri"/>
            <family val="2"/>
          </rPr>
          <t xml:space="preserve">converted to Canadian dollars at the 2021 annual exchange rate published by the Bank of Canada, i.e. 1.37.
</t>
        </r>
      </text>
    </comment>
    <comment ref="D23" authorId="0" shapeId="0" xr:uid="{0D657C1C-252D-E248-BC6F-118AEB48A821}">
      <text>
        <r>
          <rPr>
            <b/>
            <sz val="10"/>
            <color rgb="FF000000"/>
            <rFont val="Times New Roman"/>
            <family val="18"/>
          </rPr>
          <t xml:space="preserve">Source: </t>
        </r>
        <r>
          <rPr>
            <sz val="10"/>
            <color rgb="FF000000"/>
            <rFont val="Times New Roman"/>
            <family val="18"/>
          </rPr>
          <t xml:space="preserve">Source: Total revenue for the wireless market: OFCOM. (15.06.2023). Financial results on 31.12-&gt; Fact and Figures -&gt; Excel "Financial results and number of emploxees.xlsx"-&gt; Tab_F1-&gt;"Services on mobile networks"+ "Convergent grouped offerings (fixed+mobile network)"/2 (Original data CHF - the total revenues are taken from OFCOM and do not result from the sum of the total revenues of the individual companies in the relevant worksheet): https://www.bakom.admin.ch/bakom/en/homepage/telecommunication/facts-and-figures/statistical-observatory/fixed/financial-results-on-31-12.html. 
</t>
        </r>
        <r>
          <rPr>
            <sz val="10"/>
            <color rgb="FF000000"/>
            <rFont val="Times New Roman"/>
            <family val="18"/>
          </rPr>
          <t xml:space="preserve">CHF converted to Canadian dollars at the 2021 annual exchange rate published by the Bank of Canada, i.e. 1.37.
</t>
        </r>
      </text>
    </comment>
    <comment ref="E23" authorId="0" shapeId="0" xr:uid="{525E65A1-DDF0-934D-80D5-86DCACF36CE1}">
      <text>
        <r>
          <rPr>
            <sz val="10"/>
            <color rgb="FF000000"/>
            <rFont val="Tahoma"/>
            <family val="2"/>
          </rPr>
          <t>Estimate based on y-o-y growth of 1.2%.</t>
        </r>
      </text>
    </comment>
    <comment ref="C24" authorId="0" shapeId="0" xr:uid="{230D2BE5-D27D-354E-ACF3-CB63685610A8}">
      <text>
        <r>
          <rPr>
            <b/>
            <sz val="10"/>
            <color rgb="FF000000"/>
            <rFont val="Calibri"/>
            <family val="2"/>
          </rPr>
          <t>Source</t>
        </r>
        <r>
          <rPr>
            <sz val="10"/>
            <color rgb="FF000000"/>
            <rFont val="Calibri"/>
            <family val="2"/>
          </rPr>
          <t>: Office of Electronic Communications, </t>
        </r>
        <r>
          <rPr>
            <u/>
            <sz val="10"/>
            <color rgb="FF000000"/>
            <rFont val="Calibri"/>
            <family val="2"/>
          </rPr>
          <t>https://www.uke.gov.pl/download/gfx/uke/pl/defaultaktualnosci/36/431/13/raport_o_stanie_rynku_telekomunikacyjnego_w_polsce_w_2021_r..pdf</t>
        </r>
      </text>
    </comment>
    <comment ref="D24" authorId="0" shapeId="0" xr:uid="{B1FC3C26-C442-4C43-82F9-0641FC949CD6}">
      <text>
        <r>
          <rPr>
            <sz val="10"/>
            <color rgb="FF000000"/>
            <rFont val="Calibri"/>
            <family val="2"/>
          </rPr>
          <t>Source: Office of Electronic Communications, </t>
        </r>
        <r>
          <rPr>
            <u/>
            <sz val="10"/>
            <color rgb="FF000000"/>
            <rFont val="Calibri"/>
            <family val="2"/>
          </rPr>
          <t>https://www.uke.gov.pl/download/gfx/uke/pl/defaultaktualnosci/36/431/13/raport_o_stanie_rynku_telekomunikacyjnego_w_polsce_w_2021_r..pdf</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Office of Electronic Communications (2023): </t>
        </r>
        <r>
          <rPr>
            <u/>
            <sz val="10"/>
            <color rgb="FF000000"/>
            <rFont val="Calibri"/>
            <family val="2"/>
          </rPr>
          <t>https://uke.gov.pl/download/gfx/uke/pl/defaultaktualnosci/36/485/2/uke_raport_telekomunikacyjny_2022.pdf</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IEuropean euro converted at the 2022 annual exchange rate published by the Bank of Canada, i.e. 1.3696.
</t>
        </r>
      </text>
    </comment>
    <comment ref="E24" authorId="0" shapeId="0" xr:uid="{D2730765-1BC9-E048-AD7C-0D2A4D38AE9B}">
      <text>
        <r>
          <rPr>
            <sz val="10"/>
            <color rgb="FF000000"/>
            <rFont val="+mn-lt"/>
            <charset val="1"/>
          </rPr>
          <t>Source: Annual Report of the Polish regulatory authority: Office of electronic communications/Urząd Komunikacji Elektronicznej (UKE), p. 49: </t>
        </r>
        <r>
          <rPr>
            <u/>
            <sz val="10"/>
            <color rgb="FF000000"/>
            <rFont val="+mn-lt"/>
            <charset val="1"/>
          </rPr>
          <t>https://uke.gov.pl/en/newsroom/report-on-the-state-of-the-telecommunications-market-in-2023,398.html)</t>
        </r>
      </text>
    </comment>
    <comment ref="C25" authorId="0" shapeId="0" xr:uid="{935F0302-DAA8-1943-BEBB-F9E24DD75EE1}">
      <text>
        <r>
          <rPr>
            <sz val="10"/>
            <color rgb="FF000000"/>
            <rFont val="Tahoma"/>
            <family val="2"/>
          </rPr>
          <t>BIPT p. 18. https://www.bipt.be/file/cc73d96153bbd5448a56f19d925d05b1379c7f21/d66ca7bb8d3f7cae54289958ad52163dcb1afa64/Mededeling_status_elektronische_communicatie_en_TV_markt_2021.pdf</t>
        </r>
      </text>
    </comment>
    <comment ref="D25" authorId="0" shapeId="0" xr:uid="{E401B2CD-A628-4048-B739-E250BB6B0F9D}">
      <text>
        <r>
          <rPr>
            <sz val="10"/>
            <color rgb="FF000000"/>
            <rFont val="Calibri"/>
            <family val="2"/>
          </rPr>
          <t xml:space="preserve">BIPT (2023). De status van de elektronische communicatie-en TV markt (2022) p. 11. </t>
        </r>
        <r>
          <rPr>
            <u/>
            <sz val="10"/>
            <color rgb="FF000000"/>
            <rFont val="Calibri"/>
            <family val="2"/>
          </rPr>
          <t>https://www.bipt.be/consumenten/publicatie/de-status-van-de-elektronische-communicatie-en-tv-markt-2022</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E25" authorId="0" shapeId="0" xr:uid="{C714325E-17BD-4D40-B44E-D2A939792331}">
      <text>
        <r>
          <rPr>
            <sz val="10"/>
            <color rgb="FF000000"/>
            <rFont val="Aptos Narrow"/>
            <family val="2"/>
            <scheme val="minor"/>
          </rPr>
          <t xml:space="preserve">BIPT (2024). De status van de elektronische communicatie-en TV markt (2023) p. 11. </t>
        </r>
        <r>
          <rPr>
            <u/>
            <sz val="10"/>
            <color rgb="FF000000"/>
            <rFont val="Aptos Narrow"/>
            <family val="2"/>
            <scheme val="minor"/>
          </rPr>
          <t>https://www.bipt.be/consumenten/publicatie/de-status-van-de-elektronische-communicatie-en-tv-markt-2023</t>
        </r>
        <r>
          <rPr>
            <sz val="10"/>
            <color rgb="FF000000"/>
            <rFont val="Aptos Narrow"/>
            <family val="2"/>
            <scheme val="minor"/>
          </rPr>
          <t xml:space="preserve">
</t>
        </r>
      </text>
    </comment>
    <comment ref="C26" authorId="0" shapeId="0" xr:uid="{88646138-70A1-7844-BEDB-C249728F995D}">
      <text>
        <r>
          <rPr>
            <u/>
            <sz val="10"/>
            <color rgb="FF000000"/>
            <rFont val="Calibri"/>
            <family val="2"/>
          </rPr>
          <t>https://statistik.pts.se/en/the-swedish-telecommunications-market/tables/mobile-call-services-and-mobile-data/table-12-revenues-from-end-user-sek/</t>
        </r>
        <r>
          <rPr>
            <sz val="10"/>
            <color rgb="FF000000"/>
            <rFont val="Calibri"/>
            <family val="2"/>
          </rPr>
          <t xml:space="preserve">    
</t>
        </r>
      </text>
    </comment>
    <comment ref="D26" authorId="0" shapeId="0" xr:uid="{E77E8C8C-3316-5745-A3C1-B73E5760FF26}">
      <text>
        <r>
          <rPr>
            <sz val="10"/>
            <color rgb="FF000000"/>
            <rFont val="Calibri"/>
            <family val="2"/>
          </rPr>
          <t xml:space="preserve">PTS. (2023). The Swedish Telecommunications Market 2022  </t>
        </r>
        <r>
          <rPr>
            <u/>
            <sz val="10"/>
            <color rgb="FF000000"/>
            <rFont val="Calibri"/>
            <family val="2"/>
          </rPr>
          <t>https://statistik.pts.se/media/zycd2pj1/rapport-stm-2022_dnr23-190_tillpublicering_eng_en.pdf</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Swedish krona converted at the 2022 annual exchange rate published by the Bank of Canada, i.e. 0.1289.
</t>
        </r>
      </text>
    </comment>
    <comment ref="E26" authorId="0" shapeId="0" xr:uid="{FEF2789A-FAE2-4945-AF1A-0C995A6EDC7C}">
      <text>
        <r>
          <rPr>
            <sz val="10"/>
            <color rgb="FF000000"/>
            <rFont val="Tahoma"/>
            <family val="2"/>
          </rPr>
          <t>Source: The Swedish Post and Telecom Authority, 13 June, 2024. (accessed 8 Oct 2024). https://statistik.pts.se/en/telecom-and-broadband/the-swedish-telecommunication-market/tables/mobile-call-services-and-mobile-data/table-12-revenues-from-end-user-sek/</t>
        </r>
      </text>
    </comment>
    <comment ref="C27" authorId="0" shapeId="0" xr:uid="{32FADEFE-E4F4-8E4D-B447-C8B28569D61C}">
      <text>
        <r>
          <rPr>
            <b/>
            <sz val="10"/>
            <color rgb="FF000000"/>
            <rFont val="Tahoma"/>
            <family val="2"/>
          </rPr>
          <t xml:space="preserve">Source: </t>
        </r>
        <r>
          <rPr>
            <sz val="10"/>
            <color rgb="FF000000"/>
            <rFont val="+mn-lt"/>
            <charset val="1"/>
          </rPr>
          <t xml:space="preserve">RTR Telekom Monitor Annual Report. </t>
        </r>
        <r>
          <rPr>
            <sz val="10"/>
            <color rgb="FF000000"/>
            <rFont val="Calibri"/>
            <family val="2"/>
          </rPr>
          <t xml:space="preserve">https://www.rtr.at/TKP/aktuelles/publikationen/publikationen/m/tm/telekom-monitor-2023.de.html
</t>
        </r>
        <r>
          <rPr>
            <sz val="10"/>
            <color rgb="FF000000"/>
            <rFont val="+mn-lt"/>
            <charset val="1"/>
          </rPr>
          <t xml:space="preserve">
</t>
        </r>
        <r>
          <rPr>
            <sz val="10"/>
            <color rgb="FF000000"/>
            <rFont val="+mn-lt"/>
            <charset val="1"/>
          </rPr>
          <t xml:space="preserve">
</t>
        </r>
        <r>
          <rPr>
            <sz val="10"/>
            <color rgb="FF000000"/>
            <rFont val="Calibri"/>
            <family val="2"/>
          </rPr>
          <t xml:space="preserve">
</t>
        </r>
      </text>
    </comment>
    <comment ref="D27" authorId="0" shapeId="0" xr:uid="{DC2C02EE-F4EB-3542-B1AB-F6494D88E33B}">
      <text>
        <r>
          <rPr>
            <b/>
            <sz val="10"/>
            <color rgb="FF000000"/>
            <rFont val="+mn-lt"/>
            <charset val="1"/>
          </rPr>
          <t xml:space="preserve">Source: </t>
        </r>
        <r>
          <rPr>
            <sz val="10"/>
            <color rgb="FF000000"/>
            <rFont val="+mn-lt"/>
            <charset val="1"/>
          </rPr>
          <t xml:space="preserve">RTR Telekom Monitor Annual Report. https://www.rtr.at/TKP/aktuelles/publikationen/publikationen/m/tm/telekom-monitor-2023.de.html
</t>
        </r>
      </text>
    </comment>
    <comment ref="E27" authorId="0" shapeId="0" xr:uid="{D49BF4A7-33A0-FB4C-8762-B53FBCBF2406}">
      <text>
        <r>
          <rPr>
            <b/>
            <sz val="10"/>
            <color rgb="FF000000"/>
            <rFont val="Calibri"/>
            <family val="2"/>
          </rPr>
          <t xml:space="preserve">Source: </t>
        </r>
        <r>
          <rPr>
            <sz val="10"/>
            <color rgb="FF000000"/>
            <rFont val="Calibri"/>
            <family val="2"/>
          </rPr>
          <t xml:space="preserve">RTR Telekom Monitor Annual Report. https://www.rtr.at/TKP/aktuelles/publikationen/publikationen/m/tm/telekom-monitor-2023.de.html
</t>
        </r>
      </text>
    </comment>
    <comment ref="C28" authorId="0" shapeId="0" xr:uid="{C54B3A48-455E-8947-9F69-0317BAD1DBD4}">
      <text>
        <r>
          <rPr>
            <b/>
            <sz val="10"/>
            <color rgb="FF000000"/>
            <rFont val="Times New Roman"/>
            <family val="18"/>
          </rPr>
          <t>Source</t>
        </r>
        <r>
          <rPr>
            <sz val="10"/>
            <color rgb="FF000000"/>
            <rFont val="Times New Roman"/>
            <family val="18"/>
          </rPr>
          <t>: Communications Authority of Kenya's </t>
        </r>
        <r>
          <rPr>
            <i/>
            <sz val="10"/>
            <color rgb="FF000000"/>
            <rFont val="Times New Roman"/>
            <family val="18"/>
          </rPr>
          <t>Fourth Quarter Sector Statistics Report for the Financial Year 2021/22 (1</t>
        </r>
        <r>
          <rPr>
            <i/>
            <vertAlign val="superscript"/>
            <sz val="10"/>
            <color rgb="FF000000"/>
            <rFont val="Times New Roman"/>
            <family val="18"/>
          </rPr>
          <t>st</t>
        </r>
        <r>
          <rPr>
            <i/>
            <sz val="10"/>
            <color rgb="FF000000"/>
            <rFont val="Times New Roman"/>
            <family val="18"/>
          </rPr>
          <t> April - 30</t>
        </r>
        <r>
          <rPr>
            <i/>
            <vertAlign val="superscript"/>
            <sz val="10"/>
            <color rgb="FF000000"/>
            <rFont val="Times New Roman"/>
            <family val="18"/>
          </rPr>
          <t>th</t>
        </r>
        <r>
          <rPr>
            <i/>
            <sz val="10"/>
            <color rgb="FF000000"/>
            <rFont val="Times New Roman"/>
            <family val="18"/>
          </rPr>
          <t> June 2022</t>
        </r>
        <r>
          <rPr>
            <sz val="10"/>
            <color rgb="FF000000"/>
            <rFont val="Times New Roman"/>
            <family val="18"/>
          </rPr>
          <t xml:space="preserve">, p. 9. Currency exchange based on Canadian Dept of Foreign Affairs and Internationa Trade annual average rate: $1 CDN = KES 77.19.  2021 Mobile wireless market = KES 315 billion. https://www.international.gc.ca/country-pays/fact_sheet-fiche_documentaire/kenya.aspx?lang=eng
</t>
        </r>
      </text>
    </comment>
    <comment ref="D28" authorId="0" shapeId="0" xr:uid="{149E3468-9AE5-234C-B1A9-122EF4EF9AFB}">
      <text>
        <r>
          <rPr>
            <sz val="10"/>
            <color rgb="FF000000"/>
            <rFont val="Calibri"/>
            <family val="2"/>
          </rPr>
          <t xml:space="preserve">Source: Communications Authority of Kenya's Fourth Quarter Sector Statistics Report for the Financial Year 2022/23
</t>
        </r>
        <r>
          <rPr>
            <sz val="10"/>
            <color rgb="FF000000"/>
            <rFont val="Calibri"/>
            <family val="2"/>
          </rPr>
          <t xml:space="preserve">
</t>
        </r>
        <r>
          <rPr>
            <sz val="10"/>
            <color rgb="FF000000"/>
            <rFont val="Calibri"/>
            <family val="2"/>
          </rPr>
          <t xml:space="preserve">
</t>
        </r>
        <r>
          <rPr>
            <u/>
            <sz val="10"/>
            <color rgb="FF000000"/>
            <rFont val="Calibri"/>
            <family val="2"/>
          </rPr>
          <t>https://www.ca.go.ke/sites/default/files/2023-06/Sector%20Statistics%20Report%20Q3%202022-2023.pdf</t>
        </r>
        <r>
          <rPr>
            <sz val="10"/>
            <color rgb="FF000000"/>
            <rFont val="Calibri"/>
            <family val="2"/>
          </rPr>
          <t xml:space="preserve">
</t>
        </r>
        <r>
          <rPr>
            <u/>
            <sz val="10"/>
            <color rgb="FF000000"/>
            <rFont val="Calibri"/>
            <family val="2"/>
          </rPr>
          <t>https://freedomhouse.org/country/kenya/freedom-net/2022</t>
        </r>
        <r>
          <rPr>
            <sz val="10"/>
            <color rgb="FF000000"/>
            <rFont val="Calibri"/>
            <family val="2"/>
          </rPr>
          <t xml:space="preserve">
</t>
        </r>
        <r>
          <rPr>
            <u/>
            <sz val="10"/>
            <color rgb="FF000000"/>
            <rFont val="Calibri"/>
            <family val="2"/>
          </rPr>
          <t>https://www.capitalfm.co.ke/business/2023/09/kenyas-mobile-services-revenue-grows-7-7pc-to-sh339-4-billion/#:~:text=%E2%80%9CIn%202022%2C%20mobile%20services%20generated,14.0%20percent%20to%20record%20KSh</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Kenya Shilling  KES converted at the 2022 annual exchange rate published by the Canadian Dept of Foreign Affairs and International Trade annual average rate, i.e. 0000.00923800. </t>
        </r>
        <r>
          <rPr>
            <u/>
            <sz val="10"/>
            <color rgb="FF000000"/>
            <rFont val="Calibri"/>
            <family val="2"/>
          </rPr>
          <t>https://www.tpsgc-pwgsc.gc.ca/cgi-bin/recgen/er.pl?Language=E</t>
        </r>
        <r>
          <rPr>
            <sz val="10"/>
            <color rgb="FF000000"/>
            <rFont val="Calibri"/>
            <family val="2"/>
          </rPr>
          <t xml:space="preserve">
</t>
        </r>
      </text>
    </comment>
    <comment ref="E28" authorId="0" shapeId="0" xr:uid="{4C64F0E7-0D08-754B-A14E-94594B0E7DD6}">
      <text>
        <r>
          <rPr>
            <b/>
            <sz val="10"/>
            <color rgb="FF000000"/>
            <rFont val="Aptos Narrow"/>
            <family val="2"/>
            <scheme val="minor"/>
          </rPr>
          <t>Data source</t>
        </r>
        <r>
          <rPr>
            <i/>
            <sz val="10"/>
            <color rgb="FF000000"/>
            <rFont val="Aptos Narrow"/>
            <family val="2"/>
            <scheme val="minor"/>
          </rPr>
          <t>: Economic Survey 2024</t>
        </r>
        <r>
          <rPr>
            <sz val="10"/>
            <color rgb="FF000000"/>
            <rFont val="Aptos Narrow"/>
            <family val="2"/>
            <scheme val="minor"/>
          </rPr>
          <t> ( pp.337), Kenya National Bureau of Statistics.</t>
        </r>
      </text>
    </comment>
    <comment ref="C29" authorId="0" shapeId="0" xr:uid="{9A69BC68-BBC0-3E49-8BB2-46977D4AA36D}">
      <text>
        <r>
          <rPr>
            <sz val="10"/>
            <color rgb="FF000000"/>
            <rFont val="Calibri"/>
            <family val="2"/>
          </rPr>
          <t xml:space="preserve">Danish Energy Agency </t>
        </r>
        <r>
          <rPr>
            <u/>
            <sz val="10"/>
            <color rgb="FF000000"/>
            <rFont val="Calibri"/>
            <family val="2"/>
          </rPr>
          <t>https://sdfi.dk/digital-infrastruktur/telepolitik/tal-paa-teleomraadet</t>
        </r>
      </text>
    </comment>
    <comment ref="D29" authorId="0" shapeId="0" xr:uid="{8EA852F8-6DB8-664B-83FD-95FA97FFEF04}">
      <text>
        <r>
          <rPr>
            <sz val="12"/>
            <color rgb="FF000000"/>
            <rFont val="Times New Roman"/>
            <family val="1"/>
          </rPr>
          <t>Agency for Data Supply and Infrastructure: Telecom in numbers, </t>
        </r>
        <r>
          <rPr>
            <u/>
            <sz val="12"/>
            <color rgb="FF000000"/>
            <rFont val="Times New Roman"/>
            <family val="18"/>
          </rPr>
          <t>https://sdfi.dk/digital-infrastruktur/tal-paa-teleomraadet</t>
        </r>
        <r>
          <rPr>
            <sz val="12"/>
            <color rgb="FF000000"/>
            <rFont val="Times New Roman"/>
            <family val="1"/>
          </rPr>
          <t xml:space="preserve">
</t>
        </r>
        <r>
          <rPr>
            <sz val="12"/>
            <color rgb="FF000000"/>
            <rFont val="Times New Roman"/>
            <family val="1"/>
          </rPr>
          <t xml:space="preserve"> 
</t>
        </r>
        <r>
          <rPr>
            <sz val="12"/>
            <color rgb="FF000000"/>
            <rFont val="Times New Roman"/>
            <family val="1"/>
          </rPr>
          <t xml:space="preserve">
</t>
        </r>
        <r>
          <rPr>
            <sz val="12"/>
            <color rgb="FF000000"/>
            <rFont val="Times New Roman"/>
            <family val="1"/>
          </rPr>
          <t xml:space="preserve">Danish krone to Canadian $ average annual exchange rate in 2022 was .1842. </t>
        </r>
      </text>
    </comment>
    <comment ref="E29" authorId="0" shapeId="0" xr:uid="{193F67EB-3ECA-7A45-BD0E-60EBECCCFD73}">
      <text>
        <r>
          <rPr>
            <sz val="10"/>
            <color rgb="FF000000"/>
            <rFont val="Times New Roman"/>
            <family val="18"/>
          </rPr>
          <t>Agency for Data Supply and Infrastructure: Telecom in numbers, </t>
        </r>
        <r>
          <rPr>
            <u/>
            <sz val="10"/>
            <color rgb="FF000000"/>
            <rFont val="Times New Roman"/>
            <family val="18"/>
          </rPr>
          <t>https://sdfi.dk/digital-infrastruktur/tal-paa-teleomraadet</t>
        </r>
        <r>
          <rPr>
            <sz val="10"/>
            <color rgb="FF000000"/>
            <rFont val="Times New Roman"/>
            <family val="18"/>
          </rPr>
          <t xml:space="preserve">
</t>
        </r>
        <r>
          <rPr>
            <sz val="10"/>
            <color rgb="FF000000"/>
            <rFont val="Times New Roman"/>
            <family val="18"/>
          </rPr>
          <t xml:space="preserve"> 
</t>
        </r>
        <r>
          <rPr>
            <sz val="10"/>
            <color rgb="FF000000"/>
            <rFont val="Times New Roman"/>
            <family val="18"/>
          </rPr>
          <t xml:space="preserve">Danish krone to Canadian $ average annual exchange rate in 2023 was .1960. 
</t>
        </r>
      </text>
    </comment>
    <comment ref="C30" authorId="0" shapeId="0" xr:uid="{D5EC9C24-218B-264D-AC9E-CB87659247B2}">
      <text>
        <r>
          <rPr>
            <b/>
            <sz val="10"/>
            <color rgb="FF000000"/>
            <rFont val="Tahoma"/>
            <family val="2"/>
          </rPr>
          <t>DD:</t>
        </r>
        <r>
          <rPr>
            <sz val="10"/>
            <color rgb="FF000000"/>
            <rFont val="Tahoma"/>
            <family val="2"/>
          </rPr>
          <t xml:space="preserve">
</t>
        </r>
        <r>
          <rPr>
            <sz val="10"/>
            <color rgb="FF000000"/>
            <rFont val="Calibri"/>
            <family val="2"/>
          </rPr>
          <t>The Finnish Transport and Communications Agency Traficom, Statistics on communications services</t>
        </r>
        <r>
          <rPr>
            <sz val="10"/>
            <color rgb="FF000000"/>
            <rFont val="+mn-lt"/>
            <charset val="1"/>
          </rPr>
          <t xml:space="preserve">. Turnover of telecommunications operations | Tieto Traficom. The data table can be downloaded here: 
</t>
        </r>
        <r>
          <rPr>
            <sz val="10"/>
            <color rgb="FF000000"/>
            <rFont val="+mn-lt"/>
            <charset val="1"/>
          </rPr>
          <t xml:space="preserve">Viestintapalveluiden tilastokoonti.ods (live.com)
</t>
        </r>
        <r>
          <rPr>
            <sz val="10"/>
            <color rgb="FF000000"/>
            <rFont val="Calibri"/>
            <family val="2"/>
          </rPr>
          <t xml:space="preserve">
</t>
        </r>
      </text>
    </comment>
    <comment ref="D30" authorId="0" shapeId="0" xr:uid="{3D59F056-0A14-4E40-87CF-BB4234249CDC}">
      <text>
        <r>
          <rPr>
            <sz val="10"/>
            <color rgb="FF000000"/>
            <rFont val="Calibri"/>
            <family val="2"/>
          </rPr>
          <t xml:space="preserve">The Finnish Transport and Communications Agency Traficom, Statistics on communications services. Turnover of telecommunications operations | Tieto Traficom. The data table can be downloaded here: 
</t>
        </r>
        <r>
          <rPr>
            <u/>
            <sz val="10"/>
            <color rgb="FF000000"/>
            <rFont val="Calibri"/>
            <family val="2"/>
          </rPr>
          <t>https://tieto.traficom.fi/en/statistics/turnover-telecommunications-operations</t>
        </r>
        <r>
          <rPr>
            <sz val="10"/>
            <color rgb="FF000000"/>
            <rFont val="Calibri"/>
            <family val="2"/>
          </rPr>
          <t xml:space="preserve">
</t>
        </r>
        <r>
          <rPr>
            <u/>
            <sz val="10"/>
            <color rgb="FF000000"/>
            <rFont val="Calibri"/>
            <family val="2"/>
          </rPr>
          <t>https://tieto.traficom.fi/sites/default/files/media/file/Viestintapalveluiden%20tilastokoonti.ods</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E30" authorId="0" shapeId="0" xr:uid="{1BFB9CED-6151-A844-996C-5156D467A8B2}">
      <text>
        <r>
          <rPr>
            <sz val="10"/>
            <color rgb="FF000000"/>
            <rFont val="Aptos Narrow"/>
            <family val="2"/>
            <scheme val="minor"/>
          </rPr>
          <t>Source: Finnish Transport and Communications Agency Traficom, Communications service statistics</t>
        </r>
      </text>
    </comment>
    <comment ref="D31" authorId="0" shapeId="0" xr:uid="{85EF7BBA-9A85-024F-9933-31F9754BE1CC}">
      <text>
        <r>
          <rPr>
            <sz val="10"/>
            <color rgb="FF000000"/>
            <rFont val="Calibri"/>
            <family val="2"/>
          </rPr>
          <t xml:space="preserve">Ministerio de Transportes y Telecomunicaciones Subsecretaría de Telecomunicaciones (Marzo 2023). Sector Telecomunicaciones Cierre 2022 </t>
        </r>
        <r>
          <rPr>
            <u/>
            <sz val="10"/>
            <color rgb="FF000000"/>
            <rFont val="Calibri"/>
            <family val="2"/>
          </rPr>
          <t>https://www.subtel.gob.cl/wp-content/uploads/2023/03/PPT_Series_DICIEMBRE_2022_V0.pdf</t>
        </r>
        <r>
          <rPr>
            <sz val="10"/>
            <color rgb="FF000000"/>
            <rFont val="Calibri"/>
            <family val="2"/>
          </rPr>
          <t xml:space="preserve">; </t>
        </r>
        <r>
          <rPr>
            <u/>
            <sz val="10"/>
            <color rgb="FF000000"/>
            <rFont val="Calibri"/>
            <family val="2"/>
          </rPr>
          <t>https://www.subtel.gob.cl/estudios-y-estadisticas/informes-sectoriales-anuales/</t>
        </r>
        <r>
          <rPr>
            <sz val="10"/>
            <color rgb="FF000000"/>
            <rFont val="Calibri"/>
            <family val="2"/>
          </rPr>
          <t xml:space="preserve">
</t>
        </r>
      </text>
    </comment>
    <comment ref="E31" authorId="0" shapeId="0" xr:uid="{12CA5504-1970-9E4F-91B4-45C04947B76F}">
      <text>
        <r>
          <rPr>
            <sz val="10"/>
            <color rgb="FF000000"/>
            <rFont val="Tahoma"/>
            <family val="2"/>
          </rPr>
          <t>Financial Reports of companies in the sector available on the website of the Commission for the Financial Market of Chile (CMF). https://www.cmfchile.cl/portal/principal/613/w3-channel.html</t>
        </r>
      </text>
    </comment>
    <comment ref="C32" authorId="0" shapeId="0" xr:uid="{EF2FE359-56C2-464C-91E7-8B8DFE9AA445}">
      <text>
        <r>
          <rPr>
            <b/>
            <sz val="10"/>
            <color rgb="FF000000"/>
            <rFont val="Calibri"/>
            <family val="2"/>
          </rPr>
          <t>Source:</t>
        </r>
        <r>
          <rPr>
            <sz val="10"/>
            <color rgb="FF000000"/>
            <rFont val="Calibri"/>
            <family val="2"/>
          </rPr>
          <t xml:space="preserve"> Czech Telecommunication Office, https://www.ctu.cz/sites/default/files/obsah/stranky/8179/soubory/zovt-2021.pdf + annual reports of the main telco players.</t>
        </r>
      </text>
    </comment>
    <comment ref="D32" authorId="0" shapeId="0" xr:uid="{0A7734EB-9F2F-9D41-9C5F-847B8B0FAD1E}">
      <text>
        <r>
          <rPr>
            <b/>
            <sz val="10"/>
            <color rgb="FF000000"/>
            <rFont val="Calibri"/>
            <family val="2"/>
          </rPr>
          <t>Source:</t>
        </r>
        <r>
          <rPr>
            <sz val="10"/>
            <color rgb="FF000000"/>
            <rFont val="Calibri"/>
            <family val="2"/>
          </rPr>
          <t xml:space="preserve"> Czech Telecommunication Office/Český telekomunikační úřad (ČTÚ), p 12.https://www.ctu.cz/zpravy-o-vyvoji-trhu-0)
</t>
        </r>
      </text>
    </comment>
    <comment ref="E32" authorId="0" shapeId="0" xr:uid="{80DF8C12-E5F7-5E43-AC7A-EFD2E135B94C}">
      <text>
        <r>
          <rPr>
            <sz val="10"/>
            <color rgb="FF000000"/>
            <rFont val="+mn-lt"/>
            <charset val="1"/>
          </rPr>
          <t>Source: Annual Report of Czech telecommunication office/Český telekomunikační úřad (ČTÚ), a regulatory authority with highly reliable data,</t>
        </r>
        <r>
          <rPr>
            <sz val="10"/>
            <color rgb="FF000000"/>
            <rFont val="+mn-lt"/>
            <charset val="1"/>
          </rPr>
          <t xml:space="preserve"> </t>
        </r>
        <r>
          <rPr>
            <sz val="10"/>
            <color rgb="FF000000"/>
            <rFont val="+mn-lt"/>
            <charset val="1"/>
          </rPr>
          <t>p. 12: </t>
        </r>
        <r>
          <rPr>
            <u/>
            <sz val="10"/>
            <color rgb="FF000000"/>
            <rFont val="+mn-lt"/>
            <charset val="1"/>
          </rPr>
          <t>https://ctu.gov.cz/zpravy-o-vyvoji-trhu-0</t>
        </r>
      </text>
    </comment>
    <comment ref="C33" authorId="0" shapeId="0" xr:uid="{E39F282D-035D-5049-A2E1-24E6D163C90A}">
      <text>
        <r>
          <rPr>
            <sz val="10"/>
            <color rgb="FF000000"/>
            <rFont val="Calibri"/>
            <family val="2"/>
          </rPr>
          <t>NOK (Norwegian Nkom Agency). https://ekomstatistikken.nkom.no/#/article/ekom2021</t>
        </r>
      </text>
    </comment>
    <comment ref="D33" authorId="0" shapeId="0" xr:uid="{AD0D8AB9-E946-A243-9319-3D7658B51F7A}">
      <text>
        <r>
          <rPr>
            <sz val="10"/>
            <color rgb="FF000000"/>
            <rFont val="Calibri"/>
            <family val="2"/>
          </rPr>
          <t xml:space="preserve">NOK (Norwegian Nkom Agency). </t>
        </r>
        <r>
          <rPr>
            <u/>
            <sz val="10"/>
            <color rgb="FF000000"/>
            <rFont val="Calibri"/>
            <family val="2"/>
          </rPr>
          <t>https://ekomstatistikken.nkom.no/#/article/ekom2021</t>
        </r>
        <r>
          <rPr>
            <sz val="10"/>
            <color rgb="FF000000"/>
            <rFont val="Calibri"/>
            <family val="2"/>
          </rPr>
          <t xml:space="preserve">
</t>
        </r>
        <r>
          <rPr>
            <u/>
            <sz val="10"/>
            <color rgb="FF000000"/>
            <rFont val="Calibri"/>
            <family val="2"/>
          </rPr>
          <t>https://ekomstatistikken.nkom.no/#/article/ekom1h2022</t>
        </r>
        <r>
          <rPr>
            <sz val="10"/>
            <color rgb="FF000000"/>
            <rFont val="Calibri"/>
            <family val="2"/>
          </rPr>
          <t xml:space="preserve">
</t>
        </r>
        <r>
          <rPr>
            <u/>
            <sz val="10"/>
            <color rgb="FF000000"/>
            <rFont val="Calibri"/>
            <family val="2"/>
          </rPr>
          <t>https://ekomstatistikken.nkom.no/#/article/ekom1h2022#mobil_ab</t>
        </r>
        <r>
          <rPr>
            <sz val="10"/>
            <color rgb="FF000000"/>
            <rFont val="Calibri"/>
            <family val="2"/>
          </rPr>
          <t xml:space="preserve">
</t>
        </r>
        <r>
          <rPr>
            <sz val="10"/>
            <color rgb="FF000000"/>
            <rFont val="Calibri"/>
            <family val="2"/>
          </rPr>
          <t xml:space="preserve">
</t>
        </r>
        <r>
          <rPr>
            <sz val="10"/>
            <color rgb="FF000000"/>
            <rFont val="Calibri"/>
            <family val="2"/>
          </rPr>
          <t xml:space="preserve">Norwegian krone converted at the 2022 annual exchange rate published by the Bank of Canada, i.e. 0.1357.
</t>
        </r>
      </text>
    </comment>
    <comment ref="E33" authorId="0" shapeId="0" xr:uid="{A7AD697A-FF1C-F644-80C4-5AC987B69C3C}">
      <text>
        <r>
          <rPr>
            <sz val="10"/>
            <color rgb="FF000000"/>
            <rFont val="Calibri"/>
            <family val="2"/>
          </rPr>
          <t>Source: https://nkom.no/statistikk/nokkeltall-og-interaktive-dashbord/ekomstatistikk/_/attachment/inline/fd104817-a5c2-43be-b5a5-f012d39b0728:ef8d90706109936b3681f9a155789fa29ef6a421/2024%202%20Ekomstatistikken%20hel%C3%A5r%202023%20-%20Nasjonale%20tall.pdf </t>
        </r>
      </text>
    </comment>
    <comment ref="C34" authorId="0" shapeId="0" xr:uid="{FBBF1DED-9424-EC49-A199-E5F275A1A5D7}">
      <text>
        <r>
          <rPr>
            <sz val="10"/>
            <color rgb="FF000000"/>
            <rFont val="Calibri"/>
            <family val="2"/>
          </rPr>
          <t xml:space="preserve">Sum of the main mobile operators annual revenue: Partner, Bezec (Pelephone) and Cellcom. </t>
        </r>
      </text>
    </comment>
    <comment ref="D34" authorId="0" shapeId="0" xr:uid="{15C97BB0-68D1-124B-B662-F9B4C4CBEB38}">
      <text>
        <r>
          <rPr>
            <sz val="10"/>
            <color rgb="FF000000"/>
            <rFont val="Aptos Narrow"/>
            <family val="2"/>
            <scheme val="minor"/>
          </rPr>
          <t xml:space="preserve">Sum of the main mobile operators annual revenue: Partner, Bezec (Pelephone) and Cellcom. </t>
        </r>
        <r>
          <rPr>
            <sz val="10"/>
            <color rgb="FF000000"/>
            <rFont val="Aptos Narrow"/>
            <family val="2"/>
            <scheme val="minor"/>
          </rPr>
          <t xml:space="preserve">
</t>
        </r>
      </text>
    </comment>
    <comment ref="E34" authorId="0" shapeId="0" xr:uid="{F7238314-24D2-C34B-93EE-57DC775E82A2}">
      <text>
        <r>
          <rPr>
            <sz val="10"/>
            <color rgb="FF000000"/>
            <rFont val="Aptos Narrow"/>
            <family val="2"/>
            <scheme val="minor"/>
          </rPr>
          <t xml:space="preserve">Sum of the main mobile operators annual revenue: Partner, Bezec (Pelephone) and Cellcom. </t>
        </r>
        <r>
          <rPr>
            <sz val="10"/>
            <color rgb="FF000000"/>
            <rFont val="Aptos Narrow"/>
            <family val="2"/>
            <scheme val="minor"/>
          </rPr>
          <t xml:space="preserve">
</t>
        </r>
      </text>
    </comment>
    <comment ref="C35" authorId="0" shapeId="0" xr:uid="{17BAFF0C-5E00-2245-97B1-49C4EA7D9999}">
      <text>
        <r>
          <rPr>
            <b/>
            <sz val="10"/>
            <color rgb="FF000000"/>
            <rFont val="Tahoma"/>
            <family val="2"/>
          </rPr>
          <t>DD:</t>
        </r>
        <r>
          <rPr>
            <sz val="10"/>
            <color rgb="FF000000"/>
            <rFont val="Tahoma"/>
            <family val="2"/>
          </rPr>
          <t xml:space="preserve">
</t>
        </r>
        <r>
          <rPr>
            <sz val="10"/>
            <color rgb="FF000000"/>
            <rFont val="+mn-lt"/>
            <charset val="1"/>
          </rPr>
          <t xml:space="preserve">Source: 2022 Annual Telecommunications Monitoring Report by Commerce Commission New Zealand, p. 5. </t>
        </r>
        <r>
          <rPr>
            <sz val="10"/>
            <color rgb="FF000000"/>
            <rFont val="Calibri"/>
            <family val="2"/>
          </rPr>
          <t>https://comcom.govt.nz/__data/assets/pdf_file/0019/279100/2021-Annual-Telecommunications-Monitoring-Report-17-March-2022.pdf</t>
        </r>
      </text>
    </comment>
    <comment ref="D35" authorId="0" shapeId="0" xr:uid="{5C342729-BD6B-034A-8414-1623D5DC476B}">
      <text>
        <r>
          <rPr>
            <sz val="10"/>
            <color rgb="FF000000"/>
            <rFont val="Tahoma"/>
            <family val="2"/>
          </rPr>
          <t xml:space="preserve">IBIS. </t>
        </r>
        <r>
          <rPr>
            <sz val="10"/>
            <color rgb="FF000000"/>
            <rFont val="Calibri"/>
            <family val="2"/>
          </rPr>
          <t xml:space="preserve">Wireless Telecommunications Carriers in New Zealand - Market Size, Industry Analysis, Trends and Forecasts (2023-2028)
</t>
        </r>
      </text>
    </comment>
    <comment ref="E35" authorId="0" shapeId="0" xr:uid="{CF4B68BE-70A2-7146-A482-8C407619F563}">
      <text>
        <r>
          <rPr>
            <sz val="10"/>
            <color rgb="FF000000"/>
            <rFont val="Calibri"/>
            <family val="2"/>
          </rPr>
          <t>Commerce Commission's 2023 Telecommunications Monitoring Report (p.9)</t>
        </r>
      </text>
    </comment>
    <comment ref="C36" authorId="0" shapeId="0" xr:uid="{EF9F8DF9-042C-574D-BCAA-2195E0BB4FC5}">
      <text>
        <r>
          <rPr>
            <sz val="10"/>
            <color rgb="FF000000"/>
            <rFont val="Tahoma"/>
            <family val="2"/>
          </rPr>
          <t xml:space="preserve">Source: </t>
        </r>
        <r>
          <rPr>
            <sz val="10"/>
            <color rgb="FF000000"/>
            <rFont val="Calibri"/>
            <family val="2"/>
          </rPr>
          <t xml:space="preserve">Commission for Communications Regulation. https://www.comreg.ie/industry/electronic-communications/data-portal/tabular-information/
</t>
        </r>
      </text>
    </comment>
    <comment ref="D36" authorId="0" shapeId="0" xr:uid="{0F9163B1-7E06-1642-BAF3-3DCAACBC955E}">
      <text>
        <r>
          <rPr>
            <b/>
            <sz val="10"/>
            <color rgb="FF000000"/>
            <rFont val="Tahoma"/>
            <family val="2"/>
          </rPr>
          <t>DD:</t>
        </r>
        <r>
          <rPr>
            <sz val="10"/>
            <color rgb="FF000000"/>
            <rFont val="Tahoma"/>
            <family val="2"/>
          </rPr>
          <t xml:space="preserve">
</t>
        </r>
        <r>
          <rPr>
            <sz val="10"/>
            <color rgb="FF000000"/>
            <rFont val="Calibri"/>
            <family val="2"/>
          </rPr>
          <t xml:space="preserve">Source: Commission for Communications Regulation. </t>
        </r>
        <r>
          <rPr>
            <u/>
            <sz val="10"/>
            <color rgb="FF000000"/>
            <rFont val="Calibri"/>
            <family val="2"/>
          </rPr>
          <t>https://www.comreg.ie/industry/electronic-communications/data-portal/tabular-information/</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E36" authorId="0" shapeId="0" xr:uid="{A203FC83-CE93-824F-B985-C8BD735BCF2A}">
      <text>
        <r>
          <rPr>
            <sz val="10"/>
            <color rgb="FF000000"/>
            <rFont val="Calibri"/>
            <family val="2"/>
          </rPr>
          <t xml:space="preserve">Source: Commission for Communications Regulation. </t>
        </r>
        <r>
          <rPr>
            <u/>
            <sz val="10"/>
            <color rgb="FF000000"/>
            <rFont val="Calibri"/>
            <family val="2"/>
          </rPr>
          <t>https://www.comreg.ie/industry/electronic-communications/data-portal/tabular-information/</t>
        </r>
        <r>
          <rPr>
            <sz val="10"/>
            <color rgb="FF000000"/>
            <rFont val="Calibri"/>
            <family val="2"/>
          </rPr>
          <t xml:space="preserve">
</t>
        </r>
      </text>
    </comment>
    <comment ref="C37" authorId="0" shapeId="0" xr:uid="{D0E7973C-E94E-8A4B-AC82-427E96D69C0C}">
      <text>
        <r>
          <rPr>
            <b/>
            <sz val="10"/>
            <color rgb="FF000000"/>
            <rFont val="Tahoma"/>
            <family val="2"/>
          </rPr>
          <t xml:space="preserve">Source: </t>
        </r>
        <r>
          <rPr>
            <sz val="10"/>
            <color rgb="FF000000"/>
            <rFont val="Tahoma"/>
            <family val="2"/>
          </rPr>
          <t xml:space="preserve">Anexo_Estatistico2021_versao2_17062022 (1) . https://www.anacom.pt/render.jsp?contentId=1603924 </t>
        </r>
      </text>
    </comment>
    <comment ref="D37" authorId="0" shapeId="0" xr:uid="{2A19DC38-1A29-5646-AA4C-3CF9FEC10CA7}">
      <text>
        <r>
          <rPr>
            <sz val="10"/>
            <color rgb="FF000000"/>
            <rFont val="Calibri"/>
            <family val="2"/>
          </rPr>
          <t xml:space="preserve">Source: Autoridade Nacional de Comunicações (ANACOM) is the national regulatory authority (NRA) in Portugal for communications. </t>
        </r>
        <r>
          <rPr>
            <u/>
            <sz val="10"/>
            <color rgb="FF000000"/>
            <rFont val="Calibri"/>
            <family val="2"/>
          </rPr>
          <t>https://www.anacom.pt/render.jsp?contentId=1746687</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E37" authorId="0" shapeId="0" xr:uid="{3CD0C9A0-DBAD-F749-B934-2C87A374B0A4}">
      <text>
        <r>
          <rPr>
            <sz val="10"/>
            <color rgb="FF000000"/>
            <rFont val="Aptos Narrow"/>
            <family val="2"/>
            <scheme val="minor"/>
          </rPr>
          <t xml:space="preserve">Source: Autoridade Nacional de Comunicações (ANACOM) is the national regulatory authority (NRA) in Portugal for communications.Anexo Estatístico 2023 </t>
        </r>
        <r>
          <rPr>
            <u/>
            <sz val="10"/>
            <color rgb="FF000000"/>
            <rFont val="Aptos Narrow"/>
            <family val="2"/>
            <scheme val="minor"/>
          </rPr>
          <t>https://www.anacom.pt/render.jsp?contentId=1778161</t>
        </r>
      </text>
    </comment>
    <comment ref="C38" authorId="0" shapeId="0" xr:uid="{BCFEBE81-EFBF-744C-A48A-E1044B38F9D2}">
      <text>
        <r>
          <rPr>
            <b/>
            <sz val="10"/>
            <color rgb="FF000000"/>
            <rFont val="Calibri"/>
            <family val="2"/>
          </rPr>
          <t>Sources</t>
        </r>
        <r>
          <rPr>
            <sz val="10"/>
            <color rgb="FF000000"/>
            <rFont val="Calibri"/>
            <family val="2"/>
          </rPr>
          <t>: Annual reports of the main telco players. Market share: estimate based on the number of mobile phone subscribers and number of SIM cards. In the case of O2, this is currency conversion from Czech crowns to euros. Subscribers: Štatistická ročenka 2021 (Statistical Yearbook 2021), p. 456. Annual reports and SIM cards: https://telekom.sk/documents/10179/17472540/VS+TELEKOM+2020_SVK.pdf, p. 57, https://www.o2.cz/file_conver/680651/VZ_2020_CZ_grafika.pdf, p. 75, https://orange.sk/fileadmin/orange/user_uploads/pages/384/doc/osk-vyrocna-sprava-2020.pdf, p. 90.</t>
        </r>
      </text>
    </comment>
    <comment ref="D38" authorId="0" shapeId="0" xr:uid="{75F1B90F-897D-544B-B65A-EF851EAA23FB}">
      <text>
        <r>
          <rPr>
            <sz val="10"/>
            <color rgb="FF000000"/>
            <rFont val="Calibri"/>
            <family val="2"/>
          </rPr>
          <t xml:space="preserve">Sources: Annual reports of the main telco players. Market share: estimate based on the number of mobile phone subscribers and number of SIM cards. In the case of O2, this is currency conversion from Czech crowns to euros. 
</t>
        </r>
        <r>
          <rPr>
            <sz val="10"/>
            <color rgb="FF000000"/>
            <rFont val="Calibri"/>
            <family val="2"/>
          </rPr>
          <t xml:space="preserve">
</t>
        </r>
        <r>
          <rPr>
            <sz val="10"/>
            <color rgb="FF000000"/>
            <rFont val="Calibri"/>
            <family val="2"/>
          </rPr>
          <t xml:space="preserve">
</t>
        </r>
        <r>
          <rPr>
            <sz val="10"/>
            <color rgb="FF000000"/>
            <rFont val="Calibri"/>
            <family val="2"/>
          </rPr>
          <t xml:space="preserve">Subscribers: Štatistická ročenka 2022 (Statistical Yearbook 2021), p. 56. 307 million EURO
</t>
        </r>
        <r>
          <rPr>
            <sz val="10"/>
            <color rgb="FF000000"/>
            <rFont val="Calibri"/>
            <family val="2"/>
          </rPr>
          <t>Annual reports and SIM cards: </t>
        </r>
        <r>
          <rPr>
            <u/>
            <sz val="10"/>
            <color rgb="FF000000"/>
            <rFont val="Calibri"/>
            <family val="2"/>
          </rPr>
          <t>https://www.telekom.sk/documents/10179/44166/VS+TELEKOM+2021_SVK_+Interactive.pdf/36b3f1cf-55be-4730-b162-196deb12466e</t>
        </r>
        <r>
          <rPr>
            <sz val="10"/>
            <color rgb="FF000000"/>
            <rFont val="Calibri"/>
            <family val="2"/>
          </rPr>
          <t xml:space="preserve">, p. 57, 
</t>
        </r>
        <r>
          <rPr>
            <u/>
            <sz val="10"/>
            <color rgb="FF000000"/>
            <rFont val="Calibri"/>
            <family val="2"/>
          </rPr>
          <t>https://www.telekom.sk/documents/10179/17472540/FINAL_AR+TELEKOM+2022_ENG.pdf/35c90e79-3488-48f0-8d57-5456ae00fbf5</t>
        </r>
        <r>
          <rPr>
            <sz val="10"/>
            <color rgb="FF000000"/>
            <rFont val="Calibri"/>
            <family val="2"/>
          </rPr>
          <t xml:space="preserve"> p. 108;
</t>
        </r>
        <r>
          <rPr>
            <sz val="10"/>
            <color rgb="FF000000"/>
            <rFont val="Calibri"/>
            <family val="2"/>
          </rPr>
          <t xml:space="preserve">O2 Slovakia Segment 440.29 million Euro </t>
        </r>
        <r>
          <rPr>
            <u/>
            <sz val="10"/>
            <color rgb="FF000000"/>
            <rFont val="Calibri"/>
            <family val="2"/>
          </rPr>
          <t>https://www.datocms-assets.com/56100/1679567146-telecom-group_annual_accounts_2022_public.pdf</t>
        </r>
        <r>
          <rPr>
            <sz val="10"/>
            <color rgb="FF000000"/>
            <rFont val="Calibri"/>
            <family val="2"/>
          </rPr>
          <t xml:space="preserve">, 
</t>
        </r>
        <r>
          <rPr>
            <sz val="10"/>
            <color rgb="FF000000"/>
            <rFont val="Calibri"/>
            <family val="2"/>
          </rPr>
          <t xml:space="preserve">Number for 2022 are not available at this moment: </t>
        </r>
        <r>
          <rPr>
            <u/>
            <sz val="10"/>
            <color rgb="FF000000"/>
            <rFont val="Calibri"/>
            <family val="2"/>
          </rPr>
          <t>https://www.nadaciaorange.sk/wp-content/uploads/2016/11/ORSK-2428-Vyrocna-sprava-Nadacia-ENG.pdf</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E38" authorId="0" shapeId="0" xr:uid="{14CFF394-B703-8743-AABB-E6ACEC4C909E}">
      <text>
        <r>
          <rPr>
            <sz val="10"/>
            <color rgb="FF000000"/>
            <rFont val="Aptos Narrow"/>
            <family val="2"/>
            <scheme val="minor"/>
          </rPr>
          <t>Peter Jarábek from Regulatory Authority for Electronic Communications and Postal Services/Úrad pre reguláciu elektronických komunikácií a poštových služieb, email conversation, October 14, 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B9" authorId="0" shapeId="0" xr:uid="{F3F942D9-F916-7E49-9F5C-B54EDE1D9165}">
      <text>
        <r>
          <rPr>
            <sz val="10"/>
            <color rgb="FF000000"/>
            <rFont val="Aptos Narrow"/>
          </rPr>
          <t xml:space="preserve">BCE Annual Report 2020, p. 73
</t>
        </r>
      </text>
    </comment>
    <comment ref="C9" authorId="0" shapeId="0" xr:uid="{10FFEE6D-0003-7442-BC35-0A0267C9CAE9}">
      <text>
        <r>
          <rPr>
            <sz val="10"/>
            <color rgb="FF000000"/>
            <rFont val="Tahoma"/>
            <family val="2"/>
          </rPr>
          <t xml:space="preserve">BCE Annual Report 2023, p. 114.
</t>
        </r>
      </text>
    </comment>
    <comment ref="B10" authorId="0" shapeId="0" xr:uid="{CA07BA38-560F-824A-8473-548E6BD40A34}">
      <text>
        <r>
          <rPr>
            <sz val="10"/>
            <color rgb="FF000000"/>
            <rFont val="Tahoma"/>
            <family val="2"/>
          </rPr>
          <t>Rogers Annual Report, 2021, p. 33.</t>
        </r>
      </text>
    </comment>
    <comment ref="C10" authorId="0" shapeId="0" xr:uid="{31D79849-EF51-B545-A553-11875285ABD4}">
      <text>
        <r>
          <rPr>
            <sz val="10"/>
            <color rgb="FF000000"/>
            <rFont val="Aptos Narrow"/>
          </rPr>
          <t xml:space="preserve">Rogers Annual Report, 2023, p. 36.
</t>
        </r>
      </text>
    </comment>
    <comment ref="B12" authorId="0" shapeId="0" xr:uid="{FB7FBD8B-C8D4-B44A-A54D-B7D2ACA8CBD1}">
      <text>
        <r>
          <rPr>
            <sz val="10"/>
            <color rgb="FF000000"/>
            <rFont val="Tahoma"/>
            <family val="2"/>
          </rPr>
          <t xml:space="preserve">Quebecor </t>
        </r>
        <r>
          <rPr>
            <sz val="10"/>
            <color rgb="FF000000"/>
            <rFont val="Aptos Narrow"/>
            <scheme val="minor"/>
          </rPr>
          <t>replaced the previous apporach that it u</t>
        </r>
        <r>
          <rPr>
            <sz val="10"/>
            <color rgb="FF000000"/>
            <rFont val="Tahoma"/>
            <family val="2"/>
          </rPr>
          <t xml:space="preserve">ed to calculate revenue per user known as Average Billing Per Unit with APRU in 2022. It only states ARPU back to 2021 in its Management Discussion and Analysis, so it is used here as a proxy for 2020.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Pheasant</author>
  </authors>
  <commentList>
    <comment ref="L6" authorId="0" shapeId="0" xr:uid="{DB872C2E-1958-B94A-98A6-6E12ABAD1D8C}">
      <text>
        <r>
          <rPr>
            <b/>
            <sz val="10"/>
            <color rgb="FF000000"/>
            <rFont val="Tahoma"/>
            <family val="2"/>
          </rPr>
          <t>Pheasant:</t>
        </r>
        <r>
          <rPr>
            <sz val="10"/>
            <color rgb="FF000000"/>
            <rFont val="Tahoma"/>
            <family val="2"/>
          </rPr>
          <t xml:space="preserve">
</t>
        </r>
        <r>
          <rPr>
            <sz val="18"/>
            <color rgb="FF000000"/>
            <rFont val="Calibri"/>
            <family val="2"/>
          </rPr>
          <t>The CRTC's Communications Monitoring Report Figure 5.8 Residential Internet access service revenues by type of service provider. https://crtc.gc.ca/eng/publications/reports/policymonitoring/2018/cmr3c.htm#f508 </t>
        </r>
        <r>
          <rPr>
            <sz val="10"/>
            <color rgb="FF000000"/>
            <rFont val="Calibr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V8" authorId="0" shapeId="0" xr:uid="{37733B63-7E54-CB48-BE6D-46C76D027862}">
      <text>
        <r>
          <rPr>
            <sz val="10"/>
            <color rgb="FF000000"/>
            <rFont val="Tahoma"/>
            <family val="2"/>
          </rPr>
          <t xml:space="preserve">Estimate based on advertising accounting for 7.6% of magazine revenue and estimated y-o-y decline of total revenue of 3.06%, as per PWC Global entertainment and media outlook, 2024-2028. </t>
        </r>
      </text>
    </comment>
    <comment ref="V9" authorId="0" shapeId="0" xr:uid="{8852B147-2308-9944-9B59-A712A13A1F18}">
      <text>
        <r>
          <rPr>
            <sz val="10"/>
            <color rgb="FF000000"/>
            <rFont val="Tahoma"/>
            <family val="2"/>
          </rPr>
          <t xml:space="preserve">Estimate of y-o-y growth of 17.27% based on PWC Global entertainment &amp; media outlook, 2024-2028.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B64" authorId="0" shapeId="0" xr:uid="{8105C11B-8BB5-3841-A72F-1289D61FA856}">
      <text>
        <r>
          <rPr>
            <i/>
            <sz val="10"/>
            <color rgb="FF000000"/>
            <rFont val="Aptos Narrow"/>
            <family val="2"/>
          </rPr>
          <t>La Presse’s </t>
        </r>
        <r>
          <rPr>
            <sz val="10"/>
            <color rgb="FF000000"/>
            <rFont val="Aptos Narrow"/>
            <family val="2"/>
          </rPr>
          <t>vice president of communications and philanthropy Florence Turpault-Desroches told </t>
        </r>
        <r>
          <rPr>
            <i/>
            <sz val="10"/>
            <color rgb="FF000000"/>
            <rFont val="Aptos Narrow"/>
            <family val="2"/>
          </rPr>
          <t xml:space="preserve">The Hub </t>
        </r>
        <r>
          <rPr>
            <sz val="10"/>
            <color rgb="FF000000"/>
            <rFont val="Aptos Narrow"/>
            <family val="2"/>
          </rPr>
          <t xml:space="preserve">that 75% of La Presse's income is from advertising. Assuming that $7.8 million in donor funding accounts for most of the rest yields this estimate. See Mark Hill (May 10, 2024). The future of news. </t>
        </r>
        <r>
          <rPr>
            <i/>
            <sz val="10"/>
            <color rgb="FF000000"/>
            <rFont val="Aptos Narrow"/>
            <family val="2"/>
          </rPr>
          <t>The Hub</t>
        </r>
        <r>
          <rPr>
            <sz val="10"/>
            <color rgb="FF000000"/>
            <rFont val="Aptos Narrow"/>
            <family val="2"/>
          </rPr>
          <t>. https://thehub.ca/2024/05/10/la-presse-is-surviving-in-a-unique-media-market/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B116" authorId="0" shapeId="0" xr:uid="{A0118ECB-98D8-C74D-AC44-59560F04D853}">
      <text>
        <r>
          <rPr>
            <sz val="10.5"/>
            <color rgb="FF000000"/>
            <rFont val="+mn-lt"/>
            <charset val="1"/>
          </rPr>
          <t>Stingray Annual Report 2016, p. 24.</t>
        </r>
        <r>
          <rPr>
            <sz val="10.5"/>
            <color rgb="FF000000"/>
            <rFont val="+mn-lt"/>
            <charset val="1"/>
          </rPr>
          <t xml:space="preserve">
</t>
        </r>
      </text>
    </comment>
    <comment ref="C116" authorId="0" shapeId="0" xr:uid="{4DF9D2D8-9588-F64E-8DAA-A62FB297DCC0}">
      <text>
        <r>
          <rPr>
            <sz val="10"/>
            <color rgb="FF000000"/>
            <rFont val="Aptos Narrow"/>
            <family val="2"/>
            <scheme val="minor"/>
          </rPr>
          <t>Stingray Annual Report 2016, p. 24.</t>
        </r>
        <r>
          <rPr>
            <sz val="10"/>
            <color rgb="FF000000"/>
            <rFont val="Aptos Narrow"/>
            <family val="2"/>
            <scheme val="minor"/>
          </rPr>
          <t xml:space="preserve">
</t>
        </r>
      </text>
    </comment>
    <comment ref="D116" authorId="0" shapeId="0" xr:uid="{43346D1A-0CEE-BA4F-901D-808A8D09637A}">
      <text>
        <r>
          <rPr>
            <sz val="10"/>
            <color rgb="FF000000"/>
            <rFont val="Aptos Narrow"/>
            <family val="2"/>
            <scheme val="minor"/>
          </rPr>
          <t>Stingray Annual Report 2018, p. 31.</t>
        </r>
        <r>
          <rPr>
            <sz val="10"/>
            <color rgb="FF000000"/>
            <rFont val="Aptos Narrow"/>
            <family val="2"/>
            <scheme val="minor"/>
          </rPr>
          <t xml:space="preserve">
</t>
        </r>
      </text>
    </comment>
    <comment ref="E116" authorId="0" shapeId="0" xr:uid="{DD574F52-A374-6544-BDF2-229121B44FD1}">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2018, p. 31.</t>
        </r>
      </text>
    </comment>
    <comment ref="F116" authorId="0" shapeId="0" xr:uid="{971DBC70-D483-FF4A-B494-484D25067533}">
      <text>
        <r>
          <rPr>
            <sz val="10"/>
            <color rgb="FF000000"/>
            <rFont val="Tahoma"/>
            <family val="2"/>
          </rPr>
          <t>Stingray Annual Report 2020, p. 35.</t>
        </r>
      </text>
    </comment>
    <comment ref="G116" authorId="0" shapeId="0" xr:uid="{853CF1AA-D84F-4949-BF8D-E07B697F5A55}">
      <text>
        <r>
          <rPr>
            <sz val="10"/>
            <color rgb="FF000000"/>
            <rFont val="Aptos Narrow"/>
            <family val="2"/>
            <scheme val="minor"/>
          </rPr>
          <t>Stingray Annual Report 2020, p. 35.</t>
        </r>
        <r>
          <rPr>
            <sz val="10"/>
            <color rgb="FF000000"/>
            <rFont val="Aptos Narrow"/>
            <family val="2"/>
            <scheme val="minor"/>
          </rPr>
          <t xml:space="preserve">
</t>
        </r>
      </text>
    </comment>
    <comment ref="H116" authorId="0" shapeId="0" xr:uid="{9527CF5A-CB72-5543-8A17-3519F221B076}">
      <text>
        <r>
          <rPr>
            <sz val="10"/>
            <color rgb="FF000000"/>
            <rFont val="Tahoma"/>
            <family val="2"/>
          </rPr>
          <t xml:space="preserve">Stingray Annual Report 2022, p. 34. </t>
        </r>
      </text>
    </comment>
    <comment ref="I116" authorId="0" shapeId="0" xr:uid="{F11A726A-3938-9842-8B82-019F5D285F95}">
      <text>
        <r>
          <rPr>
            <sz val="10"/>
            <color rgb="FF000000"/>
            <rFont val="Aptos Narrow"/>
            <family val="2"/>
            <scheme val="minor"/>
          </rPr>
          <t xml:space="preserve">Stingray Annual Report 2022, p. 34. </t>
        </r>
        <r>
          <rPr>
            <sz val="10"/>
            <color rgb="FF000000"/>
            <rFont val="Aptos Narrow"/>
            <family val="2"/>
            <scheme val="minor"/>
          </rPr>
          <t xml:space="preserve">
</t>
        </r>
      </text>
    </comment>
    <comment ref="J116" authorId="0" shapeId="0" xr:uid="{9229811F-C782-7846-8EF5-3ECC154E477A}">
      <text>
        <r>
          <rPr>
            <sz val="10"/>
            <color rgb="FF000000"/>
            <rFont val="Aptos Narrow"/>
            <family val="2"/>
            <scheme val="minor"/>
          </rPr>
          <t xml:space="preserve">Stingray Annual Report 2022, p. 34. </t>
        </r>
        <r>
          <rPr>
            <sz val="10"/>
            <color rgb="FF000000"/>
            <rFont val="Aptos Narrow"/>
            <family val="2"/>
            <scheme val="minor"/>
          </rPr>
          <t xml:space="preserve">
</t>
        </r>
      </text>
    </comment>
    <comment ref="D117" authorId="0" shapeId="0" xr:uid="{ED0CCE6A-CF9A-2B40-BEB2-EADD5F879B7A}">
      <text>
        <r>
          <rPr>
            <sz val="10"/>
            <color rgb="FF000000"/>
            <rFont val="Aptos Narrow"/>
            <family val="2"/>
            <scheme val="minor"/>
          </rPr>
          <t>Stingray Annual Report 2018, p. 31.</t>
        </r>
        <r>
          <rPr>
            <sz val="10"/>
            <color rgb="FF000000"/>
            <rFont val="Aptos Narrow"/>
            <family val="2"/>
            <scheme val="minor"/>
          </rPr>
          <t xml:space="preserve">
</t>
        </r>
      </text>
    </comment>
    <comment ref="E117" authorId="0" shapeId="0" xr:uid="{CE8B1C71-62ED-6041-8402-CC086B15DE68}">
      <text>
        <r>
          <rPr>
            <sz val="10"/>
            <color rgb="FF000000"/>
            <rFont val="Aptos Narrow"/>
            <family val="2"/>
            <scheme val="minor"/>
          </rPr>
          <t>Stingray Annual Report 2018, p. 31.</t>
        </r>
        <r>
          <rPr>
            <sz val="10"/>
            <color rgb="FF000000"/>
            <rFont val="Aptos Narrow"/>
            <family val="2"/>
            <scheme val="minor"/>
          </rPr>
          <t xml:space="preserve">
</t>
        </r>
      </text>
    </comment>
    <comment ref="F117" authorId="0" shapeId="0" xr:uid="{3EDA13EA-9E8B-9043-8618-79D072F5F755}">
      <text>
        <r>
          <rPr>
            <sz val="10"/>
            <color rgb="FF000000"/>
            <rFont val="Aptos Narrow"/>
            <family val="2"/>
            <scheme val="minor"/>
          </rPr>
          <t>Stingray Annual Report 2020, p. 35.</t>
        </r>
        <r>
          <rPr>
            <sz val="10"/>
            <color rgb="FF000000"/>
            <rFont val="Aptos Narrow"/>
            <family val="2"/>
            <scheme val="minor"/>
          </rPr>
          <t xml:space="preserve">
</t>
        </r>
      </text>
    </comment>
    <comment ref="G117" authorId="0" shapeId="0" xr:uid="{4FEEBBD0-E625-1C41-A4E0-6D947889EC6E}">
      <text>
        <r>
          <rPr>
            <sz val="10"/>
            <color rgb="FF000000"/>
            <rFont val="Aptos Narrow"/>
            <family val="2"/>
            <scheme val="minor"/>
          </rPr>
          <t>Stingray Annual Report 2020, p. 35.</t>
        </r>
        <r>
          <rPr>
            <sz val="10"/>
            <color rgb="FF000000"/>
            <rFont val="Aptos Narrow"/>
            <family val="2"/>
            <scheme val="minor"/>
          </rPr>
          <t xml:space="preserve">
</t>
        </r>
      </text>
    </comment>
    <comment ref="H117" authorId="0" shapeId="0" xr:uid="{DB9E1374-C94D-1E4E-B78E-F59C3698E6CC}">
      <text>
        <r>
          <rPr>
            <sz val="10.5"/>
            <color rgb="FF000000"/>
            <rFont val="Times New Roman"/>
            <family val="18"/>
          </rPr>
          <t>Stingray Annual Report 2020, p. 35.</t>
        </r>
        <r>
          <rPr>
            <sz val="10.5"/>
            <color rgb="FF000000"/>
            <rFont val="Times New Roman"/>
            <family val="18"/>
          </rPr>
          <t xml:space="preserve">
</t>
        </r>
      </text>
    </comment>
    <comment ref="I117" authorId="0" shapeId="0" xr:uid="{7D3CD2D9-F532-7945-B091-55B9E2C229DD}">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2022, p. 40.</t>
        </r>
        <r>
          <rPr>
            <sz val="10"/>
            <color rgb="FF000000"/>
            <rFont val="Aptos Narrow"/>
            <family val="2"/>
            <scheme val="minor"/>
          </rPr>
          <t xml:space="preserve">
</t>
        </r>
      </text>
    </comment>
    <comment ref="J117" authorId="0" shapeId="0" xr:uid="{524F2133-FF7D-B447-B31D-5B5FA3E68086}">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2022, p. 40.</t>
        </r>
        <r>
          <rPr>
            <sz val="10"/>
            <color rgb="FF000000"/>
            <rFont val="Aptos Narrow"/>
            <family val="2"/>
            <scheme val="minor"/>
          </rPr>
          <t xml:space="preserve">
</t>
        </r>
      </text>
    </comment>
    <comment ref="F118" authorId="0" shapeId="0" xr:uid="{E8BE2B91-093C-C142-AD10-BCBE9DEFA6C0}">
      <text>
        <r>
          <rPr>
            <b/>
            <sz val="10"/>
            <color rgb="FF000000"/>
            <rFont val="Tahoma"/>
            <family val="2"/>
          </rPr>
          <t>DD:</t>
        </r>
        <r>
          <rPr>
            <sz val="10"/>
            <color rgb="FF000000"/>
            <rFont val="Tahoma"/>
            <family val="2"/>
          </rPr>
          <t xml:space="preserve">
</t>
        </r>
        <r>
          <rPr>
            <sz val="10"/>
            <color rgb="FF000000"/>
            <rFont val="Tahoma"/>
            <family val="2"/>
          </rPr>
          <t xml:space="preserve">NewCap revenue.
</t>
        </r>
      </text>
    </comment>
    <comment ref="G119" authorId="0" shapeId="0" xr:uid="{FC05EC2C-0BBA-9945-A726-E629541F4303}">
      <text>
        <r>
          <rPr>
            <sz val="10"/>
            <color rgb="FF000000"/>
            <rFont val="Aptos Narrow"/>
            <family val="2"/>
            <scheme val="minor"/>
          </rPr>
          <t>Stingray Annual Report 2020, p. 35.</t>
        </r>
        <r>
          <rPr>
            <sz val="10"/>
            <color rgb="FF000000"/>
            <rFont val="Aptos Narrow"/>
            <family val="2"/>
            <scheme val="minor"/>
          </rPr>
          <t xml:space="preserve">
</t>
        </r>
      </text>
    </comment>
    <comment ref="H119" authorId="0" shapeId="0" xr:uid="{BE8B84A3-B6C1-0044-BB02-E2B1EDD7A437}">
      <text>
        <r>
          <rPr>
            <sz val="10"/>
            <color rgb="FF000000"/>
            <rFont val="Aptos Narrow"/>
            <family val="2"/>
            <scheme val="minor"/>
          </rPr>
          <t>Stingray Annual Report 2020, p. 35.</t>
        </r>
        <r>
          <rPr>
            <sz val="10"/>
            <color rgb="FF000000"/>
            <rFont val="Aptos Narrow"/>
            <family val="2"/>
            <scheme val="minor"/>
          </rPr>
          <t xml:space="preserve">
</t>
        </r>
      </text>
    </comment>
    <comment ref="I119" authorId="0" shapeId="0" xr:uid="{48EFCCA5-5FCA-9F4E-BB9F-4012F4A3618F}">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2022, p. 41.</t>
        </r>
        <r>
          <rPr>
            <sz val="10"/>
            <color rgb="FF000000"/>
            <rFont val="Aptos Narrow"/>
            <family val="2"/>
            <scheme val="minor"/>
          </rPr>
          <t xml:space="preserve">
</t>
        </r>
      </text>
    </comment>
    <comment ref="J119" authorId="0" shapeId="0" xr:uid="{E56F9067-B449-614B-B25E-A8875CF8EF25}">
      <text>
        <r>
          <rPr>
            <b/>
            <sz val="10"/>
            <color rgb="FF000000"/>
            <rFont val="Tahoma"/>
            <family val="2"/>
          </rPr>
          <t>DD:</t>
        </r>
        <r>
          <rPr>
            <sz val="10"/>
            <color rgb="FF000000"/>
            <rFont val="Tahoma"/>
            <family val="2"/>
          </rPr>
          <t xml:space="preserve">
</t>
        </r>
        <r>
          <rPr>
            <sz val="10"/>
            <color rgb="FF000000"/>
            <rFont val="Tahoma"/>
            <family val="2"/>
          </rPr>
          <t>Stingray Annual Report 2022, p. 41.</t>
        </r>
      </text>
    </comment>
    <comment ref="B121" authorId="0" shapeId="0" xr:uid="{5C159980-3F81-1B45-A402-CFF981C48CD5}">
      <text>
        <r>
          <rPr>
            <sz val="10.5"/>
            <color rgb="FF000000"/>
            <rFont val="+mn-lt"/>
            <charset val="1"/>
          </rPr>
          <t xml:space="preserve">Stingray Annual Report 2016, p. 24.
</t>
        </r>
      </text>
    </comment>
    <comment ref="C121" authorId="0" shapeId="0" xr:uid="{F3F6AFA1-A5AD-A749-BDD8-0400472BF6AE}">
      <text>
        <r>
          <rPr>
            <sz val="10"/>
            <color rgb="FF000000"/>
            <rFont val="Aptos Narrow"/>
            <family val="2"/>
            <scheme val="minor"/>
          </rPr>
          <t>Stingray Annual Report 2016, p. 24.</t>
        </r>
        <r>
          <rPr>
            <sz val="10"/>
            <color rgb="FF000000"/>
            <rFont val="Aptos Narrow"/>
            <family val="2"/>
            <scheme val="minor"/>
          </rPr>
          <t xml:space="preserve">
</t>
        </r>
      </text>
    </comment>
    <comment ref="D121" authorId="0" shapeId="0" xr:uid="{0DF32317-B8B8-2A47-90E7-EC50D9D2BA52}">
      <text>
        <r>
          <rPr>
            <sz val="10"/>
            <color rgb="FF000000"/>
            <rFont val="Aptos Narrow"/>
            <family val="2"/>
            <scheme val="minor"/>
          </rPr>
          <t>Stingray Annual Report 2018, p. 31.</t>
        </r>
        <r>
          <rPr>
            <sz val="10"/>
            <color rgb="FF000000"/>
            <rFont val="Aptos Narrow"/>
            <family val="2"/>
            <scheme val="minor"/>
          </rPr>
          <t xml:space="preserve">
</t>
        </r>
      </text>
    </comment>
    <comment ref="E121" authorId="0" shapeId="0" xr:uid="{6F736AE7-7059-4640-A3C8-BED671AD56BC}">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2018, p. 31.</t>
        </r>
      </text>
    </comment>
    <comment ref="F121" authorId="0" shapeId="0" xr:uid="{349A9B09-43FC-C64D-AA7A-095757994BF4}">
      <text>
        <r>
          <rPr>
            <sz val="10"/>
            <color rgb="FF000000"/>
            <rFont val="Tahoma"/>
            <family val="2"/>
          </rPr>
          <t>Stingray Annual Report 2020, p. 35.</t>
        </r>
      </text>
    </comment>
    <comment ref="G121" authorId="0" shapeId="0" xr:uid="{1722F2D1-F276-BC43-B02E-2A847D6D58FB}">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2020, p. 35</t>
        </r>
        <r>
          <rPr>
            <sz val="10"/>
            <color rgb="FF000000"/>
            <rFont val="Aptos Narrow"/>
            <family val="2"/>
            <scheme val="minor"/>
          </rPr>
          <t xml:space="preserve"> </t>
        </r>
      </text>
    </comment>
    <comment ref="H121" authorId="0" shapeId="0" xr:uid="{865FDD0F-D653-334A-AE18-86909F574277}">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2020, p. 35</t>
        </r>
        <r>
          <rPr>
            <sz val="10"/>
            <color rgb="FF000000"/>
            <rFont val="Aptos Narrow"/>
            <family val="2"/>
            <scheme val="minor"/>
          </rPr>
          <t xml:space="preserve"> </t>
        </r>
      </text>
    </comment>
    <comment ref="I121" authorId="0" shapeId="0" xr:uid="{47AC7DC2-570B-8141-9E17-FD53B6D3AABA}">
      <text>
        <r>
          <rPr>
            <sz val="10"/>
            <color rgb="FF000000"/>
            <rFont val="Calibri"/>
            <family val="2"/>
          </rPr>
          <t>Stingray Annual Report 2022, pp. 40-41.</t>
        </r>
      </text>
    </comment>
    <comment ref="J121" authorId="0" shapeId="0" xr:uid="{A7000D9D-E6C9-FD40-9873-ED741021FE40}">
      <text>
        <r>
          <rPr>
            <sz val="10"/>
            <color rgb="FF000000"/>
            <rFont val="Calibri"/>
            <family val="2"/>
          </rPr>
          <t xml:space="preserve">Stingray Annual Report 2022, pp. 40-41.
</t>
        </r>
      </text>
    </comment>
    <comment ref="B124" authorId="0" shapeId="0" xr:uid="{859A3492-B539-F44A-A59D-125E524C3C19}">
      <text>
        <r>
          <rPr>
            <sz val="10.5"/>
            <color rgb="FF000000"/>
            <rFont val="+mn-lt"/>
            <charset val="1"/>
          </rPr>
          <t xml:space="preserve">Stingray Annual Report 2016, p. 24.
</t>
        </r>
      </text>
    </comment>
    <comment ref="C124" authorId="0" shapeId="0" xr:uid="{923DA64B-DAF2-784D-B944-5E071DF13557}">
      <text>
        <r>
          <rPr>
            <sz val="10"/>
            <color rgb="FF000000"/>
            <rFont val="Aptos Narrow"/>
            <family val="2"/>
            <scheme val="minor"/>
          </rPr>
          <t>Stingray Annual Report 2016, p. 24.</t>
        </r>
        <r>
          <rPr>
            <sz val="10"/>
            <color rgb="FF000000"/>
            <rFont val="Aptos Narrow"/>
            <family val="2"/>
            <scheme val="minor"/>
          </rPr>
          <t xml:space="preserve">
</t>
        </r>
      </text>
    </comment>
    <comment ref="D124" authorId="0" shapeId="0" xr:uid="{09662056-ED8C-0F49-BD7B-8C86F2DC8DA2}">
      <text>
        <r>
          <rPr>
            <sz val="10"/>
            <color rgb="FF000000"/>
            <rFont val="Aptos Narrow"/>
            <family val="2"/>
            <scheme val="minor"/>
          </rPr>
          <t>Stingray Annual Report 2018, p. 31.</t>
        </r>
        <r>
          <rPr>
            <sz val="10"/>
            <color rgb="FF000000"/>
            <rFont val="Aptos Narrow"/>
            <family val="2"/>
            <scheme val="minor"/>
          </rPr>
          <t xml:space="preserve">
</t>
        </r>
      </text>
    </comment>
    <comment ref="E124" authorId="0" shapeId="0" xr:uid="{7ADDCE7A-6C72-5D4E-A41D-5088E2FD441E}">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2018, p. 31.</t>
        </r>
      </text>
    </comment>
    <comment ref="F124" authorId="0" shapeId="0" xr:uid="{AE4593BC-5D34-354F-8A03-5AD79598EDC6}">
      <text>
        <r>
          <rPr>
            <sz val="10"/>
            <color rgb="FF000000"/>
            <rFont val="Tahoma"/>
            <family val="2"/>
          </rPr>
          <t>Stingray Annual Report 2020, p. 35.</t>
        </r>
      </text>
    </comment>
    <comment ref="G124" authorId="0" shapeId="0" xr:uid="{2AA55D2F-AD5A-094D-B71C-C9EDB7BF04A0}">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2020, p. 35</t>
        </r>
        <r>
          <rPr>
            <sz val="10"/>
            <color rgb="FF000000"/>
            <rFont val="Aptos Narrow"/>
            <family val="2"/>
            <scheme val="minor"/>
          </rPr>
          <t xml:space="preserve"> </t>
        </r>
      </text>
    </comment>
    <comment ref="H124" authorId="0" shapeId="0" xr:uid="{848BF67F-0D6E-E14E-AFE4-CDBCFF4255D6}">
      <text>
        <r>
          <rPr>
            <b/>
            <sz val="10"/>
            <color rgb="FF000000"/>
            <rFont val="Tahoma"/>
            <family val="2"/>
          </rPr>
          <t>DD:</t>
        </r>
        <r>
          <rPr>
            <sz val="10"/>
            <color rgb="FF000000"/>
            <rFont val="Tahoma"/>
            <family val="2"/>
          </rPr>
          <t xml:space="preserve">
</t>
        </r>
        <r>
          <rPr>
            <sz val="10"/>
            <color rgb="FF000000"/>
            <rFont val="Aptos Narrow"/>
            <family val="2"/>
            <scheme val="minor"/>
          </rPr>
          <t>Stingray Annual Report 2020, p. 35</t>
        </r>
        <r>
          <rPr>
            <sz val="10"/>
            <color rgb="FF000000"/>
            <rFont val="Aptos Narrow"/>
            <family val="2"/>
            <scheme val="minor"/>
          </rPr>
          <t xml:space="preserve"> </t>
        </r>
      </text>
    </comment>
    <comment ref="I124" authorId="0" shapeId="0" xr:uid="{EA9C55C9-C510-F64D-8256-B78EE54ABB16}">
      <text>
        <r>
          <rPr>
            <sz val="10"/>
            <color rgb="FF000000"/>
            <rFont val="Aptos Narrow"/>
            <family val="2"/>
            <scheme val="minor"/>
          </rPr>
          <t>Stingray Annual Report 2022, pp. 40-41.</t>
        </r>
      </text>
    </comment>
    <comment ref="J124" authorId="0" shapeId="0" xr:uid="{D3B3BABC-05BF-EE48-A8AD-C0C84C28FBA2}">
      <text>
        <r>
          <rPr>
            <sz val="10"/>
            <color rgb="FF000000"/>
            <rFont val="Aptos Narrow"/>
            <family val="2"/>
            <scheme val="minor"/>
          </rPr>
          <t>Stingray Annual Report 2022, pp. 40-41.</t>
        </r>
        <r>
          <rPr>
            <sz val="10"/>
            <color rgb="FF000000"/>
            <rFont val="Aptos Narrow"/>
            <family val="2"/>
            <scheme val="minor"/>
          </rPr>
          <t xml:space="preserve">
</t>
        </r>
      </text>
    </comment>
    <comment ref="J125" authorId="0" shapeId="0" xr:uid="{77032E2A-4600-5A44-BD9D-6B1203DB9C4E}">
      <text>
        <r>
          <rPr>
            <sz val="10"/>
            <color rgb="FF000000"/>
            <rFont val="Tahoma"/>
            <family val="2"/>
          </rPr>
          <t>Estimate based on average of last 5 years of revenue.</t>
        </r>
      </text>
    </comment>
    <comment ref="C127" authorId="0" shapeId="0" xr:uid="{DC0063C4-712A-8040-9CA6-F2A47594E9B1}">
      <text>
        <r>
          <rPr>
            <sz val="10"/>
            <color rgb="FF000000"/>
            <rFont val="Tahoma"/>
            <family val="2"/>
          </rPr>
          <t xml:space="preserve">Nordicity (2022). </t>
        </r>
        <r>
          <rPr>
            <sz val="10"/>
            <color rgb="FF000000"/>
            <rFont val="Aptos Narrow"/>
            <family val="2"/>
            <scheme val="minor"/>
          </rPr>
          <t>Harnessing Change Financial Model of the Canadian Audio Sector (Study</t>
        </r>
        <r>
          <rPr>
            <sz val="10"/>
            <color rgb="FF000000"/>
            <rFont val="Aptos Narrow"/>
            <family val="2"/>
            <scheme val="minor"/>
          </rPr>
          <t xml:space="preserve"> prepared for CRTC), p. 20.</t>
        </r>
        <r>
          <rPr>
            <sz val="10"/>
            <color rgb="FF000000"/>
            <rFont val="Tahoma"/>
            <family val="2"/>
          </rPr>
          <t xml:space="preserve"> https://publications.gc.ca/collections/collection_2023/crtc/BC92-125-1-2023-eng.pdf</t>
        </r>
      </text>
    </comment>
    <comment ref="D127" authorId="0" shapeId="0" xr:uid="{54D592C0-FB84-4040-A1E9-749AAD7C3447}">
      <text>
        <r>
          <rPr>
            <sz val="10"/>
            <color rgb="FF000000"/>
            <rFont val="Aptos Narrow"/>
            <family val="2"/>
            <scheme val="minor"/>
          </rPr>
          <t xml:space="preserve">Nordicity (2022). </t>
        </r>
        <r>
          <rPr>
            <sz val="10"/>
            <color rgb="FF000000"/>
            <rFont val="Aptos Narrow"/>
            <family val="2"/>
            <scheme val="minor"/>
          </rPr>
          <t>Harnessing Change Financial Model of the Canadian Audio Sector (Study</t>
        </r>
        <r>
          <rPr>
            <sz val="10"/>
            <color rgb="FF000000"/>
            <rFont val="Aptos Narrow"/>
            <family val="2"/>
            <scheme val="minor"/>
          </rPr>
          <t xml:space="preserve"> prepared for CRTC), p. 20.</t>
        </r>
        <r>
          <rPr>
            <sz val="10"/>
            <color rgb="FF000000"/>
            <rFont val="Aptos Narrow"/>
            <family val="2"/>
            <scheme val="minor"/>
          </rPr>
          <t xml:space="preserve"> https://publications.gc.ca/collections/collection_2023/crtc/BC92-125-1-2023-eng.pdf</t>
        </r>
        <r>
          <rPr>
            <sz val="10"/>
            <color rgb="FF000000"/>
            <rFont val="Aptos Narrow"/>
            <family val="2"/>
            <scheme val="minor"/>
          </rPr>
          <t xml:space="preserve">
</t>
        </r>
      </text>
    </comment>
    <comment ref="E127" authorId="0" shapeId="0" xr:uid="{74033CD0-F652-8946-9A72-C7E2A55280AB}">
      <text>
        <r>
          <rPr>
            <sz val="10"/>
            <color rgb="FF000000"/>
            <rFont val="Aptos Narrow"/>
            <family val="2"/>
            <scheme val="minor"/>
          </rPr>
          <t xml:space="preserve">Nordicity (2022). </t>
        </r>
        <r>
          <rPr>
            <sz val="10"/>
            <color rgb="FF000000"/>
            <rFont val="Aptos Narrow"/>
            <family val="2"/>
            <scheme val="minor"/>
          </rPr>
          <t>Harnessing Change Financial Model of the Canadian Audio Sector (Study</t>
        </r>
        <r>
          <rPr>
            <sz val="10"/>
            <color rgb="FF000000"/>
            <rFont val="Aptos Narrow"/>
            <family val="2"/>
            <scheme val="minor"/>
          </rPr>
          <t xml:space="preserve"> prepared for CRTC), p. 20.</t>
        </r>
        <r>
          <rPr>
            <sz val="10"/>
            <color rgb="FF000000"/>
            <rFont val="Aptos Narrow"/>
            <family val="2"/>
            <scheme val="minor"/>
          </rPr>
          <t xml:space="preserve"> https://publications.gc.ca/collections/collection_2023/crtc/BC92-125-1-2023-eng.pdf</t>
        </r>
        <r>
          <rPr>
            <sz val="10"/>
            <color rgb="FF000000"/>
            <rFont val="Aptos Narrow"/>
            <family val="2"/>
            <scheme val="minor"/>
          </rPr>
          <t xml:space="preserve">
</t>
        </r>
      </text>
    </comment>
    <comment ref="F127" authorId="0" shapeId="0" xr:uid="{B573C940-2C1B-3D46-A781-3D51EA089981}">
      <text>
        <r>
          <rPr>
            <sz val="10"/>
            <color rgb="FF000000"/>
            <rFont val="Aptos Narrow"/>
            <family val="2"/>
            <scheme val="minor"/>
          </rPr>
          <t xml:space="preserve">Nordicity (2022). </t>
        </r>
        <r>
          <rPr>
            <sz val="10"/>
            <color rgb="FF000000"/>
            <rFont val="Aptos Narrow"/>
            <family val="2"/>
            <scheme val="minor"/>
          </rPr>
          <t>Harnessing Change Financial Model of the Canadian Audio Sector (Study</t>
        </r>
        <r>
          <rPr>
            <sz val="10"/>
            <color rgb="FF000000"/>
            <rFont val="Aptos Narrow"/>
            <family val="2"/>
            <scheme val="minor"/>
          </rPr>
          <t xml:space="preserve"> prepared for CRTC), p. 20.</t>
        </r>
        <r>
          <rPr>
            <sz val="10"/>
            <color rgb="FF000000"/>
            <rFont val="Aptos Narrow"/>
            <family val="2"/>
            <scheme val="minor"/>
          </rPr>
          <t xml:space="preserve"> https://publications.gc.ca/collections/collection_2023/crtc/BC92-125-1-2023-eng.pdf</t>
        </r>
        <r>
          <rPr>
            <sz val="10"/>
            <color rgb="FF000000"/>
            <rFont val="Aptos Narrow"/>
            <family val="2"/>
            <scheme val="minor"/>
          </rPr>
          <t xml:space="preserve">
</t>
        </r>
      </text>
    </comment>
    <comment ref="G127" authorId="0" shapeId="0" xr:uid="{E6CC9B93-1015-7E49-BA9B-8E61698C5884}">
      <text>
        <r>
          <rPr>
            <sz val="10"/>
            <color rgb="FF000000"/>
            <rFont val="Aptos Narrow"/>
            <family val="2"/>
            <scheme val="minor"/>
          </rPr>
          <t xml:space="preserve">Nordicity (2022). </t>
        </r>
        <r>
          <rPr>
            <sz val="10"/>
            <color rgb="FF000000"/>
            <rFont val="Aptos Narrow"/>
            <family val="2"/>
            <scheme val="minor"/>
          </rPr>
          <t>Harnessing Change Financial Model of the Canadian Audio Sector (Study</t>
        </r>
        <r>
          <rPr>
            <sz val="10"/>
            <color rgb="FF000000"/>
            <rFont val="Aptos Narrow"/>
            <family val="2"/>
            <scheme val="minor"/>
          </rPr>
          <t xml:space="preserve"> prepared for CRTC), p. 20.</t>
        </r>
        <r>
          <rPr>
            <sz val="10"/>
            <color rgb="FF000000"/>
            <rFont val="Aptos Narrow"/>
            <family val="2"/>
            <scheme val="minor"/>
          </rPr>
          <t xml:space="preserve"> https://publications.gc.ca/collections/collection_2023/crtc/BC92-125-1-2023-eng.pdf</t>
        </r>
        <r>
          <rPr>
            <sz val="10"/>
            <color rgb="FF000000"/>
            <rFont val="Aptos Narrow"/>
            <family val="2"/>
            <scheme val="minor"/>
          </rPr>
          <t xml:space="preserve">
</t>
        </r>
      </text>
    </comment>
    <comment ref="H127" authorId="0" shapeId="0" xr:uid="{EE65C012-AF98-B04C-A34B-23691AFA760B}">
      <text>
        <r>
          <rPr>
            <sz val="10"/>
            <color rgb="FF000000"/>
            <rFont val="Aptos Narrow"/>
            <family val="2"/>
            <scheme val="minor"/>
          </rPr>
          <t xml:space="preserve">Nordicity (2022). </t>
        </r>
        <r>
          <rPr>
            <sz val="10"/>
            <color rgb="FF000000"/>
            <rFont val="Aptos Narrow"/>
            <family val="2"/>
            <scheme val="minor"/>
          </rPr>
          <t>Harnessing Change Financial Model of the Canadian Audio Sector (Study</t>
        </r>
        <r>
          <rPr>
            <sz val="10"/>
            <color rgb="FF000000"/>
            <rFont val="Aptos Narrow"/>
            <family val="2"/>
            <scheme val="minor"/>
          </rPr>
          <t xml:space="preserve"> prepared for CRTC), p. 20.</t>
        </r>
        <r>
          <rPr>
            <sz val="10"/>
            <color rgb="FF000000"/>
            <rFont val="Aptos Narrow"/>
            <family val="2"/>
            <scheme val="minor"/>
          </rPr>
          <t xml:space="preserve"> https://publications.gc.ca/collections/collection_2023/crtc/BC92-125-1-2023-eng.pdf</t>
        </r>
        <r>
          <rPr>
            <sz val="10"/>
            <color rgb="FF000000"/>
            <rFont val="Aptos Narrow"/>
            <family val="2"/>
            <scheme val="minor"/>
          </rPr>
          <t xml:space="preserve">
</t>
        </r>
      </text>
    </comment>
    <comment ref="I127" authorId="0" shapeId="0" xr:uid="{44470AB5-6B9C-A042-AFF2-F6370DB81495}">
      <text>
        <r>
          <rPr>
            <sz val="10"/>
            <color rgb="FF000000"/>
            <rFont val="Times New Roman"/>
            <family val="18"/>
          </rPr>
          <t xml:space="preserve">Nordicity (2022). </t>
        </r>
        <r>
          <rPr>
            <sz val="10"/>
            <color rgb="FF000000"/>
            <rFont val="Times New Roman"/>
            <family val="18"/>
          </rPr>
          <t>Harnessing Change Financial Model of the Canadian Audio Sector (Study</t>
        </r>
        <r>
          <rPr>
            <sz val="10"/>
            <color rgb="FF000000"/>
            <rFont val="Times New Roman"/>
            <family val="18"/>
          </rPr>
          <t xml:space="preserve"> prepared for CRTC), p. 20.</t>
        </r>
        <r>
          <rPr>
            <sz val="10"/>
            <color rgb="FF000000"/>
            <rFont val="Times New Roman"/>
            <family val="18"/>
          </rPr>
          <t xml:space="preserve"> https://publications.gc.ca/collections/collection_2023/crtc/BC92-125-1-2023-eng.pdf</t>
        </r>
        <r>
          <rPr>
            <sz val="10"/>
            <color rgb="FF000000"/>
            <rFont val="Times New Roman"/>
            <family val="18"/>
          </rPr>
          <t xml:space="preserve">
</t>
        </r>
      </text>
    </comment>
    <comment ref="A141" authorId="0" shapeId="0" xr:uid="{59DEF82B-1CA9-8040-AD35-85605E11347C}">
      <text>
        <r>
          <rPr>
            <b/>
            <sz val="10"/>
            <color rgb="FF000000"/>
            <rFont val="Tahoma"/>
            <family val="2"/>
          </rPr>
          <t>DD:</t>
        </r>
        <r>
          <rPr>
            <sz val="10"/>
            <color rgb="FF000000"/>
            <rFont val="Tahoma"/>
            <family val="2"/>
          </rPr>
          <t xml:space="preserve">
</t>
        </r>
        <r>
          <rPr>
            <sz val="10"/>
            <color rgb="FF000000"/>
            <rFont val="Tahoma"/>
            <family val="2"/>
          </rPr>
          <t xml:space="preserve">Nordicity (2023). </t>
        </r>
        <r>
          <rPr>
            <sz val="10"/>
            <color rgb="FF000000"/>
            <rFont val="Calibri"/>
            <family val="2"/>
          </rPr>
          <t xml:space="preserve">Harnessing Change Financial Model of the Canadian Audio Sector (Study prepared for the CRTC). </t>
        </r>
        <r>
          <rPr>
            <sz val="10"/>
            <color rgb="FF000000"/>
            <rFont val="Tahoma"/>
            <family val="2"/>
          </rPr>
          <t>p. 20. https://publications.gc.ca/collections/collection_2023/crtc/BC92-125-1-2023-eng.pdf</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Dwayne Winseck</author>
    <author>DD</author>
    <author>Pheasant</author>
  </authors>
  <commentList>
    <comment ref="G3" authorId="0" shapeId="0" xr:uid="{8B89692A-75D1-CE4B-A690-54C620E9867B}">
      <text>
        <r>
          <rPr>
            <sz val="9"/>
            <color rgb="FF000000"/>
            <rFont val="Arial"/>
            <family val="2"/>
          </rPr>
          <t>Newspapers Canada (2014). Revenue Report: Daily Newspapers, p. 5.</t>
        </r>
      </text>
    </comment>
    <comment ref="P3" authorId="1" shapeId="0" xr:uid="{F9A60A5B-279B-124E-8CED-695849CA7EFB}">
      <text>
        <r>
          <rPr>
            <b/>
            <sz val="10"/>
            <color rgb="FF000000"/>
            <rFont val="Tahoma"/>
            <family val="2"/>
          </rPr>
          <t>DD:</t>
        </r>
        <r>
          <rPr>
            <sz val="10"/>
            <color rgb="FF000000"/>
            <rFont val="Tahoma"/>
            <family val="2"/>
          </rPr>
          <t xml:space="preserve">
</t>
        </r>
        <r>
          <rPr>
            <sz val="10"/>
            <color rgb="FF000000"/>
            <rFont val="Arial"/>
            <family val="2"/>
          </rPr>
          <t xml:space="preserve">2018 marks a change in data sources to Stats Can (2021). Table 21-10-0193-01 (formerly361-0083) https://www150.statcan.gc.ca/t1/tbl1/en/tv.action?pid=2110019301 from News Media Canada (2019). Newspaper Net Advertising Revenue 2018. This was because NMC appears to be increasingly unreliable and untimely in its data releses. Also, Stats Can covers all news papers rather than only those that are NMC members. </t>
        </r>
      </text>
    </comment>
    <comment ref="Q3" authorId="1" shapeId="0" xr:uid="{9BE74EDD-6CDC-8743-BEE1-8F97D47D6069}">
      <text>
        <r>
          <rPr>
            <sz val="10"/>
            <color rgb="FF000000"/>
            <rFont val="Arial"/>
            <family val="2"/>
          </rPr>
          <t xml:space="preserve">
</t>
        </r>
      </text>
    </comment>
    <comment ref="R3" authorId="1" shapeId="0" xr:uid="{68FBD213-2E42-7746-B245-595E59D4B2E8}">
      <text>
        <r>
          <rPr>
            <b/>
            <sz val="10"/>
            <color rgb="FF000000"/>
            <rFont val="Tahoma"/>
            <family val="2"/>
          </rPr>
          <t>DD:</t>
        </r>
        <r>
          <rPr>
            <sz val="10"/>
            <color rgb="FF000000"/>
            <rFont val="Tahoma"/>
            <family val="2"/>
          </rPr>
          <t xml:space="preserve">
</t>
        </r>
        <r>
          <rPr>
            <sz val="10"/>
            <color rgb="FF000000"/>
            <rFont val="Arial"/>
            <family val="2"/>
          </rPr>
          <t xml:space="preserve">Stats Can (2021). Table 21-10-0193-01 (formerly361-0083) https://www150.statcan.gc.ca/t1/tbl1/en/tv.action?pid=2110019301
</t>
        </r>
      </text>
    </comment>
    <comment ref="S3" authorId="1" shapeId="0" xr:uid="{5168B2C5-010D-974F-A7DC-132CB48E266E}">
      <text>
        <r>
          <rPr>
            <sz val="10"/>
            <color rgb="FF000000"/>
            <rFont val="+mn-lt"/>
            <charset val="1"/>
          </rPr>
          <t xml:space="preserve">Estimate based on base revenue from Statistics Canada + y-o-y growth of 1.7% based on News Media Canada's .Net Adverising Volume. </t>
        </r>
      </text>
    </comment>
    <comment ref="T3" authorId="1" shapeId="0" xr:uid="{9D67E6E2-326E-4E43-8CA6-07C6DBE2CE58}">
      <text>
        <r>
          <rPr>
            <sz val="10"/>
            <color rgb="FF000000"/>
            <rFont val="Arial"/>
            <family val="2"/>
          </rPr>
          <t xml:space="preserve">Estimate based on y-o-y growth of ad revenue for Postmedia &amp; FP Newspapers (known data) and estimate for Globe &amp; Mail of 6.12%.
</t>
        </r>
      </text>
    </comment>
    <comment ref="G4" authorId="0" shapeId="0" xr:uid="{A40264D8-4340-5A44-A16C-883F2D295B8B}">
      <text>
        <r>
          <rPr>
            <sz val="9"/>
            <color rgb="FF000000"/>
            <rFont val="Arial"/>
            <family val="2"/>
          </rPr>
          <t>Newspapers Canada (2014). Revenue Report: Daily Newspapers, p. 7.</t>
        </r>
      </text>
    </comment>
    <comment ref="H4" authorId="0" shapeId="0" xr:uid="{77BD6462-6092-324A-B78B-DCB252B63C34}">
      <text>
        <r>
          <rPr>
            <sz val="9"/>
            <color rgb="FF000000"/>
            <rFont val="Arial"/>
            <family val="2"/>
          </rPr>
          <t>Newspapers Canada (2014). Revenue Report: Daily Newspapers, p. 7.</t>
        </r>
      </text>
    </comment>
    <comment ref="I4" authorId="0" shapeId="0" xr:uid="{DC8D6647-2993-724D-846F-3A1B9645846F}">
      <text>
        <r>
          <rPr>
            <sz val="9"/>
            <color rgb="FF000000"/>
            <rFont val="Arial"/>
            <family val="2"/>
          </rPr>
          <t xml:space="preserve">Newspapers Canada (2014). Revenue Report: Daily Newspapers, p. 7.
</t>
        </r>
      </text>
    </comment>
    <comment ref="J4" authorId="0" shapeId="0" xr:uid="{51C49F92-E5B8-D74E-BF9D-B0AF4C23B701}">
      <text>
        <r>
          <rPr>
            <sz val="9"/>
            <color rgb="FF000000"/>
            <rFont val="Arial"/>
            <family val="2"/>
          </rPr>
          <t>Newspapers Canada (2014). Revenue Report: Daily Newspapers, p. 7.</t>
        </r>
      </text>
    </comment>
    <comment ref="K4" authorId="0" shapeId="0" xr:uid="{846270C8-14E6-D646-A3AC-DFC602A07697}">
      <text>
        <r>
          <rPr>
            <sz val="9"/>
            <color rgb="FF000000"/>
            <rFont val="Arial"/>
            <family val="2"/>
          </rPr>
          <t>Newspapers Canada (2014). Revenue Report: Daily Newspapers, p. 7.</t>
        </r>
      </text>
    </comment>
    <comment ref="L4" authorId="0" shapeId="0" xr:uid="{B8F1E09F-54C8-3F4C-BEE9-EA33265AC918}">
      <text>
        <r>
          <rPr>
            <b/>
            <sz val="9"/>
            <color rgb="FF000000"/>
            <rFont val="Arial"/>
            <family val="2"/>
          </rPr>
          <t>Estimate based on avg y-o-y decline between 2010 and 2013 of 2.54%</t>
        </r>
      </text>
    </comment>
    <comment ref="M4" authorId="0" shapeId="0" xr:uid="{1505B859-12F0-C049-9367-0620546A4726}">
      <text>
        <r>
          <rPr>
            <b/>
            <sz val="10"/>
            <color rgb="FF000000"/>
            <rFont val="Calibri"/>
            <family val="2"/>
          </rPr>
          <t>Dwayne Winseck:</t>
        </r>
        <r>
          <rPr>
            <sz val="10"/>
            <color rgb="FF000000"/>
            <rFont val="Calibri"/>
            <family val="2"/>
          </rPr>
          <t xml:space="preserve">
</t>
        </r>
        <r>
          <rPr>
            <sz val="10"/>
            <color rgb="FF000000"/>
            <rFont val="Calibri"/>
            <family val="2"/>
          </rPr>
          <t>NMC (2017). Newspaper Circulation Revenue Trending 2016</t>
        </r>
      </text>
    </comment>
    <comment ref="N4" authorId="0" shapeId="0" xr:uid="{56553D2A-CB8F-C540-BB29-483BE606C486}">
      <text>
        <r>
          <rPr>
            <b/>
            <sz val="10"/>
            <color rgb="FF000000"/>
            <rFont val="Calibri"/>
            <family val="2"/>
          </rPr>
          <t>Dwayne Winseck:</t>
        </r>
        <r>
          <rPr>
            <sz val="10"/>
            <color rgb="FF000000"/>
            <rFont val="Calibri"/>
            <family val="2"/>
          </rPr>
          <t xml:space="preserve">
</t>
        </r>
        <r>
          <rPr>
            <sz val="10"/>
            <color rgb="FF000000"/>
            <rFont val="Calibri"/>
            <family val="2"/>
          </rPr>
          <t>NMC (2017). Newspaper Circulation Revenue Trending 2016</t>
        </r>
      </text>
    </comment>
    <comment ref="O4" authorId="2" shapeId="0" xr:uid="{DF811469-1E01-504C-96D5-9E635FD907D1}">
      <text>
        <r>
          <rPr>
            <b/>
            <sz val="10"/>
            <color rgb="FF000000"/>
            <rFont val="Tahoma"/>
            <family val="2"/>
          </rPr>
          <t>Pheasant:</t>
        </r>
        <r>
          <rPr>
            <sz val="10"/>
            <color rgb="FF000000"/>
            <rFont val="Tahoma"/>
            <family val="2"/>
          </rPr>
          <t xml:space="preserve">
</t>
        </r>
        <r>
          <rPr>
            <sz val="10"/>
            <color rgb="FF000000"/>
            <rFont val="Arial"/>
            <family val="2"/>
          </rPr>
          <t xml:space="preserve">News Media Canada (2018). Newspaper Net Advertising Revenue 2017.
</t>
        </r>
      </text>
    </comment>
    <comment ref="P4" authorId="1" shapeId="0" xr:uid="{8030DC2C-AF1F-BE41-821B-2B2F29A32978}">
      <text>
        <r>
          <rPr>
            <b/>
            <sz val="10"/>
            <color rgb="FF000000"/>
            <rFont val="Tahoma"/>
            <family val="2"/>
          </rPr>
          <t>DD:</t>
        </r>
        <r>
          <rPr>
            <sz val="10"/>
            <color rgb="FF000000"/>
            <rFont val="Tahoma"/>
            <family val="2"/>
          </rPr>
          <t xml:space="preserve">
</t>
        </r>
        <r>
          <rPr>
            <sz val="10"/>
            <color rgb="FF000000"/>
            <rFont val="Arial"/>
            <family val="2"/>
          </rPr>
          <t xml:space="preserve">News Media Canada (2019). Newspaper Net Advertising Revenue 2018.
</t>
        </r>
      </text>
    </comment>
    <comment ref="Q4" authorId="1" shapeId="0" xr:uid="{27EA213C-644D-CB43-B6FE-C5A091DC5EC3}">
      <text>
        <r>
          <rPr>
            <b/>
            <sz val="10"/>
            <color rgb="FF000000"/>
            <rFont val="Tahoma"/>
            <family val="2"/>
          </rPr>
          <t>DD:</t>
        </r>
        <r>
          <rPr>
            <sz val="10"/>
            <color rgb="FF000000"/>
            <rFont val="Tahoma"/>
            <family val="2"/>
          </rPr>
          <t xml:space="preserve">
</t>
        </r>
        <r>
          <rPr>
            <sz val="10"/>
            <color rgb="FF000000"/>
            <rFont val="Arial"/>
            <family val="2"/>
          </rPr>
          <t xml:space="preserve">News Media Canada (2020). Newspaper Net Advertising Revenue 2019.
</t>
        </r>
      </text>
    </comment>
    <comment ref="R4" authorId="1" shapeId="0" xr:uid="{6BE1D53B-F02B-A747-BB96-04C452A83ED5}">
      <text>
        <r>
          <rPr>
            <b/>
            <sz val="10"/>
            <color rgb="FF000000"/>
            <rFont val="Tahoma"/>
            <family val="2"/>
          </rPr>
          <t>DD:</t>
        </r>
        <r>
          <rPr>
            <sz val="10"/>
            <color rgb="FF000000"/>
            <rFont val="Tahoma"/>
            <family val="2"/>
          </rPr>
          <t xml:space="preserve">
</t>
        </r>
        <r>
          <rPr>
            <sz val="10"/>
            <color rgb="FF000000"/>
            <rFont val="Arial"/>
            <family val="2"/>
          </rPr>
          <t xml:space="preserve">Stats Can (2021). Table 21-10-0193-01 (formerly361-0083) https://www150.statcan.gc.ca/t1/tbl1/en/tv.action?pid=2110019301
</t>
        </r>
      </text>
    </comment>
    <comment ref="S4" authorId="1" shapeId="0" xr:uid="{A2322F8F-5467-CD4C-BB63-3C49C6D12D78}">
      <text>
        <r>
          <rPr>
            <b/>
            <sz val="10"/>
            <color rgb="FF000000"/>
            <rFont val="Tahoma"/>
            <family val="2"/>
          </rPr>
          <t>DD:</t>
        </r>
        <r>
          <rPr>
            <sz val="10"/>
            <color rgb="FF000000"/>
            <rFont val="Tahoma"/>
            <family val="2"/>
          </rPr>
          <t xml:space="preserve">
</t>
        </r>
        <r>
          <rPr>
            <sz val="10"/>
            <color rgb="FF000000"/>
            <rFont val="Arial"/>
            <family val="2"/>
          </rPr>
          <t>Estimate based on y-o-y growth of  -1.9% based on News Media Canada's .Net Adverising Volume.</t>
        </r>
      </text>
    </comment>
    <comment ref="T4" authorId="1" shapeId="0" xr:uid="{7DF020D3-6FD1-D040-B8E1-889EFA752377}">
      <text>
        <r>
          <rPr>
            <sz val="10"/>
            <color rgb="FF000000"/>
            <rFont val="Tahoma"/>
            <family val="2"/>
          </rPr>
          <t>Estimate based on y-o-y decline of circulation revenue for Postmedia &amp; FP Newspapers (known data) and estimate for Globe &amp; Mail of 4.11%.</t>
        </r>
      </text>
    </comment>
    <comment ref="O5" authorId="2" shapeId="0" xr:uid="{FACD323C-856B-4E46-816E-E68B15DF1250}">
      <text>
        <r>
          <rPr>
            <b/>
            <sz val="10"/>
            <color rgb="FF000000"/>
            <rFont val="Tahoma"/>
            <family val="2"/>
          </rPr>
          <t>Pheasant:</t>
        </r>
        <r>
          <rPr>
            <sz val="10"/>
            <color rgb="FF000000"/>
            <rFont val="Tahoma"/>
            <family val="2"/>
          </rPr>
          <t xml:space="preserve">
</t>
        </r>
        <r>
          <rPr>
            <sz val="10"/>
            <color rgb="FF000000"/>
            <rFont val="Arial"/>
            <family val="2"/>
          </rPr>
          <t xml:space="preserve">News Media Canada (2018). Newspaper Net Advertising Revenue 2017.
</t>
        </r>
      </text>
    </comment>
    <comment ref="P5" authorId="1" shapeId="0" xr:uid="{8A1C72D0-1374-A640-B745-6453248573A6}">
      <text>
        <r>
          <rPr>
            <b/>
            <sz val="10"/>
            <color rgb="FF000000"/>
            <rFont val="Tahoma"/>
            <family val="2"/>
          </rPr>
          <t>DD:</t>
        </r>
        <r>
          <rPr>
            <sz val="10"/>
            <color rgb="FF000000"/>
            <rFont val="Tahoma"/>
            <family val="2"/>
          </rPr>
          <t xml:space="preserve">
</t>
        </r>
        <r>
          <rPr>
            <sz val="10"/>
            <color rgb="FF000000"/>
            <rFont val="Arial"/>
            <family val="2"/>
          </rPr>
          <t xml:space="preserve">News Media Canada (2019). Newspaper Net Advertising Revenue 2018.
</t>
        </r>
      </text>
    </comment>
    <comment ref="G6" authorId="0" shapeId="0" xr:uid="{E2DE957C-8918-F24E-9951-05C18172DDE7}">
      <text>
        <r>
          <rPr>
            <sz val="9"/>
            <color rgb="FF000000"/>
            <rFont val="Arial"/>
            <family val="2"/>
          </rPr>
          <t>Newspapers Canada (2014). Revenue Report: Daily Newspapers, p. 6.</t>
        </r>
      </text>
    </comment>
    <comment ref="H6" authorId="0" shapeId="0" xr:uid="{C843FEB5-AA58-8842-A22E-0D3495E79D80}">
      <text>
        <r>
          <rPr>
            <sz val="9"/>
            <color rgb="FF000000"/>
            <rFont val="Arial"/>
            <family val="2"/>
          </rPr>
          <t>Newspapers Canada (2014). Revenue Report: Daily Newspapers, p. 6.</t>
        </r>
      </text>
    </comment>
    <comment ref="I6" authorId="0" shapeId="0" xr:uid="{F04EAD83-2D3D-4243-B5BA-503C0FD8F209}">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J6" authorId="0" shapeId="0" xr:uid="{97B7AC79-18FD-844F-882A-F981DF2E119B}">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K6" authorId="0" shapeId="0" xr:uid="{D7DF174C-81D9-C240-903B-9232EB9CC0F8}">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L6" authorId="0" shapeId="0" xr:uid="{D3A5B89D-CB49-4940-BA66-9224A5563F90}">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M6" authorId="0" shapeId="0" xr:uid="{DBE3DF0D-6C46-BB41-923A-DD2A03872449}">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N6" authorId="0" shapeId="0" xr:uid="{6DE3874E-60BB-FE40-9114-7042D5CA3CF7}">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O6" authorId="2" shapeId="0" xr:uid="{B8E91A84-7DC9-4C4C-B732-3E300378CDCC}">
      <text>
        <r>
          <rPr>
            <b/>
            <sz val="10"/>
            <color rgb="FF000000"/>
            <rFont val="Tahoma"/>
            <family val="2"/>
          </rPr>
          <t>Pheasant:</t>
        </r>
        <r>
          <rPr>
            <sz val="10"/>
            <color rgb="FF000000"/>
            <rFont val="Tahoma"/>
            <family val="2"/>
          </rPr>
          <t xml:space="preserve">
</t>
        </r>
        <r>
          <rPr>
            <sz val="10"/>
            <color rgb="FF000000"/>
            <rFont val="Arial"/>
            <family val="2"/>
          </rPr>
          <t xml:space="preserve">News Media Canada (2018). Newspaper Net Advertising Revenue 2017.
</t>
        </r>
      </text>
    </comment>
    <comment ref="P6" authorId="1" shapeId="0" xr:uid="{AD4BFE35-4D52-E545-B7F3-C5C6B11DA6FC}">
      <text>
        <r>
          <rPr>
            <b/>
            <sz val="10"/>
            <color rgb="FF000000"/>
            <rFont val="Tahoma"/>
            <family val="2"/>
          </rPr>
          <t>DD:</t>
        </r>
        <r>
          <rPr>
            <sz val="10"/>
            <color rgb="FF000000"/>
            <rFont val="Tahoma"/>
            <family val="2"/>
          </rPr>
          <t xml:space="preserve">
</t>
        </r>
        <r>
          <rPr>
            <sz val="10"/>
            <color rgb="FF000000"/>
            <rFont val="Arial"/>
            <family val="2"/>
          </rPr>
          <t xml:space="preserve">News Media Canada (2019). Newspaper Net Advertising Revenue 2018.
</t>
        </r>
      </text>
    </comment>
    <comment ref="Q6" authorId="1" shapeId="0" xr:uid="{887426AB-F9D2-7840-B57B-12D02723D0C4}">
      <text>
        <r>
          <rPr>
            <b/>
            <sz val="10"/>
            <color rgb="FF000000"/>
            <rFont val="Tahoma"/>
            <family val="2"/>
          </rPr>
          <t>DD:</t>
        </r>
        <r>
          <rPr>
            <sz val="10"/>
            <color rgb="FF000000"/>
            <rFont val="Tahoma"/>
            <family val="2"/>
          </rPr>
          <t xml:space="preserve">
</t>
        </r>
        <r>
          <rPr>
            <sz val="10"/>
            <color rgb="FF000000"/>
            <rFont val="Arial"/>
            <family val="2"/>
          </rPr>
          <t xml:space="preserve">News Media Canada (2020). Newspaper Net Advertising Revenue 2019.
</t>
        </r>
      </text>
    </comment>
    <comment ref="R6" authorId="1" shapeId="0" xr:uid="{CF0A264F-B2C5-1F49-8290-F732EDAF939D}">
      <text>
        <r>
          <rPr>
            <b/>
            <sz val="10"/>
            <color rgb="FF000000"/>
            <rFont val="Tahoma"/>
            <family val="2"/>
          </rPr>
          <t>DD:</t>
        </r>
        <r>
          <rPr>
            <sz val="10"/>
            <color rgb="FF000000"/>
            <rFont val="Tahoma"/>
            <family val="2"/>
          </rPr>
          <t xml:space="preserve">
</t>
        </r>
        <r>
          <rPr>
            <sz val="10"/>
            <color rgb="FF000000"/>
            <rFont val="Arial"/>
            <family val="2"/>
          </rPr>
          <t>ThinkTV (October 2020). Net Advertising Volumes Report. https://thinktv.ca/wp-content/uploads/2018/05/2020-Net-Ad-Volume-new-IAB-format-Newspaper-Revenue_Jan27_2022-StatsCan-Update.pdf</t>
        </r>
      </text>
    </comment>
    <comment ref="S6" authorId="1" shapeId="0" xr:uid="{177D3AEA-49D5-F84A-B512-AB57EBFF334A}">
      <text>
        <r>
          <rPr>
            <sz val="12"/>
            <color rgb="FF000000"/>
            <rFont val="+mn-lt"/>
            <charset val="1"/>
          </rPr>
          <t xml:space="preserve">News Media Canada (2022). </t>
        </r>
        <r>
          <rPr>
            <i/>
            <sz val="12"/>
            <color rgb="FF000000"/>
            <rFont val="+mn-lt"/>
            <charset val="1"/>
          </rPr>
          <t>Newspaper Net Advertising Revenue 2021</t>
        </r>
        <r>
          <rPr>
            <sz val="12"/>
            <color rgb="FF000000"/>
            <rFont val="+mn-lt"/>
            <charset val="1"/>
          </rPr>
          <t xml:space="preserve">.
</t>
        </r>
      </text>
    </comment>
    <comment ref="A7" authorId="1" shapeId="0" xr:uid="{816B52CB-C425-9C42-8E1A-21B78E7A0AED}">
      <text>
        <r>
          <rPr>
            <b/>
            <sz val="10"/>
            <color rgb="FF000000"/>
            <rFont val="Tahoma"/>
            <family val="2"/>
          </rPr>
          <t>DD:</t>
        </r>
        <r>
          <rPr>
            <sz val="10"/>
            <color rgb="FF000000"/>
            <rFont val="Tahoma"/>
            <family val="2"/>
          </rPr>
          <t xml:space="preserve">
</t>
        </r>
        <r>
          <rPr>
            <sz val="10"/>
            <color rgb="FF000000"/>
            <rFont val="Tahoma"/>
            <family val="2"/>
          </rPr>
          <t>Includes funding from the Supporting Canadian Journalism program of $595 million announced in the 2019 budget (</t>
        </r>
        <r>
          <rPr>
            <sz val="10"/>
            <color rgb="FF000000"/>
            <rFont val="Arial"/>
            <family val="2"/>
          </rPr>
          <t xml:space="preserve">https://www.budget.gc.ca/2019/docs/tm-mf/si-is-en.html) </t>
        </r>
        <r>
          <rPr>
            <sz val="10"/>
            <color rgb="FF000000"/>
            <rFont val="Tahoma"/>
            <family val="2"/>
          </rPr>
          <t xml:space="preserve">and disttributed over 5 years according to figures noted in this table https://www.budget.gc.ca/2019/docs/plan/chap-04-en.html </t>
        </r>
      </text>
    </comment>
    <comment ref="A8" authorId="1" shapeId="0" xr:uid="{38121F0D-3E80-CB43-80F4-4C68BA8B8753}">
      <text>
        <r>
          <rPr>
            <sz val="10"/>
            <color rgb="FF000000"/>
            <rFont val="Tahoma"/>
            <family val="2"/>
          </rPr>
          <t>"I</t>
        </r>
        <r>
          <rPr>
            <sz val="10"/>
            <color rgb="FF000000"/>
            <rFont val="Arial"/>
            <family val="2"/>
          </rPr>
          <t xml:space="preserve">n 2019, the Local Journalism Initiative was launched as a five-year commitment with a budget of $50 million to ensure trusted, local perspectives are available and to encourage local community engagement. The Recovery Fund for Arts, Culture, Heritage and Sport Sectors increased the initial funding support to $60 million over five years. The Budget 2022 funding commitments are further strengthening this support to a total of $70 million over five years." The program runs until 2023-2024. The $20 million added in 2021 and the 2022 budget to the original LJI funding was split evenly across 3 years, as shown in this table.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A5" authorId="0" shapeId="0" xr:uid="{23B31FF2-B209-F442-B9D4-8E53512BA706}">
      <text>
        <r>
          <rPr>
            <sz val="10"/>
            <color rgb="FF000000"/>
            <rFont val="Tahoma"/>
            <family val="2"/>
          </rPr>
          <t xml:space="preserve">Excludes video sharing platforms based on UGC, eg. YouTube, Twitch, etc.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E6" authorId="0" shapeId="0" xr:uid="{BC876F0D-9068-FC4D-9ADE-449E2010F70E}">
      <text>
        <r>
          <rPr>
            <u/>
            <sz val="10"/>
            <color rgb="FF000000"/>
            <rFont val="Aptos"/>
            <family val="34"/>
          </rPr>
          <t>https://www.crn.com/news/cloud/aws-microsoft-google-s-cloud-market-share-q1-2023?page=3</t>
        </r>
        <r>
          <rPr>
            <sz val="10"/>
            <color rgb="FF000000"/>
            <rFont val="Aptos"/>
            <family val="34"/>
          </rPr>
          <t xml:space="preserve">
</t>
        </r>
        <r>
          <rPr>
            <u/>
            <sz val="10"/>
            <color rgb="FF000000"/>
            <rFont val="Aptos"/>
            <family val="34"/>
          </rPr>
          <t>https://www.crn.com/news/cloud/cloud-market-share-q2-2023-aws-microsoft-google-battle?page=5</t>
        </r>
        <r>
          <rPr>
            <sz val="10"/>
            <color rgb="FF000000"/>
            <rFont val="Aptos"/>
            <family val="34"/>
          </rPr>
          <t xml:space="preserve">
</t>
        </r>
        <r>
          <rPr>
            <u/>
            <sz val="10"/>
            <color rgb="FF000000"/>
            <rFont val="Aptos"/>
            <family val="34"/>
          </rPr>
          <t>https://www.crn.com/news/cloud/microsoft-aws-google-cloud-market-share-q3-2023-results?page=5</t>
        </r>
        <r>
          <rPr>
            <sz val="10"/>
            <color rgb="FF000000"/>
            <rFont val="Aptos"/>
            <family val="34"/>
          </rPr>
          <t xml:space="preserve">
</t>
        </r>
        <r>
          <rPr>
            <u/>
            <sz val="10"/>
            <color rgb="FF000000"/>
            <rFont val="Aptos"/>
            <family val="34"/>
          </rPr>
          <t>https://www.crn.com/news/cloud/2024/cloud-market-share-q4-2023-results-aws-falls-as-microsoft-grows?page=5</t>
        </r>
        <r>
          <rPr>
            <sz val="10"/>
            <color rgb="FF000000"/>
            <rFont val="Aptos"/>
            <family val="34"/>
          </rPr>
          <t xml:space="preserve">
</t>
        </r>
        <r>
          <rPr>
            <sz val="10"/>
            <color rgb="FF000000"/>
            <rFont val="Aptos"/>
            <family val="34"/>
          </rPr>
          <t xml:space="preserve">(there are 4 citations, one for each quarter)
</t>
        </r>
        <r>
          <rPr>
            <sz val="10"/>
            <color rgb="FF000000"/>
            <rFont val="Aptos"/>
            <family val="34"/>
          </rPr>
          <t>50.87% of revenue from the US per annual report </t>
        </r>
        <r>
          <rPr>
            <u/>
            <sz val="10"/>
            <color rgb="FF000000"/>
            <rFont val="Aptos"/>
            <family val="34"/>
          </rPr>
          <t>https://www.microsoft.com/investor/reports/ar24/index.html</t>
        </r>
        <r>
          <rPr>
            <sz val="10"/>
            <color rgb="FF000000"/>
            <rFont val="Aptos"/>
            <family val="34"/>
          </rPr>
          <t xml:space="preserve">
</t>
        </r>
      </text>
    </comment>
    <comment ref="E7" authorId="0" shapeId="0" xr:uid="{41D4FA2C-CD0B-FE4C-864D-C3CB2C3D3AA9}">
      <text>
        <r>
          <rPr>
            <u/>
            <sz val="10"/>
            <color rgb="FF000000"/>
            <rFont val="Aptos"/>
            <family val="34"/>
          </rPr>
          <t>https://www.crn.com/news/cloud/aws-microsoft-google-s-cloud-market-share-q1-2023?page=4</t>
        </r>
        <r>
          <rPr>
            <sz val="10"/>
            <color rgb="FF000000"/>
            <rFont val="Aptos"/>
            <family val="34"/>
          </rPr>
          <t xml:space="preserve">
</t>
        </r>
        <r>
          <rPr>
            <u/>
            <sz val="10"/>
            <color rgb="FF000000"/>
            <rFont val="Aptos"/>
            <family val="34"/>
          </rPr>
          <t>https://www.crn.com/news/cloud/cloud-market-share-q2-2023-aws-microsoft-google-battle?page=6</t>
        </r>
        <r>
          <rPr>
            <sz val="10"/>
            <color rgb="FF000000"/>
            <rFont val="Aptos"/>
            <family val="34"/>
          </rPr>
          <t xml:space="preserve">
</t>
        </r>
        <r>
          <rPr>
            <u/>
            <sz val="10"/>
            <color rgb="FF000000"/>
            <rFont val="Aptos"/>
            <family val="34"/>
          </rPr>
          <t>https://www.crn.com/news/cloud/microsoft-aws-google-cloud-market-share-q3-2023-results?page=6</t>
        </r>
        <r>
          <rPr>
            <sz val="10"/>
            <color rgb="FF000000"/>
            <rFont val="Aptos"/>
            <family val="34"/>
          </rPr>
          <t xml:space="preserve">
</t>
        </r>
        <r>
          <rPr>
            <u/>
            <sz val="10"/>
            <color rgb="FF000000"/>
            <rFont val="Aptos"/>
            <family val="34"/>
          </rPr>
          <t>https://www.crn.com/news/cloud/2024/cloud-market-share-q4-2023-results-aws-falls-as-microsoft-grows?page=6</t>
        </r>
        <r>
          <rPr>
            <sz val="10"/>
            <color rgb="FF000000"/>
            <rFont val="Aptos"/>
            <family val="34"/>
          </rPr>
          <t xml:space="preserve">
</t>
        </r>
        <r>
          <rPr>
            <sz val="10"/>
            <color rgb="FF000000"/>
            <rFont val="Aptos"/>
            <family val="34"/>
          </rPr>
          <t xml:space="preserve">(there are 4 citations, one for each quarter)
</t>
        </r>
        <r>
          <rPr>
            <sz val="10"/>
            <color rgb="FF000000"/>
            <rFont val="Aptos"/>
            <family val="34"/>
          </rPr>
          <t xml:space="preserve"> 
</t>
        </r>
        <r>
          <rPr>
            <sz val="10"/>
            <color rgb="FF000000"/>
            <rFont val="Aptos"/>
            <family val="34"/>
          </rPr>
          <t>68.8% of revenue comes from US per annual report page 69 </t>
        </r>
        <r>
          <rPr>
            <u/>
            <sz val="10"/>
            <color rgb="FF000000"/>
            <rFont val="Aptos"/>
            <family val="34"/>
          </rPr>
          <t>https://s2.q4cdn.com/299287126/files/doc_financials/2024/ar/Amazon-com-Inc-2023-Annual-Report.pdf</t>
        </r>
        <r>
          <rPr>
            <sz val="10"/>
            <color rgb="FF000000"/>
            <rFont val="Aptos"/>
            <family val="34"/>
          </rPr>
          <t xml:space="preserve">
</t>
        </r>
      </text>
    </comment>
    <comment ref="E9" authorId="0" shapeId="0" xr:uid="{61EBC882-3D3D-1D4E-94A3-01EEAAA13380}">
      <text>
        <r>
          <rPr>
            <u/>
            <sz val="10"/>
            <color rgb="FF000000"/>
            <rFont val="Aptos"/>
            <family val="34"/>
          </rPr>
          <t>https://www.crn.com/news/cloud/aws-microsoft-google-s-cloud-market-share-q1-2023?page=3</t>
        </r>
        <r>
          <rPr>
            <sz val="10"/>
            <color rgb="FF000000"/>
            <rFont val="Aptos"/>
            <family val="34"/>
          </rPr>
          <t xml:space="preserve">
</t>
        </r>
        <r>
          <rPr>
            <u/>
            <sz val="10"/>
            <color rgb="FF000000"/>
            <rFont val="Aptos"/>
            <family val="34"/>
          </rPr>
          <t>https://www.crn.com/news/cloud/cloud-market-share-q2-2023-aws-microsoft-google-battle?page=5</t>
        </r>
        <r>
          <rPr>
            <sz val="10"/>
            <color rgb="FF000000"/>
            <rFont val="Aptos"/>
            <family val="34"/>
          </rPr>
          <t xml:space="preserve">
</t>
        </r>
        <r>
          <rPr>
            <u/>
            <sz val="10"/>
            <color rgb="FF000000"/>
            <rFont val="Aptos"/>
            <family val="34"/>
          </rPr>
          <t>https://www.crn.com/news/cloud/microsoft-aws-google-cloud-market-share-q3-2023-results?page=5</t>
        </r>
        <r>
          <rPr>
            <sz val="10"/>
            <color rgb="FF000000"/>
            <rFont val="Aptos"/>
            <family val="34"/>
          </rPr>
          <t xml:space="preserve">
</t>
        </r>
        <r>
          <rPr>
            <u/>
            <sz val="10"/>
            <color rgb="FF000000"/>
            <rFont val="Aptos"/>
            <family val="34"/>
          </rPr>
          <t>https://www.crn.com/news/cloud/2024/cloud-market-share-q4-2023-results-aws-falls-as-microsoft-grows?page=5</t>
        </r>
        <r>
          <rPr>
            <sz val="10"/>
            <color rgb="FF000000"/>
            <rFont val="Aptos"/>
            <family val="34"/>
          </rPr>
          <t xml:space="preserve">
</t>
        </r>
        <r>
          <rPr>
            <sz val="10"/>
            <color rgb="FF000000"/>
            <rFont val="Aptos"/>
            <family val="34"/>
          </rPr>
          <t xml:space="preserve">(there are 4 citations, one for each quarter)
</t>
        </r>
        <r>
          <rPr>
            <sz val="10"/>
            <color rgb="FF000000"/>
            <rFont val="Aptos"/>
            <family val="34"/>
          </rPr>
          <t>50.87% of revenue from the US per annual report </t>
        </r>
        <r>
          <rPr>
            <u/>
            <sz val="10"/>
            <color rgb="FF000000"/>
            <rFont val="Aptos"/>
            <family val="34"/>
          </rPr>
          <t>https://www.microsoft.com/investor/reports/ar24/index.html</t>
        </r>
        <r>
          <rPr>
            <sz val="10"/>
            <color rgb="FF000000"/>
            <rFont val="Aptos"/>
            <family val="34"/>
          </rPr>
          <t xml:space="preserve">
</t>
        </r>
      </text>
    </comment>
    <comment ref="E13" authorId="0" shapeId="0" xr:uid="{34AEA80B-AF72-2544-A201-4F5E13596669}">
      <text>
        <r>
          <rPr>
            <sz val="10"/>
            <color rgb="FF000000"/>
            <rFont val="Aptos"/>
            <family val="34"/>
          </rPr>
          <t xml:space="preserve">iOS accounts for 60.5% of the mobile operating system market in Canada (Statcounter). Mobile broadband penetration rate in Canada for 2023 was 93.5% (CRTC). Assuming that iPhone users are also Mac users, and that half of them subscribe to iCloud's standard 200GB storage plan @ $2.99 per month and that there were 15.36 million households in Canada last year (so 7.22 million iCloud subscribers, yields the results here. https://support.apple.com/en-ca/108047
</t>
        </r>
        <r>
          <rPr>
            <sz val="10"/>
            <color rgb="FF000000"/>
            <rFont val="Aptos"/>
            <family val="34"/>
          </rPr>
          <t xml:space="preserve">
</t>
        </r>
        <r>
          <rPr>
            <sz val="10"/>
            <color rgb="FF000000"/>
            <rFont val="Aptos"/>
            <family val="34"/>
          </rPr>
          <t>https://gs.statcounter.com/os-market-share/mobile/canada#yearly-2022-2024</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<sst xmlns="http://schemas.openxmlformats.org/spreadsheetml/2006/main" count="1853" uniqueCount="906">
  <si>
    <t>Table of Contents</t>
  </si>
  <si>
    <t>Figure 1: The Network Media Economy in Canada--What the GMIC Project Covers</t>
  </si>
  <si>
    <t>Figure 4: Household Spending on Communications and Media Services and ICTs, 1982-2023</t>
  </si>
  <si>
    <t>Traditional Music (physical sales)</t>
  </si>
  <si>
    <t>Household Spending--Communication services</t>
  </si>
  <si>
    <t>App Stores</t>
  </si>
  <si>
    <t>Games (console, PC and mobile)</t>
  </si>
  <si>
    <t>Online Music (paid subscriptions and ad-funded streaming services)</t>
  </si>
  <si>
    <t>Traditional Music (publishing, live concerts)</t>
  </si>
  <si>
    <t>Total Advertising Spending</t>
  </si>
  <si>
    <t>Magazines</t>
  </si>
  <si>
    <t>Household Spending--Home Media Equipment &amp; ICT Devices</t>
  </si>
  <si>
    <t>Internet Advertising</t>
  </si>
  <si>
    <t>Online Music (transactional/download)</t>
  </si>
  <si>
    <t>Household Spending--Media Content &amp; Live Entertainment</t>
  </si>
  <si>
    <t>Paid Radio (SiriusXM, Stingray)</t>
  </si>
  <si>
    <t>Radio (ad-funded)</t>
  </si>
  <si>
    <t>Newspapers</t>
  </si>
  <si>
    <t>Total TV</t>
  </si>
  <si>
    <t>Pay &amp; Specialty TV</t>
  </si>
  <si>
    <t>Radio (public service)</t>
  </si>
  <si>
    <t>Online Video (SVO and AVOD)</t>
  </si>
  <si>
    <t>Broadcast TV (ad-funded)</t>
  </si>
  <si>
    <t>Broadcast TV (public service)</t>
  </si>
  <si>
    <t>Internet Service Providers</t>
  </si>
  <si>
    <t>BDU: DTH Satellite</t>
  </si>
  <si>
    <t>BDU: IPTV</t>
  </si>
  <si>
    <t>Mobile Wireless</t>
  </si>
  <si>
    <t>BDU: Cable</t>
  </si>
  <si>
    <t>Wireline Telecoms (plain old telephone service)</t>
  </si>
  <si>
    <t>Wireline Telecoms (overall)</t>
  </si>
  <si>
    <t>Decline</t>
  </si>
  <si>
    <t>Stagnation/Stable</t>
  </si>
  <si>
    <t>Growth</t>
  </si>
  <si>
    <t>Total Network Media Economy ($ millions)</t>
  </si>
  <si>
    <t>Online Media</t>
  </si>
  <si>
    <t>Traditional Media</t>
  </si>
  <si>
    <t>Telecoms + Internet access services</t>
  </si>
  <si>
    <t xml:space="preserve">Total </t>
  </si>
  <si>
    <t>Total</t>
  </si>
  <si>
    <t>Media Content and Live Entertainment Avg $/HH</t>
  </si>
  <si>
    <t>Home Media &amp; ICTs (including Computers) Avg $/HH</t>
  </si>
  <si>
    <t>Communications Avg $/HH</t>
  </si>
  <si>
    <r>
      <rPr>
        <b/>
        <sz val="12"/>
        <color theme="1"/>
        <rFont val="Times New Roman"/>
        <family val="1"/>
      </rPr>
      <t>Sources</t>
    </r>
    <r>
      <rPr>
        <sz val="12"/>
        <color theme="1"/>
        <rFont val="Times New Roman"/>
        <family val="1"/>
      </rPr>
      <t>: Statistics Canada (1982). Table 78A97 Detailed Aggregate Expenditure by Province; Statistics Canada (1986) Table 48A91: Detailed Average Expenditure by Family Income Quintile Groups; Statistics Canada (1992). Table 02A91 Detailed Average Expenditure by Household Income Quintile Groups, 1992; Statistics Canada (1996). Detailed Expenditures Full Year Only, Provinces and Territories, 1996; Statistics Canada (2001). Survey of Household Spending in 2000;  Statistics Canada (2006). Survey of Household Spending in 2005; Statistics Canada (2009). Survey of Household Spending in 2009 - Enquête sur les dépenses des ménages en 2009; Statistics Canada. Table 203-0004 - Survey of household spending (SHS), household spending on household operation, by province and territory, annual; Statistics Canada Table 203-0021 Survey of household spending (SHS), dwelling characteristics and household equipment at time of interview, Canada, regions and provinces, annual (number), 2010 to 2016; Statistics Canada (2017). Table 203-0021 Survey of household spending (SHS), household spending, Canada, regions and provinces. Statistics Canada (2017). Custom Table C1012953 Income Statistics Division, Canadian Income Survey; Statistics Canada (February 29, 2024). Detailed household final consumption expenditure, Canada, quarterly (x 1,000,000). Table: 36-10-0124-01 (formerly CANSIM 380-0085)</t>
    </r>
  </si>
  <si>
    <r>
      <rPr>
        <b/>
        <sz val="12"/>
        <color theme="1"/>
        <rFont val="Times New Roman"/>
        <family val="1"/>
      </rPr>
      <t>Note</t>
    </r>
    <r>
      <rPr>
        <sz val="12"/>
        <color theme="1"/>
        <rFont val="Times New Roman"/>
        <family val="1"/>
      </rPr>
      <t xml:space="preserve">: V2 (Revised) of this table modifies Statistics Canada Household Expenditure categories in three ways: first, it takes the purchase of telephone equipment out of the "Communications" category and puts it in the Home Entertainment Category. The goal is to give a "purer" conception of communication services. Second, it takes computer equipment out of "recreational services" and puts it in the Home Entertainment Equipment category to capture its emergence as a significant part of people's home communications and entertainment equipment/devices. Third, it takes the rental of "video recordings" out of the Home Entertainment Equipment category and puts it in the Media Content and Live Entertainment category to get a "purer" division between "devices" in the former and "content" in the latter. This latter category includes: Video and audio subscription services, movie theatres, live sports events, live performing arts, admissions to museums and other activities, pre-recorded audio and video cassettes, CDs, DVD and video games, reading materials and other printed matter. </t>
    </r>
  </si>
  <si>
    <t>Internet Access  Avg %/HH Spending</t>
  </si>
  <si>
    <t>Cell phone  Avg %/HH Spending</t>
  </si>
  <si>
    <t>Telecoms Services %/HH Spending</t>
  </si>
  <si>
    <t>Internet Access ARPU/mo (HH)</t>
  </si>
  <si>
    <t>Internet Access Avg $/HH</t>
  </si>
  <si>
    <t>Mobile Wireless ARPU/mo (HH)</t>
  </si>
  <si>
    <t>Cell phone Avg $/HH</t>
  </si>
  <si>
    <t>Telecoms Services HH/Annum</t>
  </si>
  <si>
    <t xml:space="preserve">Media Content and Live Entertainment </t>
  </si>
  <si>
    <t xml:space="preserve">Home Media &amp; ICTs </t>
  </si>
  <si>
    <t xml:space="preserve">Communications  </t>
  </si>
  <si>
    <t>Avg HH Income Before Tax</t>
  </si>
  <si>
    <t>Number of Households in the Sample</t>
  </si>
  <si>
    <t>Estimated Number of Households</t>
  </si>
  <si>
    <t>Private Radio Advertising</t>
  </si>
  <si>
    <t>Periodicals</t>
  </si>
  <si>
    <t>Telephone</t>
  </si>
  <si>
    <t xml:space="preserve">Total revenue </t>
  </si>
  <si>
    <t>Grand Total</t>
  </si>
  <si>
    <t>App Distribution</t>
  </si>
  <si>
    <t>Digital Music Services</t>
  </si>
  <si>
    <t>Traditional Music Services</t>
  </si>
  <si>
    <t>Broadcast Radio</t>
  </si>
  <si>
    <t>Video Games</t>
  </si>
  <si>
    <t>Online Video Services</t>
  </si>
  <si>
    <t>Pay TV Programming Services</t>
  </si>
  <si>
    <t>Broadcast TV</t>
  </si>
  <si>
    <t>Multichannel Video Distribution (Cable/DBS/IPTV)</t>
  </si>
  <si>
    <t>ISP</t>
  </si>
  <si>
    <t>Wireline</t>
  </si>
  <si>
    <t>Wireless</t>
  </si>
  <si>
    <t>Music Services</t>
  </si>
  <si>
    <t>Gross Domestic Income</t>
  </si>
  <si>
    <t xml:space="preserve">Gross Domestic Income </t>
  </si>
  <si>
    <t>Private Television Advertising</t>
  </si>
  <si>
    <t>Communications / GDI</t>
  </si>
  <si>
    <t>Cable Television</t>
  </si>
  <si>
    <t>CBC Parliamentary Funds + Advertising</t>
  </si>
  <si>
    <t>Recorded + live music</t>
  </si>
  <si>
    <t>• Rogers acquires Comwave (2023)</t>
  </si>
  <si>
    <t>• Rogers acquires Shaw Communications ($26 billion) but spins of Freedom Mobile to Videotron for $2.85 billion (2023)</t>
  </si>
  <si>
    <t xml:space="preserve">• Cogeco acquires Oxios ($100 million) (2022) </t>
  </si>
  <si>
    <t xml:space="preserve">• Telus acquires Start.ca and Altima (price undisclosed) (2022) </t>
  </si>
  <si>
    <t>• Quebecor acquires VMedia (2022)</t>
  </si>
  <si>
    <t>• Bell acquires Distributel ($335 million) and ebox ($139 million) (2022)</t>
  </si>
  <si>
    <t>• NordStar Capital acquires Torstar ($52 million) (2020)</t>
  </si>
  <si>
    <r>
      <t xml:space="preserve">• </t>
    </r>
    <r>
      <rPr>
        <sz val="12"/>
        <color rgb="FF000000"/>
        <rFont val="Times New Roman"/>
        <family val="1"/>
      </rPr>
      <t>Torstar and Postmedia swap ownership and subsequently close the majority of 41 community newspapers</t>
    </r>
    <r>
      <rPr>
        <sz val="12"/>
        <rFont val="Times New Roman"/>
        <family val="1"/>
      </rPr>
      <t xml:space="preserve"> (2017)</t>
    </r>
  </si>
  <si>
    <r>
      <t xml:space="preserve">• </t>
    </r>
    <r>
      <rPr>
        <sz val="12"/>
        <color rgb="FF000000"/>
        <rFont val="Times New Roman"/>
        <family val="1"/>
      </rPr>
      <t>Bell acquires MTS</t>
    </r>
    <r>
      <rPr>
        <sz val="12"/>
        <rFont val="Times New Roman"/>
        <family val="1"/>
      </rPr>
      <t xml:space="preserve"> ($3.1B) (2017)</t>
    </r>
  </si>
  <si>
    <r>
      <t xml:space="preserve">• </t>
    </r>
    <r>
      <rPr>
        <sz val="12"/>
        <color rgb="FF000000"/>
        <rFont val="Times New Roman"/>
        <family val="1"/>
      </rPr>
      <t>Shaw acquires Wind Mobile (rebrands as Freedom Mobile)</t>
    </r>
    <r>
      <rPr>
        <sz val="12"/>
        <rFont val="Times New Roman"/>
        <family val="1"/>
      </rPr>
      <t xml:space="preserve"> ($1.6B) (2016) and spins off Shaw televion assets to Corus to help finance the deal (Corus is under common ownership with Shaw given controlling ownership stake held by Shaw Family Trust)</t>
    </r>
  </si>
  <si>
    <r>
      <t xml:space="preserve">• </t>
    </r>
    <r>
      <rPr>
        <sz val="12"/>
        <color rgb="FF000000"/>
        <rFont val="Times New Roman"/>
        <family val="1"/>
      </rPr>
      <t>Postmedia acquires Quebecor English language Sun newspapers ($360M) (2015)</t>
    </r>
  </si>
  <si>
    <r>
      <t xml:space="preserve">• </t>
    </r>
    <r>
      <rPr>
        <sz val="12"/>
        <color rgb="FF000000"/>
        <rFont val="Times New Roman"/>
        <family val="1"/>
      </rPr>
      <t>Rogers acquires Mobilicity</t>
    </r>
    <r>
      <rPr>
        <sz val="12"/>
        <rFont val="Times New Roman"/>
        <family val="1"/>
      </rPr>
      <t xml:space="preserve"> ($465M) (2015)</t>
    </r>
  </si>
  <si>
    <t>• Telus acquires Public Mobile (2013)</t>
  </si>
  <si>
    <t>• BCE's second bid to acquire Astral Media approved after it agrees to divest several TV services ($3.4B) (2013)</t>
  </si>
  <si>
    <t>• BCE re-acquires CTV ($3.2B) (2011)</t>
  </si>
  <si>
    <t>• Canwest declares bankruptcy, newspapers acquired by Postmedia ($1.1B) and TV assets acquired by Shaw ($2B) (2009-2010)</t>
  </si>
  <si>
    <t>• Canwest acquires Alliance Atlantis ($2.4B) (2007)</t>
  </si>
  <si>
    <t>• Quebecor Acquires Osprey Media ($517M) (2007)</t>
  </si>
  <si>
    <t>• Astral Media buys Standard Broadcasting ($1.1B) (2007)</t>
  </si>
  <si>
    <t>• Rogers acquires City TV ($375M) (2007)</t>
  </si>
  <si>
    <t>• CTVglobemedia acquires CHUM ($1.4B) (2007)</t>
  </si>
  <si>
    <t>• BCE exists media business (2006)</t>
  </si>
  <si>
    <t>• Rogers acquires Microcell ($1.4B) (2004)</t>
  </si>
  <si>
    <t>• Telus, created from the amalgamation of BC Tel, AGT, and Edmonton Tel, acquires Clearnet ($6.6B) (2000)</t>
  </si>
  <si>
    <t>• Shaw acquires catalogue of televison and radio stations from WIC (1998) and Power Broadcasting (1999), then spins them off into Corus (1999). Shaw maintains ownership control of Corus</t>
  </si>
  <si>
    <t>• Canwest buys Global TV ($800M) (1998) and Hollinger newspapers ($3.2B) (2000)</t>
  </si>
  <si>
    <t>• BCE acquires CTV and The Globe and Mail ($2.3B) (2000)</t>
  </si>
  <si>
    <r>
      <t xml:space="preserve">• </t>
    </r>
    <r>
      <rPr>
        <sz val="12"/>
        <color rgb="FF000000"/>
        <rFont val="Times New Roman"/>
        <family val="1"/>
      </rPr>
      <t>Rogers acquires Maclean-Hunter ($2.5B) (1994)</t>
    </r>
  </si>
  <si>
    <t>%</t>
  </si>
  <si>
    <t>BCE</t>
  </si>
  <si>
    <t>BCTel</t>
  </si>
  <si>
    <t>CBC</t>
  </si>
  <si>
    <t>AGT</t>
  </si>
  <si>
    <t xml:space="preserve">Southam </t>
  </si>
  <si>
    <t>SaskTel</t>
  </si>
  <si>
    <t>Maclean-Hunter</t>
  </si>
  <si>
    <t>Torstar</t>
  </si>
  <si>
    <t>Rogers</t>
  </si>
  <si>
    <t>NB Tel</t>
  </si>
  <si>
    <t>Quebecor</t>
  </si>
  <si>
    <t>Baton</t>
  </si>
  <si>
    <t>Power Corp</t>
  </si>
  <si>
    <t>New Tel</t>
  </si>
  <si>
    <t>Telemedia</t>
  </si>
  <si>
    <t>Selkirk</t>
  </si>
  <si>
    <t>CHUM</t>
  </si>
  <si>
    <t>Canwest</t>
  </si>
  <si>
    <t>Slaight</t>
  </si>
  <si>
    <t>Jean Pouliot</t>
  </si>
  <si>
    <t>Black Press</t>
  </si>
  <si>
    <t>Unimedia</t>
  </si>
  <si>
    <t>American Media</t>
  </si>
  <si>
    <t>J. D. Irving</t>
  </si>
  <si>
    <t>Armadale</t>
  </si>
  <si>
    <t>Shaw</t>
  </si>
  <si>
    <t>London Free Press</t>
  </si>
  <si>
    <t>Cogeco</t>
  </si>
  <si>
    <t>Sector Total</t>
  </si>
  <si>
    <t>CR1</t>
  </si>
  <si>
    <t>CR4</t>
  </si>
  <si>
    <t>CR10</t>
  </si>
  <si>
    <t>VI Cos</t>
  </si>
  <si>
    <t>Pooled HHI</t>
  </si>
  <si>
    <t>Weighted HHI</t>
  </si>
  <si>
    <t>TeleMetrole</t>
  </si>
  <si>
    <t>Western Intl Coms</t>
  </si>
  <si>
    <t>Moffat Coms</t>
  </si>
  <si>
    <t>Maritime T&amp;T</t>
  </si>
  <si>
    <t>Manitoba Tel</t>
  </si>
  <si>
    <t>Woodbridge</t>
  </si>
  <si>
    <t>Cable TV</t>
  </si>
  <si>
    <t>Market Share (%)</t>
  </si>
  <si>
    <t>Telus</t>
  </si>
  <si>
    <t>Meta</t>
  </si>
  <si>
    <t>Disney</t>
  </si>
  <si>
    <t>Amazon</t>
  </si>
  <si>
    <t>Microsoft</t>
  </si>
  <si>
    <t>Netflix</t>
  </si>
  <si>
    <t>Apple</t>
  </si>
  <si>
    <t>Dish Network</t>
  </si>
  <si>
    <t>Fox Corporation</t>
  </si>
  <si>
    <t>Sony</t>
  </si>
  <si>
    <t>Live Nation</t>
  </si>
  <si>
    <t>Sirius XM</t>
  </si>
  <si>
    <t>Spotify</t>
  </si>
  <si>
    <t>Activision Blizzard</t>
  </si>
  <si>
    <t>Total $ CDN NME (Millions)</t>
  </si>
  <si>
    <t>Total $ US NME (Millions, CDN$)</t>
  </si>
  <si>
    <t>CR 1 US</t>
  </si>
  <si>
    <t>CR 4 US</t>
  </si>
  <si>
    <t>CR 10 US</t>
  </si>
  <si>
    <t>VI Cos US</t>
  </si>
  <si>
    <t>International / US companies</t>
  </si>
  <si>
    <t>Content</t>
  </si>
  <si>
    <t>AT&amp;T Inc</t>
  </si>
  <si>
    <t>Alphabet</t>
  </si>
  <si>
    <t>T-Mobile USA</t>
  </si>
  <si>
    <t>Comcast Corporation</t>
  </si>
  <si>
    <t>Charter Communications</t>
  </si>
  <si>
    <t>The Walt Disney Company</t>
  </si>
  <si>
    <t>ViacomCBS</t>
  </si>
  <si>
    <t>Lumen Technologies</t>
  </si>
  <si>
    <t>Bytedance</t>
  </si>
  <si>
    <t>Cox Communications</t>
  </si>
  <si>
    <t>Altice</t>
  </si>
  <si>
    <t>Nexstar Media Group</t>
  </si>
  <si>
    <t>Shaw (Corus Entertainment)</t>
  </si>
  <si>
    <t>Bragg Communications</t>
  </si>
  <si>
    <t>Postmedia</t>
  </si>
  <si>
    <t>ByteDance</t>
  </si>
  <si>
    <t>SpaceX</t>
  </si>
  <si>
    <t>Universal Music</t>
  </si>
  <si>
    <t>CR 1 Canada</t>
  </si>
  <si>
    <t>CR 4 Canada</t>
  </si>
  <si>
    <t>CR 10 Canada</t>
  </si>
  <si>
    <t>VI Cos Canada</t>
  </si>
  <si>
    <t>Pooled Avg HHI Canada</t>
  </si>
  <si>
    <t>Pooled Avg HHI US</t>
  </si>
  <si>
    <t>Weighted Avg HHI Canada</t>
  </si>
  <si>
    <t>Weighted Avg HHI US</t>
  </si>
  <si>
    <t>Communication</t>
  </si>
  <si>
    <t>Figure 3: Growth, Stagnation, Decline and Recovery in the NME, 2023</t>
  </si>
  <si>
    <t>POTS Subs</t>
  </si>
  <si>
    <t>Mobile Subs</t>
  </si>
  <si>
    <t>Internet Subs</t>
  </si>
  <si>
    <t>BDU Subs</t>
  </si>
  <si>
    <t>Total Lines</t>
  </si>
  <si>
    <t>POTS Subs (%)</t>
  </si>
  <si>
    <t>Mobile Subs Share (%)</t>
  </si>
  <si>
    <t>Internet Subs Share (%)</t>
  </si>
  <si>
    <t>BDU Subs (%)</t>
  </si>
  <si>
    <t>Total Lines Share (%)</t>
  </si>
  <si>
    <t>Bell</t>
  </si>
  <si>
    <t>Videotron</t>
  </si>
  <si>
    <t>Big 4 Total</t>
  </si>
  <si>
    <t>Big 4 Share ot Total (%)</t>
  </si>
  <si>
    <t>Wireline (Millions$)</t>
  </si>
  <si>
    <t>Mobile Revenue (Millions$)</t>
  </si>
  <si>
    <t>ISP Revenue (Millions$)</t>
  </si>
  <si>
    <t>BDU (Millions$)</t>
  </si>
  <si>
    <t>Total Revenue (Millions$)</t>
  </si>
  <si>
    <t>Wireline Revenue Share (%)</t>
  </si>
  <si>
    <t>Mobile Revenue Share (%)</t>
  </si>
  <si>
    <t>BDU (%)</t>
  </si>
  <si>
    <t>POTS  (%)</t>
  </si>
  <si>
    <t>Total Revenue Share (%)</t>
  </si>
  <si>
    <t>Sources: Canadian Telecommunications Association (CTA) (2024). Number of mobile wireless subscribers and CTA (2024). Canadian high-speed internet subscriber numbers (https://canadatelecoms.ca/knowledge-centre/industry-data/ and  Company Annual Reports). For additional explanation, see the entries for both firms in the "Wireless" sheet. CRTC (2024). Communications Market Report--Open Data, - CRTC Communications Markets Reports Open Data Retail Fixed Internet, Tab N-I3: Points of interest in residential internet service revenues, 2016-2023. and Tab N-I3: Points of interest in residential internet service revenues, 2016-2023. Wireline revenue is the sum of telecom operators' wireline services minus internet access and BDU revenue; Broadcasting distribution sector Tab U-T5. Evolution of broadcasting distribution revenues ($ billions) and subscribership (millions) compared to the number of households in Canada, 2009-2023.</t>
  </si>
  <si>
    <r>
      <rPr>
        <b/>
        <sz val="12"/>
        <color rgb="FF000000"/>
        <rFont val="Times New Roman"/>
        <family val="1"/>
      </rPr>
      <t xml:space="preserve">Sources: </t>
    </r>
    <r>
      <rPr>
        <sz val="12"/>
        <color rgb="FF000000"/>
        <rFont val="Times New Roman"/>
        <family val="1"/>
      </rPr>
      <t>Subscriber #s are y-o-y average from company annual reports. For additional explanation of estimates for firms that do not publish subscriber or revenue data, see the entries for firms in the relevant sheets in master workbook. Also see CRTC Communications Market Report--Open Data, CRTC Communications Markets Reports Open Data Retail Fixed Internet, Tab N-I3: Points of interest in residential internet service revenues, 2016-2023. and CRTC (2024). Communications Market Report--Open Data, BDU. Table 5: Subscribers (millions) of broadcasting distribution undertakings, by type, 2009-2023; CRTC (2024). Communications Market Report--Open Data (Mobile). Tab MB-S5. Number of mobile subscribers in Canada (millions), 2013-2023; Open Data (Local and Long Distance). Tab LLD3 Residential and business local telephone lines by type of TSP (thousands), 2013-2022 with CAGR of -3.71% used to estimate 2023 results; Broadcasting distribution sector Tab U-T5. Evolution of broadcasting distribution revenues ($ billions) and subscribership (millions) compared to the number of households in Canada, 2009-2023.</t>
    </r>
  </si>
  <si>
    <t>Internet Access (National)</t>
  </si>
  <si>
    <t>Cable, Sat &amp; IPTV (National)</t>
  </si>
  <si>
    <t>Weighted Average CR4</t>
  </si>
  <si>
    <t>Internet Access (Local)</t>
  </si>
  <si>
    <t>Cable, Sat &amp; IPTV (Local)</t>
  </si>
  <si>
    <t>Weighted Average HHI</t>
  </si>
  <si>
    <t>Cable + DTH (millions $)</t>
  </si>
  <si>
    <t>Telecom operator IPTV + DTH (millons $)</t>
  </si>
  <si>
    <t>Total $</t>
  </si>
  <si>
    <t>United States</t>
  </si>
  <si>
    <t>China</t>
  </si>
  <si>
    <t>Japan</t>
  </si>
  <si>
    <t>Russia</t>
  </si>
  <si>
    <t>Germany</t>
  </si>
  <si>
    <t>Canada</t>
  </si>
  <si>
    <t>India</t>
  </si>
  <si>
    <t xml:space="preserve">Mexico </t>
  </si>
  <si>
    <t>Korea</t>
  </si>
  <si>
    <t>France</t>
  </si>
  <si>
    <t>United Kingdom</t>
  </si>
  <si>
    <t>Australia</t>
  </si>
  <si>
    <t>Brazil</t>
  </si>
  <si>
    <t>Italy</t>
  </si>
  <si>
    <t>South Africa</t>
  </si>
  <si>
    <t xml:space="preserve">Spain </t>
  </si>
  <si>
    <t>Nigeria</t>
  </si>
  <si>
    <t>Turkey</t>
  </si>
  <si>
    <t>Netherlands</t>
  </si>
  <si>
    <t>Argentina</t>
  </si>
  <si>
    <t>Switzerland</t>
  </si>
  <si>
    <t>Poland</t>
  </si>
  <si>
    <t>Belgium</t>
  </si>
  <si>
    <t>Sweden</t>
  </si>
  <si>
    <t>Austria</t>
  </si>
  <si>
    <t>Kenya</t>
  </si>
  <si>
    <t>Denmark</t>
  </si>
  <si>
    <t>Finland</t>
  </si>
  <si>
    <t>Chile</t>
  </si>
  <si>
    <t>Czech Republic</t>
  </si>
  <si>
    <t>Norway</t>
  </si>
  <si>
    <t>Israel</t>
  </si>
  <si>
    <t>New Zealand</t>
  </si>
  <si>
    <t>Ireland</t>
  </si>
  <si>
    <t>Portugal</t>
  </si>
  <si>
    <t>Slovakia</t>
  </si>
  <si>
    <r>
      <rPr>
        <b/>
        <sz val="12"/>
        <color theme="1"/>
        <rFont val="Times New Roman"/>
        <family val="1"/>
      </rPr>
      <t>Note</t>
    </r>
    <r>
      <rPr>
        <sz val="12"/>
        <color theme="1"/>
        <rFont val="Times New Roman"/>
        <family val="1"/>
      </rPr>
      <t xml:space="preserve">: Sources cited in each individual cell. Annual average exchange rate from the Bank of Canada. See the data set under the “Biggest Mobile Markets” sheet in the Excel Workbook. </t>
    </r>
  </si>
  <si>
    <t>Quint 1 ($0 to $59,270</t>
  </si>
  <si>
    <t>Quint 2 ($59,271 to $104,048)</t>
  </si>
  <si>
    <t>Quint 3 ($104,049 to $159,040)</t>
  </si>
  <si>
    <t>Quint 4 ($159,041 to $243,799)</t>
  </si>
  <si>
    <t>Quint 5 (Above $243,79956)</t>
  </si>
  <si>
    <t>All</t>
  </si>
  <si>
    <t>Mobile Phones</t>
  </si>
  <si>
    <t>Home internet</t>
  </si>
  <si>
    <t>High speed internet connection (fibre optic, phone, cable, fixed wireless)</t>
  </si>
  <si>
    <t>BDU Subscription (cable, IPTV, DTH)</t>
  </si>
  <si>
    <t>2021 to 2022 growth rates per CRTC MB S6</t>
  </si>
  <si>
    <t>Cellular phones 2022</t>
  </si>
  <si>
    <t>CAGR 2019-2023 Mobile</t>
  </si>
  <si>
    <t>CAGR 2019-2023 internet</t>
  </si>
  <si>
    <t>CAGR 2019-2023 High Speed</t>
  </si>
  <si>
    <t>CAGR 2019-2023 BDU</t>
  </si>
  <si>
    <t>Quint 1</t>
  </si>
  <si>
    <t xml:space="preserve">Quint 2 </t>
  </si>
  <si>
    <t xml:space="preserve">Quint 3 </t>
  </si>
  <si>
    <t>Quint 4</t>
  </si>
  <si>
    <t>Quint 5</t>
  </si>
  <si>
    <t xml:space="preserve">All </t>
  </si>
  <si>
    <t>Mobile phones</t>
  </si>
  <si>
    <t>CPI -- All Items</t>
  </si>
  <si>
    <t>BDU + Subscription TV, Video &amp; Audio Services</t>
  </si>
  <si>
    <t>Mobile Wireless/Phone Service</t>
  </si>
  <si>
    <t>Home entertainment equipment</t>
  </si>
  <si>
    <t>Digital computing equipment &amp; devices</t>
  </si>
  <si>
    <t>Service ARPU</t>
  </si>
  <si>
    <t>Plan ARPU</t>
  </si>
  <si>
    <t>CAGR 2020-2023 %</t>
  </si>
  <si>
    <t>Rank</t>
  </si>
  <si>
    <t xml:space="preserve"> Data and voice subscriptions </t>
  </si>
  <si>
    <t xml:space="preserve">Data-only subscriptions </t>
  </si>
  <si>
    <t>5G subscriptions</t>
  </si>
  <si>
    <t>Total (where breakdown not available)</t>
  </si>
  <si>
    <t>Estonia</t>
  </si>
  <si>
    <t>OECD</t>
  </si>
  <si>
    <t>Iceland</t>
  </si>
  <si>
    <t>Lithuania</t>
  </si>
  <si>
    <t>Latvia</t>
  </si>
  <si>
    <t>Luxembourg</t>
  </si>
  <si>
    <t>Czechia</t>
  </si>
  <si>
    <t>Costa Rica</t>
  </si>
  <si>
    <t>Slovenia</t>
  </si>
  <si>
    <t>Slovak Republic</t>
  </si>
  <si>
    <t>Greece</t>
  </si>
  <si>
    <t>Hungary</t>
  </si>
  <si>
    <t>Colombia</t>
  </si>
  <si>
    <t>Türkiye</t>
  </si>
  <si>
    <r>
      <rPr>
        <b/>
        <sz val="12"/>
        <color theme="1"/>
        <rFont val="Aptos"/>
      </rPr>
      <t>Source</t>
    </r>
    <r>
      <rPr>
        <sz val="12"/>
        <color theme="1"/>
        <rFont val="Aptos"/>
      </rPr>
      <t>: OECD Broadband Statistics. https://www.oecd.org/en/topics/sub-issues/broadband-statistics.html. Data for Canada is from CRTC. (2024). Communications Market Report, Open Data--Mobile. Tab MB-S6 Mobile subscriber penetration rates, as a percent of total population, by province/territory (%), 2015-2023.</t>
    </r>
  </si>
  <si>
    <t>2017</t>
  </si>
  <si>
    <t>2018</t>
  </si>
  <si>
    <t>2019</t>
  </si>
  <si>
    <t>2020</t>
  </si>
  <si>
    <t>2021</t>
  </si>
  <si>
    <t>2 yr growth</t>
  </si>
  <si>
    <t>3 yr growth</t>
  </si>
  <si>
    <t>Source: OECD, Broadband Portal, Table 1.13. Mobile data usage per mobile broadband subscription per month, Dec. 2023. https://www.oecd.org/en/topics/sub-issues/broadband-statistics.html; for Canada, CRTC Communications Markets Reports Open Data--Mobile. MB-F15 Average monthly data usage per subscriber (GB/month), 2014-2023.</t>
  </si>
  <si>
    <t>Average Growth Rate, 2017-2023</t>
  </si>
  <si>
    <t>Bell Group</t>
  </si>
  <si>
    <t>TELUS</t>
  </si>
  <si>
    <t>Sasktel</t>
  </si>
  <si>
    <t>TBTel</t>
  </si>
  <si>
    <t>Eastlink</t>
  </si>
  <si>
    <t>Other</t>
  </si>
  <si>
    <t>CR3</t>
  </si>
  <si>
    <t>HHI</t>
  </si>
  <si>
    <t>British Columbia</t>
  </si>
  <si>
    <t>Alberta</t>
  </si>
  <si>
    <t>Saskatchewan</t>
  </si>
  <si>
    <t>Manitoba</t>
  </si>
  <si>
    <t>Ontario</t>
  </si>
  <si>
    <t>Quebec</t>
  </si>
  <si>
    <t>New Brunswick</t>
  </si>
  <si>
    <t>Nova Scotia</t>
  </si>
  <si>
    <t>Prince Edward Island</t>
  </si>
  <si>
    <t>Newfoundland and Labrador</t>
  </si>
  <si>
    <t>The North</t>
  </si>
  <si>
    <t xml:space="preserve">Bell </t>
  </si>
  <si>
    <t>Bell Aliant</t>
  </si>
  <si>
    <t>MTS</t>
  </si>
  <si>
    <t>Microcell Solutions</t>
  </si>
  <si>
    <t>Thunder Bay</t>
  </si>
  <si>
    <t>Orascom Telecom</t>
  </si>
  <si>
    <t>Public Mobile</t>
  </si>
  <si>
    <t>DAVE Wireless</t>
  </si>
  <si>
    <t>Clearnet</t>
  </si>
  <si>
    <t>Regional Competitors</t>
  </si>
  <si>
    <t>Regional Competitors + Alternatives</t>
  </si>
  <si>
    <t>VI Cos Market Share</t>
  </si>
  <si>
    <t xml:space="preserve">Source and methodological note: These data are based primarily on provincial subscriber market share data for the big three national mobile operators—Bell, TELUS and Rogers—released by the CRTC as part of its annual Communications Market Report. See CRTC (2024). Communications Market Report, Open Data--Mobile. Provincial/territorial subscriber market share of Bell, TELUS, Rogers and other providers (%), 2013-2023. The CRTC, in turn, uses primary data provided by relevant carriers to produce subscriber market share figures. 
The estimates in this figure are meant to overcome two limits in the CRTC’s provincial mobile wireless data. First, the Commission’s figures only cover market share by subscriber, not revenue. To estimate provincial revenue figures for Bell, Telus and Rogers, we multiply their provincial subscriber numbers by each of their respective ARPU. The ARPU for all companies is total revenue / number of mobile subscribers, not the figure they report in their annual reports/financial statments. A second limitation to the CRTC’s Open Data—Mobile set is that it does not include revenue or subscriber figures for Freedom Mobile, Videotron or Eastlink, although Videotron’s subscriber numbers in Quebec can be inferred from the data provided, as can Sasktel’s in Saskatchewan. 
Steps taken to fill the provincial revenue and subscriber gaps for Shaw, Videotron and Eastlink. 
First, we start by identifying their respective operating territories: Shaw operated its Shaw Mobile in BC and Alberta and its Freedom Mobile brand in those two provinces and Ontario from 2016 until its take-oover by Rogers in 2023, after which Rogers kept the Shaw Mobile operations while Freedom Mobile was spun off to Videotron. Before this, Videotron’s main operating base was in Quebec, although it also had a few subscribers in Ottawa at the time. Eastlink operates mainly in the Atlantic Provinces but also operates in a few towns in Northern Ontario.
Second, provincial population rates are estimated using Statistics Canada's population estimates quarterly by province. Third, we then multiply provincial population rates by the CRTC’s estimates for mobile subscriber penetration rates by province. See CRTC (2024). Communications Market Report, Open Data--Mobile. Tab MB-S6 Mobile subscriber penetration rates, as a percent of total population, by province/territory (%), 2015-2023. 
Fourth, total revenue for each of the regional operators—Shaw’s Freedom and Shaw Mobile, Videotron, and Eastlink—is divided by their subscriber numbers to obtain an average revenue per user (ARPU) (not the one they post in their annual reports). 
For Shaw’s eponymously named Shaw Mobile and its Freedom Mobile brands, we estimate provincial market arrive at its total subscriber numbers based on reports in Rogers Annual Report showing that it acquired 483,000 new subscribers from its acquisition of Shaw Mobile customers when the deal closed in April 2023 (Rogers Annual Report 2023, p. 36), while Videotron gained 1,824,400 subscribers from its acquisition of Freedom Mobile on top of an additional 230,100 new mobile subscribers from year-over-year growth for its Videotron mobile service (Quebecor, MDA, p. 6). 
During the Rogers-Shaw merger hearing, it was revealed that 72% of Shaw Freedom’s subscribers are in Ontario. After assigning 72% of Freedom Mobile subscribers to Ontario, the remainder were assigned to BC and Alberta, respectively, based on both provinces’ respective share of mobile wireless subscribers, ie. 53.84% and 46.16%. Company ARPU are used to calculate revenue market shares, based on end of year subscribers for 2023. Freedom Subscribers (year-end) are divided by total population of BC, AB, and ON to get subscriber market share of Freedom.
For Videotron, we base subscriber and revenue figures on what it reports in its annual report: Quebecor, MDA 2023, p. 14. The approach resulted in Videotron having a market share of 25.7% in Quebec, whereas the CRTC reports 23.6%. We took the difference between the two, i.e. 36,623 subscribers, and assigned them to Ontario—a reasonable estimate of Videotron’s subscriber base in Ottawa. This number was then added to the number of subscribers in Ontario that Videotron had obtained via its’ acquisition of Freedom Mobile, i.e. 1,824,400 plus y-o-y new subscriber growth outside Quebec (111502.15) and multiply that result by .72 yields a total Ontario subscribers: 1,430,473.
Eastlink ARPU ($87.75) and estimated number of subscribers (266,551) are used to calculate revenue market shares, based on end of year subscribers for 2023. Eastlink was estimated to have 8,959 subscribers in Ontario in 2023, which was the residual left over after summing up the number of Bell, Rogers, Telus, Shaw, Videotron and TBayTel’s subscribers. That amount was than subtracted from its total subscriber base for its operations in the Atlantic provinces. Those subscribers were then assigned to NB, NS, Newfoundland and Labrador, and PEI according to each province’s respective share of population and subscribers, as indicated in Statistics Canada's population estimates quarterly by province and CRTC (2024). Communications Market Report, Open Data--Mobile. Tab MB-S6 Mobile subscriber penetration rates, as a percent of total population, by province/territory (%), 2015-2023. 
Fifth, we add the number of subscribers accounted for by each of the regional / provincial operators to the CRTC’s denominator to calculate an “adjusted” market share for Bell, Rogers and Telus in each of the provinces the operate in. Provincial revenue estimates for each of the three national mobile operators are estimated by multiplying their subscriber numbers in each province by their ARPU (which also has the unfortunate effect of washing out important regional differences in pricing).  </t>
  </si>
  <si>
    <t>Verizon Communications</t>
  </si>
  <si>
    <t xml:space="preserve">Microsoft </t>
  </si>
  <si>
    <t>Warner Brothers Discovery</t>
  </si>
  <si>
    <t>TPG/DirecTV</t>
  </si>
  <si>
    <t>Frontier Communications</t>
  </si>
  <si>
    <t xml:space="preserve">Activision </t>
  </si>
  <si>
    <t>Telco</t>
  </si>
  <si>
    <t>CableCo</t>
  </si>
  <si>
    <t>SubTotal</t>
  </si>
  <si>
    <t>Indy ISP</t>
  </si>
  <si>
    <t>Sources: CRTC (2024) Communication Markets Report. Figure 15: Residential Internet service subscriptions, by type of service provider (thousands), 2013-2023.</t>
  </si>
  <si>
    <t>Fibre connections</t>
  </si>
  <si>
    <t>• Quebecor acquires Sun newspapers ($1B)(1999), Videotron ($4.9B)(2000) and TVA ($500M)(2001)(Total: $6.4B)</t>
  </si>
  <si>
    <t>OECD (December 2023). Broadband statistics. 1.2.1. OECD Fixed broadband subscriptions per 100 inhabitants, by technology, December 2023 and 1.10. Percentage of fibre connections in total fixed broadband, December 2023 [http://www.oecd.org/digital/broadband/broadband-statistics/].</t>
  </si>
  <si>
    <t>Home phone</t>
  </si>
  <si>
    <t>Bell Fibe TV</t>
  </si>
  <si>
    <t>MTS Allstream</t>
  </si>
  <si>
    <t>Total IPTV Subs</t>
  </si>
  <si>
    <t>Note: Subscribers is equal to year-over-year average.</t>
  </si>
  <si>
    <t xml:space="preserve">Bell Fibe TV </t>
  </si>
  <si>
    <t xml:space="preserve">Telus </t>
  </si>
  <si>
    <t xml:space="preserve">SaskTel </t>
  </si>
  <si>
    <t>Total IPTV $</t>
  </si>
  <si>
    <t>Total BDU (Cable, DTH + IPTV) (millions $)</t>
  </si>
  <si>
    <t>Total BDU/Households</t>
  </si>
  <si>
    <t>Telecom operator IPTV/Total $  (millions $)</t>
  </si>
  <si>
    <t xml:space="preserve">Telecom operator IPTV + DTH/Total$ </t>
  </si>
  <si>
    <t>Total BDU Subs (thousandss)</t>
  </si>
  <si>
    <t>Total BDU Revenue (millions)</t>
  </si>
  <si>
    <t>Total IPTV Subs/Total Subs %</t>
  </si>
  <si>
    <t>Annual ARPU/Household/year</t>
  </si>
  <si>
    <t>Annual ARPU/Household/month</t>
  </si>
  <si>
    <t>Country</t>
  </si>
  <si>
    <t>Total Cable, DTH + IPTV HHI</t>
  </si>
  <si>
    <t xml:space="preserve">Telcos (IPTV + DTH) </t>
  </si>
  <si>
    <t>Cablecos Cable + CableCo DTH</t>
  </si>
  <si>
    <t>Fibre as a pecentage of total broadband connections</t>
  </si>
  <si>
    <t>Before (2022)</t>
  </si>
  <si>
    <t>After (2023)</t>
  </si>
  <si>
    <t>Access Comm</t>
  </si>
  <si>
    <t>After merger Rogers market share</t>
  </si>
  <si>
    <t>Before merger Rogers market share</t>
  </si>
  <si>
    <t>Before merger Rogers-Shaw CR4</t>
  </si>
  <si>
    <t>After merger Rogers-Shaw CR4</t>
  </si>
  <si>
    <t>Before merger Rogers-Shaw HHI</t>
  </si>
  <si>
    <t>After merger Rogers-Shaw HHI</t>
  </si>
  <si>
    <t xml:space="preserve">Rogers After Merger </t>
  </si>
  <si>
    <t xml:space="preserve">Rogers Before Merger </t>
  </si>
  <si>
    <t>Oxio</t>
  </si>
  <si>
    <t>Comwave</t>
  </si>
  <si>
    <t>Start.ca</t>
  </si>
  <si>
    <t>VMedia</t>
  </si>
  <si>
    <t>EBOX</t>
  </si>
  <si>
    <t>Distributel</t>
  </si>
  <si>
    <t>TekSavvy</t>
  </si>
  <si>
    <t>Stonepeak Infrastructure Fund</t>
  </si>
  <si>
    <t>CR4 Before Rogers-Shaw</t>
  </si>
  <si>
    <t>CR4 After Rogers-Shaw</t>
  </si>
  <si>
    <t>HHI Before Rogers-Shaw</t>
  </si>
  <si>
    <t>HHI After Rogers-Shaw</t>
  </si>
  <si>
    <t>Internet Ad$</t>
  </si>
  <si>
    <t>Conv TV</t>
  </si>
  <si>
    <t xml:space="preserve">Pay TV  </t>
  </si>
  <si>
    <t>Radio</t>
  </si>
  <si>
    <t>Out-of-Home</t>
  </si>
  <si>
    <t>Total Ad$</t>
  </si>
  <si>
    <t>Advertising/GDI</t>
  </si>
  <si>
    <t>Advertising $/Total Media Economy $ (%)</t>
  </si>
  <si>
    <t>Per Capita Internet Advertising $</t>
  </si>
  <si>
    <t>Per Capita Television Advertising $</t>
  </si>
  <si>
    <t>Per Capita Other Ad$</t>
  </si>
  <si>
    <t>Per Capita Total Advertising $</t>
  </si>
  <si>
    <t>Google</t>
  </si>
  <si>
    <t>Facebook</t>
  </si>
  <si>
    <t>Twitter</t>
  </si>
  <si>
    <t>Snapchat</t>
  </si>
  <si>
    <t>Pelmorex</t>
  </si>
  <si>
    <t>Yellow Pages</t>
  </si>
  <si>
    <t>NordStar Capital LP</t>
  </si>
  <si>
    <t>Woodbridge Company</t>
  </si>
  <si>
    <t>Transcontinental</t>
  </si>
  <si>
    <t>La Presse</t>
  </si>
  <si>
    <t>Continental/Glacier</t>
  </si>
  <si>
    <t>CN2i</t>
  </si>
  <si>
    <t>Groupe Capitales Médias</t>
  </si>
  <si>
    <t>Zoomer Media</t>
  </si>
  <si>
    <t>FP Canadian Newspapers</t>
  </si>
  <si>
    <t>Total $ (Mills)</t>
  </si>
  <si>
    <t>Google + Facebook Share</t>
  </si>
  <si>
    <t>Bing (Microsoft)</t>
  </si>
  <si>
    <t>Yahoo!</t>
  </si>
  <si>
    <t>Verizon Media</t>
  </si>
  <si>
    <t>DuckDuckGo</t>
  </si>
  <si>
    <t>Ask</t>
  </si>
  <si>
    <t>WebCrawler</t>
  </si>
  <si>
    <t>Baidu</t>
  </si>
  <si>
    <t>Yandex RU</t>
  </si>
  <si>
    <t>AOL</t>
  </si>
  <si>
    <t>Tumblr</t>
  </si>
  <si>
    <t>Discord</t>
  </si>
  <si>
    <t>Reddit</t>
  </si>
  <si>
    <t>TikTok</t>
  </si>
  <si>
    <t>ARPU/month CDN$</t>
  </si>
  <si>
    <t>ARPU/year CDN$</t>
  </si>
  <si>
    <t>Canadian FB+IG MAU y-o-y average (000,000)</t>
  </si>
  <si>
    <t>Canadian revenue (000,000)</t>
  </si>
  <si>
    <t>Market Share</t>
  </si>
  <si>
    <t xml:space="preserve">Market Share </t>
  </si>
  <si>
    <t>Shaw (Corus)</t>
  </si>
  <si>
    <t>Microsoft (Bing)</t>
  </si>
  <si>
    <t>Stingray</t>
  </si>
  <si>
    <t>Globe &amp; Mail</t>
  </si>
  <si>
    <t>Vista Radio</t>
  </si>
  <si>
    <t>Pattison</t>
  </si>
  <si>
    <t>Golden West Broadcasting</t>
  </si>
  <si>
    <t>Saltwire</t>
  </si>
  <si>
    <t>FP CDN Newspapers</t>
  </si>
  <si>
    <r>
      <t xml:space="preserve">Sources: </t>
    </r>
    <r>
      <rPr>
        <sz val="12"/>
        <color rgb="FF000000"/>
        <rFont val="Times New Roman"/>
        <family val="1"/>
      </rPr>
      <t xml:space="preserve">TVB/Think TV, Net Advertising Volume; Company Annual Reports; Iab.canada 2016 Actual + 2017 Estimated Internet Ad Revenue. http://iabcanada.com/annual-internet-advertising-revenue-reports/, p. 8; Iab.canada 2015 Actual + 2016 Estimated Internet Ad Revenue. http://iabcanada.com/annual-internet-advertising-revenue-reports/, p. 8; CRTC for Broadcast, pay and specialty television and radio. Estimates for individual companies is based on annual reports wherever possible. Where it is not reported, estimates are based on the following assumptions with respect to advertising and digital advertising as part of overall revenue: for radio and tv, revenue based on CRTC returns with 100% of revenue for broadcast TV for private companies attributable to advertising and split between adv$ and Parliamentary appropriation for CBC, while for pay and specialty TV services the split between adv$ and subsciber $ is split based on the ratio of both elements reported for the sector as a whole by CRTC, i.e. 31 and 30% to adv$ in 2017 and 2018, respectively, and as updated annually by the Commission. Lastly, an estimate for TV services digital ads equally 5% and 6% in 2017 and 2018, respectively, and as reported, revised and updated in ThinkTV annual Net Advertising Volume Report; for newspapers, where revenues are not published in an annual report, entities that are primarily daily newspapers are assumed to have a split between adv$ and subscription $ 46/54. For papers like Torstar, advertising revenue is typically clearly identified in its annual reports. For Postmedia, total advertising revenue reported here is based on advertising revenue reported in the company's annual report and half of the "Digital" revenue assigned to advertising the remainder to subscription revenue. For daily and community newspapers, where the break down is not clear, the split is reported here as 60/40, and for community weeklies such as Transcontinent or the successor entitites that took over its community papers between 2016 and 2018, the split in 2018 was 89.5%/11.5% (splits based on revenue splits for each segment as a whole as determined from NewsMediaCanada figures); for magazines, 13.3% of revenue came from advertising, while the rest was from paid subscriptions. </t>
    </r>
  </si>
  <si>
    <t>Tencent</t>
  </si>
  <si>
    <t>Big Tech + Streaming Cos</t>
  </si>
  <si>
    <t>Total Network Media Economy (millions)</t>
  </si>
  <si>
    <t>Warner Music</t>
  </si>
  <si>
    <t>CBS-Viacom</t>
  </si>
  <si>
    <t>NordStar</t>
  </si>
  <si>
    <t>Electronic Arts</t>
  </si>
  <si>
    <t>Small ILECS</t>
  </si>
  <si>
    <t>Nintendo</t>
  </si>
  <si>
    <t>Digital Games</t>
  </si>
  <si>
    <t>Canadian Media Co Share</t>
  </si>
  <si>
    <t>Online media services</t>
  </si>
  <si>
    <t>Traditional media services</t>
  </si>
  <si>
    <t>Note re. Definitions</t>
  </si>
  <si>
    <t>Online Video Servces</t>
  </si>
  <si>
    <t>Online Music (Incl. Subscriber $, Digital Sales, Other from Total Revenue (Millions) sheet.</t>
  </si>
  <si>
    <t>Newspapers (Digital Column from Total Revenue Sheet)</t>
  </si>
  <si>
    <t>BROADCAST TV &amp; PAY TV</t>
  </si>
  <si>
    <t>Music Recorded (Physical, Live &amp; Publishing, i.e. things not included in Online Music)</t>
  </si>
  <si>
    <t>Newspapers (Excluding Digital column from Total Revenue Sheet)</t>
  </si>
  <si>
    <t>Source: United States District Court, DC (August 5, 2024). Memorandum opinion. U.S. and Plaintiff States v. Google LLC [2023]. Closing arguments–PPT Deck (November 25, 2024)(Google Ad case)</t>
  </si>
  <si>
    <t xml:space="preserve">LinkedIn </t>
  </si>
  <si>
    <t>X/Twitter</t>
  </si>
  <si>
    <t>Google+</t>
  </si>
  <si>
    <t>Mobile</t>
  </si>
  <si>
    <t>Total (millions $)</t>
  </si>
  <si>
    <t>National Amusements</t>
  </si>
  <si>
    <t xml:space="preserve">Figure 5: Leading telecom, internet and media companies in Canada, 2023 (based on revenue, millions$)
Canada, 2023 </t>
  </si>
  <si>
    <t>High Concentration (2,500 ≤ 10,000)</t>
  </si>
  <si>
    <t>Moderate Concentration (1,500 ≤ 2,500)</t>
  </si>
  <si>
    <t>Low Concentration (100 ≤ 1,500)</t>
  </si>
  <si>
    <t>Magazines 188.8</t>
  </si>
  <si>
    <t>Cable/DTH/IPTV  (national) 2340.1</t>
  </si>
  <si>
    <t>Network media economy (weighted average) 2500.5</t>
  </si>
  <si>
    <t>Online news 470</t>
  </si>
  <si>
    <t>Total advertising all media 1978.5</t>
  </si>
  <si>
    <t>Broadcast TV 2621.1</t>
  </si>
  <si>
    <t>Pay &amp; specialty TV 2033.8</t>
  </si>
  <si>
    <t>Mobile wireless 2,788.70</t>
  </si>
  <si>
    <t>Music services (legacy, online, including live concerts) 888.5</t>
  </si>
  <si>
    <t>All TV 1081.1</t>
  </si>
  <si>
    <t>Internet advertising 3337</t>
  </si>
  <si>
    <t>Newspapers 1122.9</t>
  </si>
  <si>
    <t>Internet access (national) 1617.3</t>
  </si>
  <si>
    <t>Wireline 3,468.9</t>
  </si>
  <si>
    <t>Radio 1203.5</t>
  </si>
  <si>
    <t>Internet access (local) 3972.5</t>
  </si>
  <si>
    <t>Social Media Platforms 2323.7</t>
  </si>
  <si>
    <t>Desktop Web Browser 4235.85</t>
  </si>
  <si>
    <t>Mobile Web Browser 4309.7</t>
  </si>
  <si>
    <t>App Stores 5071.6</t>
  </si>
  <si>
    <t>Cable/DTH/IPTV  (Local) 5102.1</t>
  </si>
  <si>
    <t>Mobile OS 5170.9</t>
  </si>
  <si>
    <t>Desktop Search 7422.8</t>
  </si>
  <si>
    <t>Mobile Search 9469.3</t>
  </si>
  <si>
    <t>Network media economy (pooled average) 1263.1</t>
  </si>
  <si>
    <t>Desktop OS 4971.9</t>
  </si>
  <si>
    <t>Mobile wireless (provincial weighted avg) 3111.3</t>
  </si>
  <si>
    <t>Video games 763.7</t>
  </si>
  <si>
    <t>Streaming video services (SVOD, TVOD, AVOD &amp; ad-funded VSP) 1932.4</t>
  </si>
  <si>
    <t>Streaming video</t>
  </si>
  <si>
    <t>Streaming video services (SVOD &amp; TVOD) 2010.5</t>
  </si>
  <si>
    <t>Streaming music services &amp; publishing (1736.1 )</t>
  </si>
  <si>
    <t>Figure 28: Province mobile wireless market shares, by subscriber, 2023</t>
  </si>
  <si>
    <t>Figure 29: Province mobile wireless market shares, by revenue, 2023</t>
  </si>
  <si>
    <t>Figure 30: The Growth of Telecom Operator IPTV Subscribers in Canada (000s), 2004–2023</t>
  </si>
  <si>
    <t>Figure 31: The Growth of Telecom Operators IPTV Revenues in Canada, 2004–2023 (current $, millions)</t>
  </si>
  <si>
    <t>Figure 33: National BDU market: "Before" vs "after" Rogers-Shaw Deal (based on 2022 revenue)</t>
  </si>
  <si>
    <t>Figure 34: The Decline of Monopoly Cable TV: Cable Companies vs Telephone Companies Market Share Based on Revenue, 1996-2023</t>
  </si>
  <si>
    <t>Figure 35: High-speed internet access and fibre subscriptions by Income Quintile, 2023</t>
  </si>
  <si>
    <t>Figure 36: Fibre and total fixed broadband subscriptions per 100, Dec. 2023</t>
  </si>
  <si>
    <t>Figure 38: National retail internet access market: "Before" vs "after" Rogers-Shaw Deal (based on revenue)</t>
  </si>
  <si>
    <t xml:space="preserve">Figure 2: Development of the network media economy, 1984-2023 (current $, millions) </t>
  </si>
  <si>
    <t>Figure 6: Concentration Rankings on the basis of HHI Scores, 2023</t>
  </si>
  <si>
    <t>Figure 7: Canada's communications and media economy (current $, millions), 1969 (or most recent year)</t>
  </si>
  <si>
    <t>Figure 8: Leading Communication in Canada based in revenue (current $, millions), 1984</t>
  </si>
  <si>
    <t xml:space="preserve">Figure 10: Canada's communications and media economy  (current $, millions), 1969, 1984 &amp; 1996 </t>
  </si>
  <si>
    <t>Figure 11: Major Communications &amp; Media Ownership Changes in Canada, 1994-2023</t>
  </si>
  <si>
    <t>Figure 12: Vertical Integration and the Network Media Ecology in Canada vs U.S. (2023)) (Market share based on revenue)</t>
  </si>
  <si>
    <t>Figure 13: Communication vs Content at Canada’s Vertically-Integrated Telecoms and Media Companies, 2023 (Ratio by
Revenue)</t>
  </si>
  <si>
    <t>Figure 14: Vertically Integrated Communications Conglomerates vs Big Tech and Streaming Media Services Market Share based on revenue, 1984-2023</t>
  </si>
  <si>
    <t>Figure 15: Separate Media, Distinct Evolutionary Paths and the Network Media Economy, 1984-2023 (current $, millions)</t>
  </si>
  <si>
    <t>Figure 17: Distribution Market share by Subscriber Lines and Type of Service, 2023</t>
  </si>
  <si>
    <t>Figure 18: Distribution Market share by Type of Service and Revenue, 2023</t>
  </si>
  <si>
    <t>Figure 19: CR Scores for the Telecom &amp; Internet Access Sectors, 1984 – 2022 (Based on Revenue)</t>
  </si>
  <si>
    <t>Figure 20: HHI Scores for the Telecom &amp; Internet Access Sectors, 1984 – 2022 (Based on Revenue)</t>
  </si>
  <si>
    <t>Figure 21: Mobile Wireless Markets in Select Countries Ranked by Revenue, 2021-2023 (millions CDN$)</t>
  </si>
  <si>
    <t>Figure 22: Communication Services &amp; Devices vs the CPI, 2002-2023</t>
  </si>
  <si>
    <t>Figure 23: National Mobile Operators' Plan and Service Average Revenue Per User, 2020 vs 2023</t>
  </si>
  <si>
    <t>Figure 24: Household Access to Information and Communication Technologies by Income Quintile, 2023 (est)</t>
  </si>
  <si>
    <t>Figure 25: OECD wireless broadband subscriptions per 100 inhabitants, by technology, December 2023</t>
  </si>
  <si>
    <t>Big Tech and Streaming Media Companies</t>
  </si>
  <si>
    <t>Figure 16: Telecoms &amp; Internet Access Sectors, 1984-2023 (current $, millions)</t>
  </si>
  <si>
    <t>Corus</t>
  </si>
  <si>
    <t>Astral</t>
  </si>
  <si>
    <t>Alliance Atlantis</t>
  </si>
  <si>
    <t>Weighted CR4</t>
  </si>
  <si>
    <t>Pooled average HHI</t>
  </si>
  <si>
    <t>Pooled average CR4</t>
  </si>
  <si>
    <t>Western International Communications</t>
  </si>
  <si>
    <t>TeleMetrole (Pathonic, Radio Nord, Télé Inter Rives and Télévision de la Baie des Chaleurs)</t>
  </si>
  <si>
    <t>Sirius</t>
  </si>
  <si>
    <t>Rem</t>
  </si>
  <si>
    <t>Thomson-Woodbridge</t>
  </si>
  <si>
    <t>Sega Sammy</t>
  </si>
  <si>
    <t>Bandai Namco</t>
  </si>
  <si>
    <t>Take-Two Interactive Software</t>
  </si>
  <si>
    <t>Ubisoft</t>
  </si>
  <si>
    <t>Warner</t>
  </si>
  <si>
    <t>APTN</t>
  </si>
  <si>
    <t>Valve</t>
  </si>
  <si>
    <t>DAZN</t>
  </si>
  <si>
    <t>Epic</t>
  </si>
  <si>
    <t>Playtika</t>
  </si>
  <si>
    <t>Roblox</t>
  </si>
  <si>
    <t>Capcom</t>
  </si>
  <si>
    <t>Square Enix</t>
  </si>
  <si>
    <t>Discretionary and On-Demand Individual Financial summaries : on https://applications.crtc.gc.ca/OpenData/CASP/Financial%20Broadcasting%20Summaries/Books%202021/2021%20Broadcasting%20Statistical%20and%20Financial%20Summaries%20-%20Individual%20Discretionary%20and%20On-Demand%20Services/English/2021%20Individual%20Discretionary%20and%20On-Demand_Statistical%20and%20Financial%20Summaries.xlsx?_ga=2.174659232.303978944.1682338459-1302886770.1577715152</t>
  </si>
  <si>
    <t>Nordicity Report</t>
  </si>
  <si>
    <t>Stingray Vibe</t>
  </si>
  <si>
    <t>Stingray Retro</t>
  </si>
  <si>
    <t>Stingray POP</t>
  </si>
  <si>
    <t>Stingray Loud</t>
  </si>
  <si>
    <t>Stingray Country</t>
  </si>
  <si>
    <t>The Seasonal Channel</t>
  </si>
  <si>
    <t>Palmarès Adisq par Stingray (formerly Stingray Platine)</t>
  </si>
  <si>
    <t>Stingray Ambiance (formerly The Seasonal Channel)</t>
  </si>
  <si>
    <t xml:space="preserve">Stingray </t>
  </si>
  <si>
    <t>Stingray Pay Audio (Nordicity Results)</t>
  </si>
  <si>
    <t>Winseck Results</t>
  </si>
  <si>
    <t>Stingray Naturescape P&amp;S TV service (Millions$)</t>
  </si>
  <si>
    <t>Stingray Music (Pay Audio) AnnRpt#s</t>
  </si>
  <si>
    <t>Stingray Music (Pay Audio) CRTC#s</t>
  </si>
  <si>
    <t>Stingray Radio (Millions$) AnnRpt</t>
  </si>
  <si>
    <t>Stingray Radio (Millions$) CRTC</t>
  </si>
  <si>
    <t>Stingray Canada Broadcasting &amp; Commercial Music (Millions$)</t>
  </si>
  <si>
    <t>Stingray Canada (Millions$)</t>
  </si>
  <si>
    <t>Stingray (Annual Report)</t>
  </si>
  <si>
    <t>All numbers from SiriusXM 2020 10K, includes revenue from Pandora and Sirius XM satellite radio.  </t>
  </si>
  <si>
    <t>Sirius XM Pandora Stitcher</t>
  </si>
  <si>
    <t>Note</t>
  </si>
  <si>
    <t>Market Shares by Audience (%)</t>
  </si>
  <si>
    <t>Total Listners</t>
  </si>
  <si>
    <t>Advertising Supported Listners</t>
  </si>
  <si>
    <t>Subscribers (000s)</t>
  </si>
  <si>
    <t>Subscriber Revenue (Millions US$)</t>
  </si>
  <si>
    <t>Public Funding (Millions US$)</t>
  </si>
  <si>
    <t>Ad Revenue (Millions US$)</t>
  </si>
  <si>
    <t>Market Shares by Revenue (%)</t>
  </si>
  <si>
    <t>Total Revenue (Millions US$)</t>
  </si>
  <si>
    <t>Operating Brand/Title</t>
  </si>
  <si>
    <t>Operating Division/Company</t>
  </si>
  <si>
    <t>Parent Ownership Group</t>
  </si>
  <si>
    <t>Sector</t>
  </si>
  <si>
    <t>Total Radio (Millions$)</t>
  </si>
  <si>
    <t>Paid Audio (SiriusXM, Stingray)</t>
  </si>
  <si>
    <t>Public/CBC</t>
  </si>
  <si>
    <t>Commercial Radio</t>
  </si>
  <si>
    <t xml:space="preserve">CBS-Viacom </t>
  </si>
  <si>
    <t>Total Subs (000s)</t>
  </si>
  <si>
    <t>Total subscribers (000s)</t>
  </si>
  <si>
    <t xml:space="preserve"> </t>
  </si>
  <si>
    <t>CBS-Viacom </t>
  </si>
  <si>
    <t>Online Video (SVOD, TVOD, AVOD)</t>
  </si>
  <si>
    <t>Pay and Specialty TV</t>
  </si>
  <si>
    <t>Foreign Location service</t>
  </si>
  <si>
    <t xml:space="preserve">Canadian TV </t>
  </si>
  <si>
    <t>Broadcaster In-House</t>
  </si>
  <si>
    <t>Canadian Theatrical/Feature Film</t>
  </si>
  <si>
    <t> </t>
  </si>
  <si>
    <t>Total Subsciber $</t>
  </si>
  <si>
    <t>Total public $</t>
  </si>
  <si>
    <t>Subsciber $</t>
  </si>
  <si>
    <t>Advertising $</t>
  </si>
  <si>
    <t>Public funding $</t>
  </si>
  <si>
    <t>Total Newspaper $</t>
  </si>
  <si>
    <t>Community Newspaper $</t>
  </si>
  <si>
    <t>Government Subsidies (LJI)</t>
  </si>
  <si>
    <t>Government Subsidies (SCJ)</t>
  </si>
  <si>
    <t>Online Newspaper</t>
  </si>
  <si>
    <t>Daily Newspaper Circ</t>
  </si>
  <si>
    <t>Daily Newspaper Adv</t>
  </si>
  <si>
    <t>Statistics Canada Statistics Canada (2023), Labour Force Survey, custom tabulation: Total
employment for journalists (NOC 51113) and Professional occupations in advertising, marketing and public relations (NOC 11202). Statistics Canada's (2023) Labour Force Survey transitioned from the National Occupational Classification (NOC) 2016 to version 2021 in January 2023. Its estimates for the number of full-time journalists were also revised slightly, showing a few hundred more or less full-time journalists in any given year for the period 2006-2021 than originally reported. These changes do not alter the story one way or another.</t>
  </si>
  <si>
    <t>Total Full Time Employed Journalists</t>
  </si>
  <si>
    <t>Total Employed in Advertising, Marketing &amp; PR</t>
  </si>
  <si>
    <r>
      <rPr>
        <sz val="9"/>
        <rFont val="Arial"/>
        <family val="2"/>
      </rPr>
      <t>Media</t>
    </r>
  </si>
  <si>
    <t>News &amp; Information Category - Top 35 Ranked by Average Monthly Uvs (000. Average Monthly Visitors (000) January - December 2023</t>
  </si>
  <si>
    <r>
      <rPr>
        <sz val="9"/>
        <rFont val="Arial"/>
        <family val="2"/>
      </rPr>
      <t>Total Internet : Total Audience</t>
    </r>
  </si>
  <si>
    <r>
      <rPr>
        <sz val="9"/>
        <rFont val="Arial"/>
        <family val="2"/>
      </rPr>
      <t>News/Information</t>
    </r>
  </si>
  <si>
    <r>
      <rPr>
        <sz val="9"/>
        <rFont val="Arial"/>
        <family val="2"/>
      </rPr>
      <t>CBC-Radio Canada Sites</t>
    </r>
  </si>
  <si>
    <r>
      <rPr>
        <sz val="9"/>
        <rFont val="Arial"/>
        <family val="2"/>
      </rPr>
      <t>Microsoft Start</t>
    </r>
  </si>
  <si>
    <r>
      <rPr>
        <sz val="9"/>
        <rFont val="Arial"/>
        <family val="2"/>
      </rPr>
      <t>Yahoo News Network</t>
    </r>
  </si>
  <si>
    <r>
      <rPr>
        <sz val="9"/>
        <rFont val="Arial"/>
        <family val="2"/>
      </rPr>
      <t>Pelmorex Corp.</t>
    </r>
  </si>
  <si>
    <r>
      <rPr>
        <sz val="9"/>
        <rFont val="Arial"/>
        <family val="2"/>
      </rPr>
      <t>CTV</t>
    </r>
  </si>
  <si>
    <r>
      <rPr>
        <sz val="9"/>
        <rFont val="Arial"/>
        <family val="2"/>
      </rPr>
      <t>Postmedia Network Canada Corp.</t>
    </r>
  </si>
  <si>
    <r>
      <rPr>
        <sz val="9"/>
        <rFont val="Arial"/>
        <family val="2"/>
      </rPr>
      <t>CNN Network (w/ history)</t>
    </r>
  </si>
  <si>
    <r>
      <rPr>
        <sz val="9"/>
        <rFont val="Arial"/>
        <family val="2"/>
      </rPr>
      <t>NBC News Digital</t>
    </r>
  </si>
  <si>
    <r>
      <rPr>
        <sz val="9"/>
        <rFont val="Arial"/>
        <family val="2"/>
      </rPr>
      <t>Torstar Digital</t>
    </r>
  </si>
  <si>
    <r>
      <rPr>
        <sz val="9"/>
        <rFont val="Arial"/>
        <family val="2"/>
      </rPr>
      <t>BBC Sites</t>
    </r>
  </si>
  <si>
    <t>DARKSKY.NET</t>
  </si>
  <si>
    <r>
      <rPr>
        <sz val="9"/>
        <rFont val="Arial"/>
        <family val="2"/>
      </rPr>
      <t>Zoomer Daily Hive BlogTO Sites</t>
    </r>
  </si>
  <si>
    <r>
      <rPr>
        <sz val="9"/>
        <rFont val="Arial"/>
        <family val="2"/>
      </rPr>
      <t>Globe And Mail</t>
    </r>
  </si>
  <si>
    <r>
      <rPr>
        <sz val="9"/>
        <rFont val="Arial"/>
        <family val="2"/>
      </rPr>
      <t>New York Times Digital</t>
    </r>
  </si>
  <si>
    <r>
      <rPr>
        <sz val="9"/>
        <rFont val="Arial"/>
        <family val="2"/>
      </rPr>
      <t>Apple News (Mobile App)</t>
    </r>
  </si>
  <si>
    <r>
      <rPr>
        <sz val="9"/>
        <rFont val="Arial"/>
        <family val="2"/>
      </rPr>
      <t>USA TODAY Network</t>
    </r>
  </si>
  <si>
    <r>
      <rPr>
        <sz val="9"/>
        <rFont val="Arial"/>
        <family val="2"/>
      </rPr>
      <t>Future Tech</t>
    </r>
  </si>
  <si>
    <r>
      <rPr>
        <sz val="9"/>
        <rFont val="Arial"/>
        <family val="2"/>
      </rPr>
      <t>Business Insider</t>
    </r>
  </si>
  <si>
    <r>
      <rPr>
        <sz val="9"/>
        <rFont val="Arial"/>
        <family val="2"/>
      </rPr>
      <t>Fox News Media</t>
    </r>
  </si>
  <si>
    <r>
      <rPr>
        <sz val="9"/>
        <rFont val="Arial"/>
        <family val="2"/>
      </rPr>
      <t>Narcity Media</t>
    </r>
  </si>
  <si>
    <r>
      <rPr>
        <sz val="9"/>
        <rFont val="Arial"/>
        <family val="2"/>
      </rPr>
      <t>NYPost Network</t>
    </r>
  </si>
  <si>
    <r>
      <rPr>
        <sz val="9"/>
        <rFont val="Arial"/>
        <family val="2"/>
      </rPr>
      <t>Dailymail Sites</t>
    </r>
  </si>
  <si>
    <r>
      <rPr>
        <sz val="9"/>
        <rFont val="Arial"/>
        <family val="2"/>
      </rPr>
      <t>Quebecor Nouvelles</t>
    </r>
  </si>
  <si>
    <r>
      <rPr>
        <sz val="9"/>
        <rFont val="Arial"/>
        <family val="2"/>
      </rPr>
      <t>Weather Company, The</t>
    </r>
  </si>
  <si>
    <r>
      <rPr>
        <sz val="9"/>
        <rFont val="Arial"/>
        <family val="2"/>
      </rPr>
      <t>Forbes Digital</t>
    </r>
  </si>
  <si>
    <r>
      <rPr>
        <sz val="9"/>
        <rFont val="Arial"/>
        <family val="2"/>
      </rPr>
      <t>The Guardian</t>
    </r>
  </si>
  <si>
    <r>
      <rPr>
        <sz val="9"/>
        <rFont val="Arial"/>
        <family val="2"/>
      </rPr>
      <t>Rogers Digital Media News</t>
    </r>
  </si>
  <si>
    <r>
      <rPr>
        <sz val="9"/>
        <rFont val="Arial"/>
        <family val="2"/>
      </rPr>
      <t>La Presse</t>
    </r>
  </si>
  <si>
    <r>
      <rPr>
        <sz val="9"/>
        <rFont val="Arial"/>
        <family val="2"/>
      </rPr>
      <t>The Sun</t>
    </r>
  </si>
  <si>
    <r>
      <rPr>
        <sz val="9"/>
        <rFont val="Arial"/>
        <family val="2"/>
      </rPr>
      <t>Glacier Media Group</t>
    </r>
  </si>
  <si>
    <r>
      <rPr>
        <sz val="9"/>
        <rFont val="Arial"/>
        <family val="2"/>
      </rPr>
      <t>Reuters Sites</t>
    </r>
  </si>
  <si>
    <r>
      <rPr>
        <sz val="9"/>
        <rFont val="Arial"/>
        <family val="2"/>
      </rPr>
      <t>INVESTING.COM</t>
    </r>
  </si>
  <si>
    <r>
      <rPr>
        <sz val="9"/>
        <rFont val="Arial"/>
        <family val="2"/>
      </rPr>
      <t>Environment Canada</t>
    </r>
  </si>
  <si>
    <r>
      <rPr>
        <sz val="9"/>
        <rFont val="Arial"/>
        <family val="2"/>
      </rPr>
      <t>Village Media Inc.</t>
    </r>
  </si>
  <si>
    <r>
      <rPr>
        <sz val="9"/>
        <rFont val="Arial"/>
        <family val="2"/>
      </rPr>
      <t>Les Coops De L'information</t>
    </r>
  </si>
  <si>
    <r>
      <rPr>
        <sz val="9"/>
        <rFont val="Arial"/>
        <family val="2"/>
      </rPr>
      <t>TORONTOLIFE.COM</t>
    </r>
  </si>
  <si>
    <r>
      <rPr>
        <sz val="9"/>
        <rFont val="Arial"/>
        <family val="2"/>
      </rPr>
      <t>INSAUGA.COM</t>
    </r>
  </si>
  <si>
    <t xml:space="preserve">Canadian </t>
  </si>
  <si>
    <t xml:space="preserve">US </t>
  </si>
  <si>
    <t>International (excluding US)</t>
  </si>
  <si>
    <t>Digital Newspapers</t>
  </si>
  <si>
    <t>Games (console, PC, mobile)</t>
  </si>
  <si>
    <t>Online Video Servces (SVOD, TVOD and AVOD)</t>
  </si>
  <si>
    <t>Print Newspapers</t>
  </si>
  <si>
    <t xml:space="preserve"> Figure 40: Online media services vs legacy content media, 2000-2023 (Current $, Millions)</t>
  </si>
  <si>
    <t>Figure 41: The Rise and Fall of Advertising-funded Traditional Media, 1984-2023 (millions, current$)</t>
  </si>
  <si>
    <t>Figure 42: Internet Advertising Outstrips Advertising on Television and Other Media by a Widening Margin, 1984-2023</t>
  </si>
  <si>
    <t>Figure 44: Advertising Spending as a Percentage of the Entire Network Media Economy, 2004-2023</t>
  </si>
  <si>
    <t>Figure 45: The Advertising Economy?: Ad Spending Per Capita, 2004-2023 (millions, current$)</t>
  </si>
  <si>
    <t>Figure 47: Search Engines--Desktop, Market Shares, and Concentration Levels, 2009 - 2023</t>
  </si>
  <si>
    <t>Figure 48: Google’s Vertically-Integrated Ad-Tech Stack</t>
  </si>
  <si>
    <t>Figure 49: Social Media Sites, 2011-2023</t>
  </si>
  <si>
    <t>Figure 50: Meta's Canadian subscribers and average revenue per user (ARPU), 2011-2023</t>
  </si>
  <si>
    <t>Figure 51: Advertising Revenue Across All Media, Market Shares and Concentration Scores, 2017-2023</t>
  </si>
  <si>
    <t>Figure 52: CR 1 and CR4 scores and vertically integrated communications conglomerates vs big tech and streaming media services, 1984-2023 (market share based on revenue)</t>
  </si>
  <si>
    <t>Figure 53: Upheaval and the remaking of radio, 1984-2023 (current $, millions)</t>
  </si>
  <si>
    <t>Figure 54: Online video market growth in Canada: 2011-2023 (millions, current$)</t>
  </si>
  <si>
    <t>Figure 55: Online video market concentration trends 2015, 2019, 2023 (based on revenue)</t>
  </si>
  <si>
    <t>Figure 56: Online video market concentration, 2023 (based on subscribers)</t>
  </si>
  <si>
    <t>Figure 57: Online Video Distributors, 2015, 2019 vs 2023 (Market Share based on revenue) with YT</t>
  </si>
  <si>
    <t>Figure 58: Growth &amp; Upheaval in the Canadian Video Market, 1984-2023 (current$, millions)</t>
  </si>
  <si>
    <t>Figure 59: Television ownership groups and the evolution of television, 1984-2023 (based on revenue, millions $)</t>
  </si>
  <si>
    <t>Figure 60: CR Scores for Television, 1984-2023</t>
  </si>
  <si>
    <t>Figure 61: HHI Scores for Television, 1984-2023</t>
  </si>
  <si>
    <t>Figure 62: Total Film and TV Production in Canada, 2001-2023 (millions, current$)</t>
  </si>
  <si>
    <t>Figure 63: Changes in how we pay for television--advertising, subscriber fees, and public funds, 1984-2023</t>
  </si>
  <si>
    <t>Figure 64: Newspaper Revenue, 2004-2023 (current$, millions)</t>
  </si>
  <si>
    <t>Figure 65: Journalists vs the PR, Advertising and Marketing Professions, 1987-2022</t>
  </si>
  <si>
    <t>Figure 66: Internet News Sources--Share of Average Monthly Users, 2023</t>
  </si>
  <si>
    <t>Figure 39: Traditional and online media revenue, 1984–2023 (current $ millions)</t>
  </si>
  <si>
    <t>Canada Google Play Store CDN$ (000,000)</t>
  </si>
  <si>
    <t>Canada Apple Appstore Revenue CDN$ (millions)</t>
  </si>
  <si>
    <t>Canada Apple Appstore Revenue Market share</t>
  </si>
  <si>
    <t>Canada Google Play Store Market share</t>
  </si>
  <si>
    <t>Canada Apple Games Revenue CDN$ (millions)</t>
  </si>
  <si>
    <t>Canada Google Play Games (PWC Canada/US est.) CDN$ (000,000)</t>
  </si>
  <si>
    <t>Apple Games / App store $</t>
  </si>
  <si>
    <t>Google Games / App store $</t>
  </si>
  <si>
    <t>Figure 67: Appstore distribution and video game app revenue, 2011-2023 (current$, millions)</t>
  </si>
  <si>
    <t>Apple App Store Games</t>
  </si>
  <si>
    <t>Apple App Store Other</t>
  </si>
  <si>
    <t>Google Play Games</t>
  </si>
  <si>
    <t>Google Play Store Other</t>
  </si>
  <si>
    <t>Consoles</t>
  </si>
  <si>
    <t>PC</t>
  </si>
  <si>
    <t>Figure 68: Gaming Industry Revenues in Canada, 1984—2023 (current $, millions)</t>
  </si>
  <si>
    <t>Other (Millions CDN$)</t>
  </si>
  <si>
    <t>Mobile (Millions CDN$)</t>
  </si>
  <si>
    <t>PC (Millions CDN$)</t>
  </si>
  <si>
    <t>Console (Millions CDN$)</t>
  </si>
  <si>
    <t xml:space="preserve">Figure 69: Leading Games Platforms and Publishers in Canada, 2023 (current $, millions) </t>
  </si>
  <si>
    <t>Total Revenue (Millions local$)</t>
  </si>
  <si>
    <t>Other (millions CDN$)</t>
  </si>
  <si>
    <t>Digital Sales/Download (Millions CDN$)</t>
  </si>
  <si>
    <t>Apple App Store</t>
  </si>
  <si>
    <t>Tencent Games</t>
  </si>
  <si>
    <t>Google Play</t>
  </si>
  <si>
    <t>Steam</t>
  </si>
  <si>
    <t>Warner Brothers</t>
  </si>
  <si>
    <t>Take-Two Interactive</t>
  </si>
  <si>
    <t xml:space="preserve">HHI </t>
  </si>
  <si>
    <t>Total Revenue (2023)(CDN$ millions)</t>
  </si>
  <si>
    <t>Revenue ($ millions)</t>
  </si>
  <si>
    <t>Total Revenue (CDN$ millions)</t>
  </si>
  <si>
    <t>Revenue (millions)</t>
  </si>
  <si>
    <t>Digital Music (Milllions CDN$)</t>
  </si>
  <si>
    <t>Traditional Music (Milllions CDN$)</t>
  </si>
  <si>
    <t>Other Revenue (Millions CDN$)</t>
  </si>
  <si>
    <t>Ad Revenue (Millions CDN$)</t>
  </si>
  <si>
    <t>Subscriber Revenue (Millions CDN$)</t>
  </si>
  <si>
    <t>Publishing Royalties (Millions CDN$)</t>
  </si>
  <si>
    <t>Live Entertainment Revenue (Millions CDN$)</t>
  </si>
  <si>
    <t>Physical Sales (Millions CDN$)</t>
  </si>
  <si>
    <t>Figure 71: Total Music Industry Revenues in Canada, 1984—2023 (current $, millions)</t>
  </si>
  <si>
    <t>Figure 70: Gaming Publishers and Platforms, 2023 (Market Share based on $)</t>
  </si>
  <si>
    <t>Figure 72: Music Platforms and Publishing, 2023 (Market Share based on $)</t>
  </si>
  <si>
    <t>Amazon Prime Music</t>
  </si>
  <si>
    <t>Sony Music, Columbia</t>
  </si>
  <si>
    <t>Apple Music</t>
  </si>
  <si>
    <t>YouTube Music</t>
  </si>
  <si>
    <t>Advertising Revenue (Millions CDN$)</t>
  </si>
  <si>
    <t>Publishing</t>
  </si>
  <si>
    <t>Concerts/Live</t>
  </si>
  <si>
    <t>Physical Sales</t>
  </si>
  <si>
    <t>Figure 73: Changing Composition of Music Revenues, 2000, 2012 &amp; 2023 (current $, millions)</t>
  </si>
  <si>
    <t>Streaming &amp; Download</t>
  </si>
  <si>
    <t>Pooled CR4</t>
  </si>
  <si>
    <t>Pooled Average HHI</t>
  </si>
  <si>
    <t>Pay &amp; Spec. TV</t>
  </si>
  <si>
    <t xml:space="preserve">Online Video </t>
  </si>
  <si>
    <t>Conv. TV</t>
  </si>
  <si>
    <t>Online Video</t>
  </si>
  <si>
    <t>Total (millions$)</t>
  </si>
  <si>
    <t>Online Music Services</t>
  </si>
  <si>
    <t>Sector Revenue</t>
  </si>
  <si>
    <t>Continental Newspapers Canada Ltd./Glacier Media</t>
  </si>
  <si>
    <t>Woodbridge Company (Thomson Family)</t>
  </si>
  <si>
    <t>EastLink</t>
  </si>
  <si>
    <t xml:space="preserve">Power Corp </t>
  </si>
  <si>
    <t>972.8</t>
  </si>
  <si>
    <t>Leading International Internet Companies</t>
  </si>
  <si>
    <t>Figure 75: Growth of the online media economy, 2011-2023 (current $, millions)</t>
  </si>
  <si>
    <t>PooledHHI</t>
  </si>
  <si>
    <t>Cloud Services</t>
  </si>
  <si>
    <t>ByteDance (TikTok)</t>
  </si>
  <si>
    <t>Internet content aggregators &amp; distributors share of online media (%)</t>
  </si>
  <si>
    <t>Online + legacy media ($ millions)</t>
  </si>
  <si>
    <t>Internet content aggregators &amp; distributors share of online + legacy media (%)</t>
  </si>
  <si>
    <t>Figure 77: Leading internet content aggregators &amp; distributors in Canada, 2023 (millions$)</t>
  </si>
  <si>
    <t>Spotify % of online + legacy media</t>
  </si>
  <si>
    <t>TikTok % of online + legacy media</t>
  </si>
  <si>
    <t>Activision Blizzard % of online + legacy media</t>
  </si>
  <si>
    <t>Twitter % of online + legacy media</t>
  </si>
  <si>
    <t>Internet content aggregators &amp; distributors % of online + legacy media</t>
  </si>
  <si>
    <t>Google % of online + legacy media</t>
  </si>
  <si>
    <t>Facebook % of online + legacy media</t>
  </si>
  <si>
    <t>Amazon % of online + legacy media</t>
  </si>
  <si>
    <t>Netflix % of online + legacy media</t>
  </si>
  <si>
    <t>Microsoft % of online + legacy media</t>
  </si>
  <si>
    <t>Apple % of online + legacy media</t>
  </si>
  <si>
    <t>Sony % of online + legacy media</t>
  </si>
  <si>
    <t xml:space="preserve">Figure 76: Internet content aggregators &amp; distributors growing share of online and legacy media revenue 2013-2023 (current $, millions)    </t>
  </si>
  <si>
    <t>Figure 78: Leading media aggregation, distribution, and content companies in Canada, 2023 (Millions$)</t>
  </si>
  <si>
    <t>International cos' revenue share (%)</t>
  </si>
  <si>
    <t>Explornet</t>
  </si>
  <si>
    <t>Globe and Mail</t>
  </si>
  <si>
    <t>Figure 81: CR  1, 4 and 10 Scores and Vertically Integrated Company Market Share for the Network Media Economy, 1984-2023</t>
  </si>
  <si>
    <t>South Korea</t>
  </si>
  <si>
    <t>Big Tech</t>
  </si>
  <si>
    <t>NA</t>
  </si>
  <si>
    <t>Microsoft Intelligent Cloud</t>
  </si>
  <si>
    <t>Amazon Web Services</t>
  </si>
  <si>
    <t>IBM</t>
  </si>
  <si>
    <t>Alibaba</t>
  </si>
  <si>
    <t>Salesforce</t>
  </si>
  <si>
    <t>Figure 83: Cloud computing in Canada, market share based on revenue, 2023</t>
  </si>
  <si>
    <t>Figure 84: Leading telecom, internet, cloud computing and media companies in Canada, 2023 (based on revenue, millions$)</t>
  </si>
  <si>
    <t>Spain</t>
  </si>
  <si>
    <t>Mexico</t>
  </si>
  <si>
    <t>Figure 80: Weighted HHI for digital &amp; legacy media</t>
  </si>
  <si>
    <t xml:space="preserve">Figure 82: Weighted HHI for Total NME </t>
  </si>
  <si>
    <t>Figure 79: Weighted HHI for online/digital media w/o YT</t>
  </si>
  <si>
    <r>
      <t>Source:</t>
    </r>
    <r>
      <rPr>
        <sz val="12"/>
        <color theme="1"/>
        <rFont val="Aptos Narrow"/>
        <family val="2"/>
        <scheme val="minor"/>
      </rPr>
      <t xml:space="preserve"> OECD (December 2023). Broadband statistics. Table 1.2.1. OECD Fixed broadband subscriptions per 100 inhabitants, by technology, December 2023 and Table 1.10. Percentage of fibre connections in total fixed broadband, December 2023. </t>
    </r>
  </si>
  <si>
    <t>Figure 37: Residential Internet Access Services by Type of ISP: Market Share, CR4 and HHI Scores based on Subscribers, 2000-2023</t>
  </si>
  <si>
    <t>Figure 43: Advertising Spending as a Percentage of Canadian Gross Domestic Income, 2004-2023</t>
  </si>
  <si>
    <r>
      <t xml:space="preserve">Source: </t>
    </r>
    <r>
      <rPr>
        <sz val="12"/>
        <color rgb="FF000000"/>
        <rFont val="Aptos Narrow"/>
        <family val="2"/>
        <scheme val="minor"/>
      </rPr>
      <t xml:space="preserve">StatCounter. Global Stats (Various Years). http://gs.statcounter.com/search-engine-market-share/all/canada/. Each year is based on December sample. </t>
    </r>
  </si>
  <si>
    <t>Sources and note: Meta's Annual Report 2023, p. 103 identifies revenue for US and Canada for 2021 to 2023 ($52.88 billion for 2023) and in a footnote to its revenue figures gives a stand-alone figure for the U.S. in 2023 of $49.78 billion for the US. The balance, therefore, is attributable to Canada. The residual for Canada is $3,108 million (USD) or $4,194.87 million CDN$ at currency exchange rate of 1.3497 CDN$:USD. 
Data for year-over-year monthly average users (MAU) for 2017 and thereafter is from DataReportal Digital in Canada and based on reported advertising reach data. https://datareportal.com/digital-in-canada. The years between 2011 and 2016 are based year-over-year MAU from eMarketer (2024). Social Network Users, by Platform (Canada): Internet users of any age who access their Facebook account via any device at least once per month.</t>
  </si>
  <si>
    <t>Source and Notes: Nordicity (various years). Economic Profile, Exhibit 1-2 Total volume of film and TV production in Canada (Study prepared for CMPA, Heritage Canada, Telefilm Canada &amp; Association québécoise de la production médiatique); CMPA/Heritage Canada (various years). Economic Profile, Exhibit 1-2 Total volume of film and TV production in Canada; CMPA (2010). Economic Profile, Exhibit 1-1 Total volume of film and TV production in Canada. Note: Year runs from April 1 to March 31.</t>
  </si>
  <si>
    <t>Figure 85: Select international comparison of CR4 and HHI figures</t>
  </si>
  <si>
    <r>
      <rPr>
        <sz val="12"/>
        <color theme="1"/>
        <rFont val="Aptos"/>
        <family val="2"/>
      </rPr>
      <t>Sources &amp; Notes. 1969 or most recent year. Canada Special Senate Committee on the Mass Media. Vol. II: Words, music, and dollars. Ottawa: Queen’s Printer, pp. 172, 192, 527, 534, 572; entry for music is an estimated based on CAGR from 1984; Statistics Canada (1970). Telephone statistics. Table 18: Revenue of the Telephone Industry , by Province, 1969. p. 25. Ottawa: Dominion Bureau of Statistics.</t>
    </r>
  </si>
  <si>
    <t>Figure 26: Mobile data usage per mobile broadband subscription per month, 2017-2023</t>
  </si>
  <si>
    <t>Figure 27: Mobile Wireless Operators’ National Market Share, 1985-2023 (based on revenue)</t>
  </si>
  <si>
    <t>Figure 32: Broadcasting distribution revenues by type of provider, 2004–2023 (current $, millions)</t>
  </si>
  <si>
    <t>Figure 46: Internet Advertising: Revenue, Market Shares and Concentration Scores (based on $), 2014-2023</t>
  </si>
  <si>
    <t xml:space="preserve">Figure 74: Leading Music Streaming and Publishers in Canada, 2023 (current $, millions) </t>
  </si>
  <si>
    <t>Figure 39: Traditional and online media revenue, 1984–2023 (current $, millions)</t>
  </si>
  <si>
    <t>Figure 40: Online media services vs legacy content media, 2000-2023 (current $, millions)</t>
  </si>
  <si>
    <t>Figure 41: The Rise and Fall of Advertising-funded Traditional Media, 1984-2023 (current $, millions)</t>
  </si>
  <si>
    <t>Figure 45: The Advertising Economy?: Ad Spending Per Capita, 2004-2023 (current $, millions)</t>
  </si>
  <si>
    <t>Figure 54: Online video market growth in Canada: 2011-2023 (current $, millions)</t>
  </si>
  <si>
    <t>Figure 58: Growth &amp; Upheaval in the Canadian Video Market, 1984-2023 (current $, millions)</t>
  </si>
  <si>
    <t>Figure 62: Total Film and TV Production in Canada, 2001-2023 (current $, millions)</t>
  </si>
  <si>
    <t>Figure 64: Newspaper Revenue, 2004-2023 (current $, millions)</t>
  </si>
  <si>
    <t>Figure 67: Appstore distribution and video game app revenue, 2011-2023 (current $, millions)</t>
  </si>
  <si>
    <t>Figure 78: Leading media aggregation, distribution, and content companies in Canada, 2023 (millions$)</t>
  </si>
  <si>
    <t>Figure 13: Communication vs Content at Canada’s Vertically-Integrated Telecoms and Media Companies, 2023 (Ratio by Revenue)</t>
  </si>
  <si>
    <t>CR1 (Netflix)</t>
  </si>
  <si>
    <t>Figure 9: Leading telecoms, broadcasting &amp; publishing companies in Canada, 1984 (current $, millions)</t>
  </si>
  <si>
    <t xml:space="preserve">Sources and notes: The following sources and estimates are used to arrive at our estimates, with much thanks to Jason Buckweitz at Centre for Tele-Information, Columbia University for his keen insights and generous help: 
Amazon: $85,660,000,000 (Global)  (31.7%): https://www.crn.com/news/cloud/aws-microsoft-google-s-cloud-market-share-q1-2023?page=4; https://www.crn.com/news/cloud/cloud-market-share-q2-2023-aws-microsoft-google-battle?page=6; https://www.crn.com/news/cloud/microsoft-aws-google-cloud-market-share-q3-2023-results?page=6; https://www.crn.com/news/cloud/2024/cloud-market-share-q4-2023-results-aws-falls-as-microsoft-grows?page=6; 68.8% of revenue comes from US per Amazon’s annual report, p. 69.  https://s2.q4cdn.com/299287126/files/doc_financials/2024/ar/Amazon-com-Inc-2023-Annual-Report.pdf. US Cloud Revenue $58,934,080,000
 Microsoft: $62,190,000,000 (Global) (23%). https://www.crn.com/news/cloud/aws-microsoft-google-s-cloud-market-share-q1-2023?page=3; https://www.crn.com/news/cloud/cloud-market-share-q2-2023-aws-microsoft-google-battle?page=5; https://www.crn.com/news/cloud/microsoft-aws-google-cloud-market-share-q3-2023-results?page=5; https://www.crn.com/news/cloud/2024/cloud-market-share-q4-2023-results-aws-falls-as-microsoft-grows?page=5; 50.87% of revenue from the US per Microsoft’s annual report https://www.microsoft.com/investor/reports/ar24/index.html. US Cloud Revenue: $31,636,053,000
 Google:$ 29,070,000,000 (Global) (10.8%). https://www.crn.com/news/cloud/aws-microsoft-google-s-cloud-market-share-q1-2023?page=2; https://www.crn.com/news/cloud/cloud-market-share-q2-2023-aws-microsoft-google-battle?page=4; https://www.crn.com/news/cloud/microsoft-aws-google-cloud-market-share-q3-2023-results?page=4; https://www.crn.com/news/cloud/2024/cloud-market-share-q4-2023-results-aws-falls-as-microsoft-grows?page=4; 47.6% of revenue from the US per annual Alphabet annual report, p. 61 https://abc.xyz/assets/52/88/5de1d06943cebc569ee3aa3a6ded/goog023-alphabet-2023-annual-report-web-1.pdf. US Cloud Revenue $13,837,320,000.
 Alibaba: $10,800,000,000 (4%). https://www.crn.com/news/cloud/aws-microsoft-google-s-cloud-market-share-q1-2023?page=2; https://www.crn.com/news/cloud/cloud-market-share-q2-2023-aws-microsoft-google-battle?page=4; https://www.crn.com/news/cloud/microsoft-aws-google-cloud-market-share-q3-2023-results?page=4; https://www.crn.com/news/cloud/2024/cloud-market-share-q4-2023-results-aws-falls-as-microsoft-grows?page=4. This one difficult because Alibaba lumps all of their non China revenue together as one pool.  It’s 10% of the companies total revenue per Alibaba Annual report, p. 229. The US would be only a portion of that, so estimate that 5% of the amount goes to the US. Alibaba’s estimted US Cloud Revenue: $540,000,000
Salesforce: $8,100,000,000 (3%). https://www.crn.com/news/cloud/aws-microsoft-google-s-cloud-market-share-q1-2023?page=2; https://www.crn.com/news/cloud/cloud-market-share-q2-2023-aws-microsoft-google-battle?page=4; https://www.crn.com/news/cloud/microsoft-aws-google-cloud-market-share-q3-2023-results?page=4; https://www.crn.com/news/cloud/2024/cloud-market-share-q4-2023-results-aws-falls-as-microsoft-grows?page=4.  
Salesforce annual report, p. 60, reports 67% of revenue comes from the Americas. Per page 60 of their annual report. The US typically makes up 92% of revenue from Americas. Thus attribute 61.5% to US. 
US Cloud Revenue: $4,981,500,000
IBM: Global $7,360,000,000 (2.72%). https://www.crn.com/news/cloud/aws-microsoft-google-s-cloud-market-share-q1-2023?page=2; https://www.crn.com/news/cloud/cloud-market-share-q2-2023-aws-microsoft-google-battle?page=4; https://www.crn.com/news/cloud/microsoft-aws-google-cloud-market-share-q3-2023-results?page=4; https://www.crn.com/news/cloud/2024/cloud-market-share-q4-2023-results-aws-falls-as-microsoft-grows?page=4.  
IBM annual report, p. 21 reports 51.2% of revenue comes from the Americs.  The US typically makes up 92% of revenue from Americas.  Thus attribute 47.1% to US.  
US Cloud Revenue:$3,466,560,000
Apple: iOS accounts for 60.5% of the mobile operating system market in Canada (Statcounter). Mobile broadband penetration rate in Canada for 2023 was 93.5% (CRTC). Assuming that iPhone users are also Mac users, and that half of them subscribe to iCloud's standard 200GB storage plan @ $2.99 per month and that there were 15.36 million households in Canada last year (Statistics Canada) (so 7.22 million iCloud subscribers. Apple iCloud website. 
Canadian market is estimated to be 7.7% of US based on GDP of both countries. All US dollars converted to Canadian dollars using Bank of Canada annual average exchange rate. </t>
  </si>
  <si>
    <t>Online and traditional media services: Broadcast TV; Pay &amp; Specialty TV;  Streaming video services (SVOD, TVOD, AVOD); Radio (ad-funded, public service and paid subscription); Internet advertising; Traditional Music (physical, publishing, live concerts); Streaming music (paid subscription and ad-funded streaming services and downloads); Video games (console, PC and mobile); App distribution; Newspapers; Magazines.</t>
  </si>
  <si>
    <r>
      <rPr>
        <sz val="12"/>
        <color rgb="FF222222"/>
        <rFont val="Times"/>
      </rPr>
      <t>Telecoms and internet access services: wireline telecoms; mobile wireless service; internet service providers; BDU (Cable, Sat &amp; IPTV)</t>
    </r>
  </si>
  <si>
    <r>
      <rPr>
        <sz val="12"/>
        <color rgb="FF222222"/>
        <rFont val="Times"/>
      </rPr>
      <t>Core internet applications and sectors: Online news sources; Search engines; Social media and video sharing platforms; Mobile and Desktop operating systems; and Mobile and Desktop browsers</t>
    </r>
  </si>
  <si>
    <t>Google % of online media</t>
  </si>
  <si>
    <t>Facebook % of online media</t>
  </si>
  <si>
    <t>Amazon % of online media</t>
  </si>
  <si>
    <t>Netflix % of online media</t>
  </si>
  <si>
    <t>Microsoft % of online media</t>
  </si>
  <si>
    <t>Apple % of online media</t>
  </si>
  <si>
    <t>Sony % of onlinemedia</t>
  </si>
  <si>
    <t>Disney % of online media</t>
  </si>
  <si>
    <t>Spotify % of online media</t>
  </si>
  <si>
    <t>TikTok % of online media</t>
  </si>
  <si>
    <t>Activision Blizzard % of online media</t>
  </si>
  <si>
    <t>Twitter % of online media</t>
  </si>
  <si>
    <t>Online Media ($ millions)</t>
  </si>
  <si>
    <t>Internet content aggregators &amp; distributors % of online media</t>
  </si>
  <si>
    <t>Disney % of online + legacy media</t>
  </si>
  <si>
    <t xml:space="preserve">Newspapers </t>
  </si>
  <si>
    <t>Broadcast TV &amp; Pay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</si>
</sst>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 #,##0.00_)_ ;_ * \(#,##0.00\)_ ;_ * &quot;-&quot;??_)_ ;_ @_ "/>
    <numFmt numFmtId="166" formatCode="#,##0.0"/>
  </numFmts>
  <fonts count="65">
    <font>
      <sz val="12"/>
      <color theme="1"/>
      <name val="Aptos Narrow"/>
      <family val="2"/>
      <scheme val="minor"/>
    </font>
    <font>
      <sz val="12"/>
      <color theme="1"/>
      <name val="Aptos Narrow"/>
      <family val="2"/>
      <scheme val="minor"/>
    </font>
    <font>
      <u/>
      <sz val="12"/>
      <color theme="10"/>
      <name val="Aptos Narrow"/>
      <family val="2"/>
      <scheme val="minor"/>
    </font>
    <font>
      <b/>
      <sz val="12"/>
      <color rgb="FF000000"/>
      <name val="Times New Roman"/>
      <family val="1"/>
    </font>
    <font>
      <sz val="12"/>
      <color theme="1"/>
      <name val="Times New Roman"/>
      <family val="1"/>
    </font>
    <font>
      <sz val="12"/>
      <color rgb="FF000000"/>
      <name val="Times New Roman"/>
      <family val="1"/>
    </font>
    <font>
      <sz val="12"/>
      <color rgb="FF000000"/>
      <name val="Aptos Narrow"/>
      <family val="2"/>
      <scheme val="minor"/>
    </font>
    <font>
      <sz val="11"/>
      <color theme="1"/>
      <name val="Aptos Narrow"/>
      <family val="2"/>
      <scheme val="minor"/>
    </font>
    <font>
      <b/>
      <sz val="12"/>
      <color theme="1"/>
      <name val="Times New Roman"/>
      <family val="1"/>
    </font>
    <font>
      <sz val="12"/>
      <name val="Times New Roman"/>
      <family val="1"/>
    </font>
    <font>
      <sz val="10"/>
      <name val="Verdana"/>
      <family val="2"/>
    </font>
    <font>
      <sz val="10"/>
      <color rgb="FF000000"/>
      <name val="Tahoma"/>
      <family val="2"/>
    </font>
    <font>
      <sz val="10"/>
      <color rgb="FF000000"/>
      <name val="Calibri"/>
      <family val="2"/>
    </font>
    <font>
      <sz val="10"/>
      <color rgb="FF000000"/>
      <name val="Times New Roman"/>
      <family val="18"/>
    </font>
    <font>
      <b/>
      <sz val="10"/>
      <color rgb="FF000000"/>
      <name val="Tahoma"/>
      <family val="2"/>
    </font>
    <font>
      <sz val="10"/>
      <color rgb="FF000000"/>
      <name val="Aptos Narrow"/>
      <family val="2"/>
      <scheme val="minor"/>
    </font>
    <font>
      <i/>
      <sz val="10"/>
      <color rgb="FF000000"/>
      <name val="Aptos Narrow"/>
      <family val="2"/>
      <scheme val="minor"/>
    </font>
    <font>
      <sz val="12"/>
      <color theme="1"/>
      <name val="Aptos"/>
    </font>
    <font>
      <b/>
      <sz val="12"/>
      <color theme="1"/>
      <name val="Aptos"/>
    </font>
    <font>
      <sz val="10"/>
      <name val="Arial Narrow"/>
      <family val="2"/>
    </font>
    <font>
      <u/>
      <sz val="10"/>
      <color rgb="FF000000"/>
      <name val="Calibri"/>
      <family val="2"/>
    </font>
    <font>
      <b/>
      <sz val="10"/>
      <color rgb="FF000000"/>
      <name val="+mn-lt"/>
      <charset val="1"/>
    </font>
    <font>
      <sz val="10"/>
      <color rgb="FF000000"/>
      <name val="+mn-lt"/>
      <charset val="1"/>
    </font>
    <font>
      <sz val="12"/>
      <color rgb="FF000000"/>
      <name val="+mn-lt"/>
      <charset val="1"/>
    </font>
    <font>
      <u/>
      <sz val="12"/>
      <color rgb="FF000000"/>
      <name val="+mn-lt"/>
      <charset val="1"/>
    </font>
    <font>
      <u/>
      <sz val="10"/>
      <color rgb="FF000000"/>
      <name val="Aptos Narrow"/>
      <family val="2"/>
      <scheme val="minor"/>
    </font>
    <font>
      <b/>
      <sz val="10"/>
      <color rgb="FF000000"/>
      <name val="Calibri"/>
      <family val="2"/>
    </font>
    <font>
      <sz val="10"/>
      <color rgb="FF000000"/>
      <name val="Aptos Narrow"/>
      <family val="2"/>
    </font>
    <font>
      <u/>
      <sz val="10"/>
      <color rgb="FF000000"/>
      <name val="Aptos Narrow"/>
      <family val="2"/>
    </font>
    <font>
      <i/>
      <sz val="10"/>
      <color rgb="FF000000"/>
      <name val="Calibri"/>
      <family val="2"/>
    </font>
    <font>
      <b/>
      <sz val="10"/>
      <color rgb="FF000000"/>
      <name val="Times New Roman"/>
      <family val="18"/>
    </font>
    <font>
      <u/>
      <sz val="10"/>
      <color rgb="FF000000"/>
      <name val="+mn-lt"/>
      <charset val="1"/>
    </font>
    <font>
      <i/>
      <sz val="10"/>
      <color rgb="FF000000"/>
      <name val="Times New Roman"/>
      <family val="18"/>
    </font>
    <font>
      <i/>
      <vertAlign val="superscript"/>
      <sz val="10"/>
      <color rgb="FF000000"/>
      <name val="Times New Roman"/>
      <family val="18"/>
    </font>
    <font>
      <b/>
      <sz val="10"/>
      <color rgb="FF000000"/>
      <name val="Aptos Narrow"/>
      <family val="2"/>
      <scheme val="minor"/>
    </font>
    <font>
      <u/>
      <sz val="12"/>
      <color rgb="FF000000"/>
      <name val="Times New Roman"/>
      <family val="18"/>
    </font>
    <font>
      <u/>
      <sz val="10"/>
      <color rgb="FF000000"/>
      <name val="Times New Roman"/>
      <family val="18"/>
    </font>
    <font>
      <sz val="10"/>
      <color rgb="FF000000"/>
      <name val="Aptos Narrow"/>
    </font>
    <font>
      <sz val="10"/>
      <color rgb="FF000000"/>
      <name val="Aptos Narrow"/>
      <scheme val="minor"/>
    </font>
    <font>
      <sz val="10"/>
      <color theme="1"/>
      <name val="Arial"/>
      <family val="2"/>
    </font>
    <font>
      <sz val="10"/>
      <name val="Arial"/>
      <family val="2"/>
    </font>
    <font>
      <sz val="18"/>
      <color rgb="FF000000"/>
      <name val="Calibri"/>
      <family val="2"/>
    </font>
    <font>
      <sz val="10"/>
      <color rgb="FF000000"/>
      <name val="Verdana"/>
      <family val="2"/>
    </font>
    <font>
      <i/>
      <sz val="10"/>
      <color rgb="FF000000"/>
      <name val="Aptos Narrow"/>
      <family val="2"/>
    </font>
    <font>
      <sz val="10"/>
      <color rgb="FF000000"/>
      <name val="Arial"/>
      <family val="2"/>
    </font>
    <font>
      <sz val="9"/>
      <color rgb="FF000000"/>
      <name val="Arial"/>
      <family val="2"/>
    </font>
    <font>
      <b/>
      <sz val="9"/>
      <color rgb="FF000000"/>
      <name val="Arial"/>
      <family val="2"/>
    </font>
    <font>
      <sz val="10.5"/>
      <color rgb="FF000000"/>
      <name val="+mn-lt"/>
      <charset val="1"/>
    </font>
    <font>
      <sz val="10.5"/>
      <color rgb="FF000000"/>
      <name val="Times New Roman"/>
      <family val="18"/>
    </font>
    <font>
      <i/>
      <sz val="12"/>
      <color rgb="FF000000"/>
      <name val="+mn-lt"/>
      <charset val="1"/>
    </font>
    <font>
      <sz val="9"/>
      <name val="Arial"/>
      <family val="2"/>
    </font>
    <font>
      <u/>
      <sz val="10"/>
      <color rgb="FF000000"/>
      <name val="Aptos"/>
      <family val="34"/>
    </font>
    <font>
      <sz val="10"/>
      <color rgb="FF000000"/>
      <name val="Aptos"/>
      <family val="34"/>
    </font>
    <font>
      <b/>
      <sz val="12"/>
      <color theme="1"/>
      <name val="Aptos"/>
      <family val="2"/>
    </font>
    <font>
      <sz val="12"/>
      <color theme="1"/>
      <name val="Aptos"/>
      <family val="2"/>
    </font>
    <font>
      <sz val="12"/>
      <name val="Aptos"/>
      <family val="2"/>
    </font>
    <font>
      <i/>
      <sz val="13"/>
      <name val="Aptos"/>
      <family val="2"/>
    </font>
    <font>
      <sz val="13"/>
      <color theme="1"/>
      <name val="Aptos"/>
      <family val="2"/>
    </font>
    <font>
      <sz val="13"/>
      <name val="Aptos"/>
      <family val="2"/>
    </font>
    <font>
      <sz val="12"/>
      <color rgb="FF000000"/>
      <name val="Aptos"/>
      <family val="2"/>
    </font>
    <font>
      <sz val="11"/>
      <color theme="1"/>
      <name val="Aptos"/>
      <family val="2"/>
    </font>
    <font>
      <b/>
      <sz val="12"/>
      <color rgb="FF000000"/>
      <name val="Aptos Narrow"/>
      <family val="2"/>
      <scheme val="minor"/>
    </font>
    <font>
      <u/>
      <sz val="12"/>
      <color rgb="FF0000FF"/>
      <name val="Aptos Narrow"/>
      <family val="2"/>
      <scheme val="minor"/>
    </font>
    <font>
      <sz val="12"/>
      <color rgb="FF0000FF"/>
      <name val="Aptos Narrow"/>
      <family val="2"/>
      <scheme val="minor"/>
    </font>
    <font>
      <sz val="12"/>
      <color rgb="FF222222"/>
      <name val="Times"/>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1">
    <border>
      <left/>
      <right/>
      <top/>
      <bottom/>
      <diagonal/>
    </border>
  </borders>
  <cellStyleXfs count="13">
    <xf numFmtId="0" fontId="0" fillId="0" borderId="0"/>
    <xf numFmtId="0" fontId="2" fillId="0" borderId="0" applyNumberFormat="0" applyFill="0" applyBorder="0" applyAlignment="0" applyProtection="0"/>
    <xf numFmtId="0" fontId="7" fillId="0" borderId="0"/>
    <xf numFmtId="0" fontId="10" fillId="0" borderId="0"/>
    <xf numFmtId="165" fontId="1" fillId="0" borderId="0" applyFont="0" applyFill="0" applyBorder="0" applyAlignment="0" applyProtection="0"/>
    <xf numFmtId="43" fontId="1" fillId="0" borderId="0" applyFont="0" applyFill="0" applyBorder="0" applyAlignment="0" applyProtection="0"/>
    <xf numFmtId="9" fontId="19" fillId="0" borderId="0" applyFont="0" applyFill="0" applyBorder="0" applyAlignment="0" applyProtection="0"/>
    <xf numFmtId="0" fontId="39" fillId="0" borderId="0"/>
    <xf numFmtId="0" fontId="40" fillId="0" borderId="0"/>
    <xf numFmtId="0" fontId="42" fillId="0" borderId="0"/>
    <xf numFmtId="0" fontId="1" fillId="0" borderId="0"/>
    <xf numFmtId="165" fontId="7" fillId="0" borderId="0" applyFont="0" applyFill="0" applyBorder="0" applyAlignment="0" applyProtection="0"/>
    <xf numFmtId="0" fontId="15" fillId="0" borderId="0"/>
  </cellStyleXfs>
  <cellXfs count="47">
    <xf numFmtId="0" fontId="0" fillId="0" borderId="0" xfId="0"/>
    <xf numFmtId="0" fontId="4" fillId="0" borderId="0" xfId="0" applyFont="1"/>
    <xf numFmtId="0" fontId="57" fillId="0" borderId="0" xfId="0" applyFont="1"/>
    <xf numFmtId="0" fontId="54" fillId="0" borderId="0" xfId="0" applyFont="1"/>
    <xf numFmtId="0" fontId="57" fillId="0" borderId="0" xfId="0" applyFont="1" applyAlignment="1">
      <alignment vertical="center" wrapText="1"/>
    </xf>
    <xf numFmtId="0" fontId="58" fillId="0" borderId="0" xfId="0" applyFont="1"/>
    <xf numFmtId="0" fontId="54" fillId="0" borderId="0" xfId="0" applyFont="1" applyAlignment="1">
      <alignment horizontal="left"/>
    </xf>
    <xf numFmtId="164" fontId="54" fillId="3" borderId="0" xfId="0" applyNumberFormat="1" applyFont="1" applyFill="1"/>
    <xf numFmtId="164" fontId="57" fillId="0" borderId="0" xfId="0" applyNumberFormat="1" applyFont="1"/>
    <xf numFmtId="0" fontId="54" fillId="0" borderId="0" xfId="0" applyFont="1" applyAlignment="1">
      <alignment horizontal="left" vertical="top"/>
    </xf>
    <xf numFmtId="2" fontId="54" fillId="0" borderId="0" xfId="0" applyNumberFormat="1" applyFont="1"/>
    <xf numFmtId="164" fontId="54" fillId="3" borderId="0" xfId="0" applyNumberFormat="1" applyFont="1" applyFill="1" applyAlignment="1">
      <alignment horizontal="right"/>
    </xf>
    <xf numFmtId="164" fontId="54" fillId="0" borderId="0" xfId="0" applyNumberFormat="1" applyFont="1"/>
    <xf numFmtId="164" fontId="59" fillId="0" borderId="0" xfId="0" applyNumberFormat="1" applyFont="1" applyAlignment="1">
      <alignment horizontal="left" vertical="top" wrapText="1"/>
    </xf>
    <xf numFmtId="164" fontId="54" fillId="0" borderId="0" xfId="0" applyNumberFormat="1" applyFont="1" applyAlignment="1">
      <alignment horizontal="right"/>
    </xf>
    <xf numFmtId="0" fontId="54" fillId="2" borderId="0" xfId="0" applyFont="1" applyFill="1" applyAlignment="1">
      <alignment horizontal="left" vertical="top"/>
    </xf>
    <xf numFmtId="0" fontId="54" fillId="3" borderId="0" xfId="0" applyFont="1" applyFill="1" applyAlignment="1">
      <alignment horizontal="left" vertical="top"/>
    </xf>
    <xf numFmtId="2" fontId="54" fillId="3" borderId="0" xfId="0" applyNumberFormat="1" applyFont="1" applyFill="1"/>
    <xf numFmtId="0" fontId="59" fillId="0" borderId="0" xfId="0" applyFont="1" applyAlignment="1">
      <alignment horizontal="left" vertical="top"/>
    </xf>
    <xf numFmtId="0" fontId="55" fillId="0" borderId="0" xfId="0" applyFont="1" applyAlignment="1">
      <alignment horizontal="left" vertical="top"/>
    </xf>
    <xf numFmtId="0" fontId="59" fillId="0" borderId="0" xfId="0" applyFont="1" applyAlignment="1">
      <alignment horizontal="left" vertical="top" wrapText="1"/>
    </xf>
    <xf numFmtId="164" fontId="58" fillId="0" borderId="0" xfId="0" applyNumberFormat="1" applyFont="1"/>
    <xf numFmtId="164" fontId="59" fillId="0" borderId="0" xfId="0" applyNumberFormat="1" applyFont="1" applyAlignment="1">
      <alignment horizontal="left" vertical="top"/>
    </xf>
    <xf numFmtId="164" fontId="57" fillId="0" borderId="0" xfId="0" applyNumberFormat="1" applyFont="1" applyAlignment="1">
      <alignment horizontal="left" vertical="top"/>
    </xf>
    <xf numFmtId="0" fontId="57" fillId="0" borderId="0" xfId="0" applyFont="1" applyAlignment="1">
      <alignment horizontal="left"/>
    </xf>
    <xf numFmtId="0" fontId="53" fillId="0" borderId="0" xfId="0" applyFont="1" applyAlignment="1">
      <alignment horizontal="left"/>
    </xf>
    <xf numFmtId="164" fontId="57" fillId="0" borderId="0" xfId="0" applyNumberFormat="1" applyFont="1" applyAlignment="1">
      <alignment horizontal="left"/>
    </xf>
    <xf numFmtId="2" fontId="54" fillId="0" borderId="0" xfId="0" applyNumberFormat="1" applyFont="1" applyAlignment="1">
      <alignment horizontal="left"/>
    </xf>
    <xf numFmtId="164" fontId="54" fillId="4" borderId="0" xfId="0" applyNumberFormat="1" applyFont="1" applyFill="1" applyAlignment="1">
      <alignment horizontal="left"/>
    </xf>
    <xf numFmtId="0" fontId="60" fillId="0" borderId="0" xfId="0" applyFont="1" applyAlignment="1">
      <alignment horizontal="left"/>
    </xf>
    <xf numFmtId="0" fontId="57" fillId="0" borderId="0" xfId="0" applyFont="1" applyAlignment="1">
      <alignment vertical="top"/>
    </xf>
    <xf numFmtId="164" fontId="57" fillId="0" borderId="0" xfId="0" applyNumberFormat="1" applyFont="1" applyAlignment="1">
      <alignment vertical="top"/>
    </xf>
    <xf numFmtId="2" fontId="58" fillId="0" borderId="0" xfId="0" applyNumberFormat="1" applyFont="1"/>
    <xf numFmtId="2" fontId="57" fillId="0" borderId="0" xfId="0" applyNumberFormat="1" applyFont="1"/>
    <xf numFmtId="0" fontId="59" fillId="0" borderId="0" xfId="0" applyFont="1" applyAlignment="1">
      <alignment horizontal="left"/>
    </xf>
    <xf numFmtId="0" fontId="58" fillId="0" borderId="0" xfId="0" applyFont="1" applyAlignment="1">
      <alignment horizontal="center" vertical="center" wrapText="1"/>
    </xf>
    <xf numFmtId="0" fontId="57" fillId="0" borderId="0" xfId="0" applyFont="1" applyAlignment="1">
      <alignment horizontal="center" vertical="center" wrapText="1"/>
    </xf>
    <xf numFmtId="166" fontId="57" fillId="0" borderId="0" xfId="0" applyNumberFormat="1" applyFont="1" applyAlignment="1">
      <alignment horizontal="left" wrapText="1"/>
    </xf>
    <xf numFmtId="0" fontId="57" fillId="0" borderId="0" xfId="0" applyFont="1" applyAlignment="1">
      <alignment horizontal="left" wrapText="1"/>
    </xf>
    <xf numFmtId="0" fontId="61" fillId="0" borderId="0" xfId="0" applyFont="1"/>
    <xf numFmtId="0" fontId="62" fillId="0" borderId="0" xfId="1" applyFont="1"/>
    <xf numFmtId="0" fontId="63" fillId="0" borderId="0" xfId="0" applyFont="1"/>
    <xf numFmtId="0" fontId="62" fillId="0" borderId="0" xfId="1" applyFont="1" applyAlignment="1">
      <alignment wrapText="1"/>
    </xf>
    <xf numFmtId="10" fontId="0" fillId="0" borderId="0" xfId="0" applyNumberFormat="1"/>
    <xf numFmtId="0" fontId="58" fillId="0" borderId="0" xfId="0" applyFont="1" applyAlignment="1">
      <alignment vertical="top" wrapText="1"/>
    </xf>
    <xf numFmtId="0" fontId="56" fillId="0" borderId="0" xfId="0" applyFont="1" applyAlignment="1">
      <alignment vertical="top" wrapText="1"/>
    </xf>
    <xf numFmtId="0" fontId="0" fillId="0" borderId="0" xfId="0" applyFont="1"/>
  </cellXfs>
  <cellStyles count="13">
    <cellStyle name="Comma 2" xfId="4" xr:uid="{8DECF628-4DA3-F748-BB04-D5DC02C10AF5}"/>
    <cellStyle name="Comma 3" xfId="11" xr:uid="{DF802F35-6AB1-4C46-BA25-C78D8FDEEBFF}"/>
    <cellStyle name="Comma 4" xfId="5" xr:uid="{BE0901E7-AB8A-0C47-A12C-840E9F4ABE44}"/>
    <cellStyle name="Hyperlink" xfId="1" builtinId="8"/>
    <cellStyle name="Normal" xfId="0" builtinId="0"/>
    <cellStyle name="Normal 2" xfId="2" xr:uid="{30A64EA5-FA10-034C-947B-346727CE62C9}"/>
    <cellStyle name="Normal 2 2" xfId="3" xr:uid="{C563A7AD-8EF8-F343-994D-9126BD1B38F4}"/>
    <cellStyle name="Normal 2 3" xfId="9" xr:uid="{0BA945EF-A5B7-3B40-92AF-E2004C643D84}"/>
    <cellStyle name="Normal 3" xfId="10" xr:uid="{D3EA34EA-034F-FC4B-ADB1-036E46127A31}"/>
    <cellStyle name="Normal 3 45" xfId="7" xr:uid="{0FC25FBF-E234-EB42-95B1-0B8663E1C49F}"/>
    <cellStyle name="Normal 38" xfId="8" xr:uid="{006142B2-B5CB-0140-893E-05A13176F80D}"/>
    <cellStyle name="Normal 4" xfId="12" xr:uid="{8DB47834-A151-9440-8FA0-660D2E9EA16E}"/>
    <cellStyle name="Percent 2" xfId="6" xr:uid="{789BC0D5-C495-8C4E-ABC0-5C60DFB3DF9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eetMetadata" Target="metadata.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en-US" sz="1800" b="1" i="0" u="none" strike="noStrike" kern="1200" cap="none" spc="0" normalizeH="0" baseline="0" noProof="0">
                <a:ln>
                  <a:noFill/>
                </a:ln>
                <a:solidFill>
                  <a:sysClr val="windowText" lastClr="000000">
                    <a:lumMod val="65000"/>
                    <a:lumOff val="35000"/>
                  </a:sysClr>
                </a:solidFill>
                <a:effectLst/>
                <a:uLnTx/>
                <a:uFillTx/>
                <a:latin typeface="Calibri"/>
              </a:rPr>
              <a:t> Online Video Distributors, 2016 vs 2022 (Market Share based 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'Figure 57 OVD MrktShare $ w YT'!$A$50</c:f>
              <c:strCache>
                <c:ptCount val="1"/>
                <c:pt idx="0">
                  <c:v>Amazon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25 OVD MrktShare w YT'!#REF!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0-5E18-5143-8D7E-39F8605F22F6}"/>
            </c:ext>
          </c:extLst>
        </c:ser>
        <c:ser>
          <c:idx val="1"/>
          <c:order val="1"/>
          <c:tx>
            <c:strRef>
              <c:f>'Figure 57 OVD MrktShare $ w YT'!$A$51</c:f>
              <c:strCache>
                <c:ptCount val="1"/>
                <c:pt idx="0">
                  <c:v>CBC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 25 OVD MrktShare w YT'!#REF!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1-5E18-5143-8D7E-39F8605F22F6}"/>
            </c:ext>
          </c:extLst>
        </c:ser>
        <c:ser>
          <c:idx val="2"/>
          <c:order val="2"/>
          <c:tx>
            <c:strRef>
              <c:f>'Figure 57 OVD MrktShare $ w YT'!$A$52</c:f>
              <c:strCache>
                <c:ptCount val="1"/>
                <c:pt idx="0">
                  <c:v>CR4</c:v>
                </c:pt>
              </c:strCache>
            </c:strRef>
          </c:tx>
          <c:spPr>
            <a:solidFill>
              <a:schemeClr val="accent3"/>
            </a:solidFill>
            <a:ln>
              <a:noFill/>
            </a:ln>
            <a:effectLst/>
          </c:spPr>
          <c:invertIfNegative val="0"/>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E18-5143-8D7E-39F8605F22F6}"/>
                </c:ext>
              </c:extLst>
            </c:dLbl>
            <c:dLbl>
              <c:idx val="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5E18-5143-8D7E-39F8605F22F6}"/>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 57 OVD MrktShare $ w YT'!$B$52:$C$52</c:f>
              <c:numCache>
                <c:formatCode>General</c:formatCode>
                <c:ptCount val="2"/>
                <c:pt idx="0">
                  <c:v>79.770723104056444</c:v>
                </c:pt>
                <c:pt idx="1">
                  <c:v>83.087777547208972</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4-5E18-5143-8D7E-39F8605F22F6}"/>
            </c:ext>
          </c:extLst>
        </c:ser>
        <c:ser>
          <c:idx val="3"/>
          <c:order val="3"/>
          <c:tx>
            <c:strRef>
              <c:f>'Figure 57 OVD MrktShare $ w YT'!$A$53</c:f>
              <c:strCache>
                <c:ptCount val="1"/>
                <c:pt idx="0">
                  <c:v>HHI</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YT'!$B$53:$C$53</c:f>
              <c:numCache>
                <c:formatCode>General</c:formatCode>
                <c:ptCount val="2"/>
                <c:pt idx="0">
                  <c:v>3849.5853841206253</c:v>
                </c:pt>
                <c:pt idx="1">
                  <c:v>3784.2338050252615</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5-5E18-5143-8D7E-39F8605F22F6}"/>
            </c:ext>
          </c:extLst>
        </c:ser>
        <c:ser>
          <c:idx val="4"/>
          <c:order val="4"/>
          <c:tx>
            <c:strRef>
              <c:f>'Figure 57 OVD MrktShare $ w YT'!$A$54</c:f>
              <c:strCache>
                <c:ptCount val="1"/>
              </c:strCache>
            </c:strRef>
          </c:tx>
          <c:spPr>
            <a:solidFill>
              <a:schemeClr val="accent5"/>
            </a:solidFill>
            <a:ln>
              <a:noFill/>
            </a:ln>
            <a:effectLst/>
          </c:spPr>
          <c:invertIfNegative val="0"/>
          <c:dLbls>
            <c:dLbl>
              <c:idx val="1"/>
              <c:showLegendKey val="0"/>
              <c:showVal val="0"/>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E18-5143-8D7E-39F8605F22F6}"/>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YT'!$B$54:$C$54</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7-5E18-5143-8D7E-39F8605F22F6}"/>
            </c:ext>
          </c:extLst>
        </c:ser>
        <c:ser>
          <c:idx val="5"/>
          <c:order val="5"/>
          <c:tx>
            <c:strRef>
              <c:f>'Figure 57 OVD MrktShare $ w YT'!$A$55</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YT'!$B$55:$C$55</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8-5E18-5143-8D7E-39F8605F22F6}"/>
            </c:ext>
          </c:extLst>
        </c:ser>
        <c:ser>
          <c:idx val="6"/>
          <c:order val="6"/>
          <c:tx>
            <c:strRef>
              <c:f>'Figure 57 OVD MrktShare $ w YT'!$A$56</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YT'!$B$56:$C$56</c:f>
              <c:numCache>
                <c:formatCode>General</c:formatCode>
                <c:ptCount val="2"/>
                <c:pt idx="0">
                  <c:v>2011</c:v>
                </c:pt>
                <c:pt idx="1">
                  <c:v>2012</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9-5E18-5143-8D7E-39F8605F22F6}"/>
            </c:ext>
          </c:extLst>
        </c:ser>
        <c:ser>
          <c:idx val="7"/>
          <c:order val="7"/>
          <c:tx>
            <c:strRef>
              <c:f>'Figure 57 OVD MrktShare $ w YT'!$A$57</c:f>
              <c:strCache>
                <c:ptCount val="1"/>
                <c:pt idx="0">
                  <c:v>Netflix</c:v>
                </c:pt>
              </c:strCache>
            </c:strRef>
          </c:tx>
          <c:spPr>
            <a:solidFill>
              <a:schemeClr val="accent2">
                <a:lumMod val="60000"/>
              </a:schemeClr>
            </a:solidFill>
            <a:ln>
              <a:noFill/>
            </a:ln>
            <a:effectLst/>
          </c:spPr>
          <c:invertIfNegative val="0"/>
          <c:dLbls>
            <c:dLbl>
              <c:idx val="1"/>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E18-5143-8D7E-39F8605F22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 57 OVD MrktShare $ w YT'!$B$57:$C$57</c:f>
              <c:numCache>
                <c:formatCode>General</c:formatCode>
                <c:ptCount val="2"/>
                <c:pt idx="0">
                  <c:v>48.5</c:v>
                </c:pt>
                <c:pt idx="1">
                  <c:v>134.05000000000001</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B-5E18-5143-8D7E-39F8605F22F6}"/>
            </c:ext>
          </c:extLst>
        </c:ser>
        <c:ser>
          <c:idx val="8"/>
          <c:order val="8"/>
          <c:tx>
            <c:strRef>
              <c:f>'Figure 57 OVD MrktShare $ w YT'!$A$58</c:f>
              <c:strCache>
                <c:ptCount val="1"/>
                <c:pt idx="0">
                  <c:v>Alphabet</c:v>
                </c:pt>
              </c:strCache>
            </c:strRef>
          </c:tx>
          <c:spPr>
            <a:solidFill>
              <a:schemeClr val="accent3">
                <a:lumMod val="60000"/>
              </a:schemeClr>
            </a:solidFill>
            <a:ln>
              <a:noFill/>
            </a:ln>
            <a:effectLst/>
          </c:spPr>
          <c:invertIfNegative val="0"/>
          <c:val>
            <c:numRef>
              <c:f>'Figure 57 OVD MrktShare $ w YT'!$B$58:$C$58</c:f>
              <c:numCache>
                <c:formatCode>General</c:formatCode>
                <c:ptCount val="2"/>
                <c:pt idx="0">
                  <c:v>87.19</c:v>
                </c:pt>
                <c:pt idx="1">
                  <c:v>106.19</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C-5E18-5143-8D7E-39F8605F22F6}"/>
            </c:ext>
          </c:extLst>
        </c:ser>
        <c:ser>
          <c:idx val="9"/>
          <c:order val="9"/>
          <c:tx>
            <c:strRef>
              <c:f>'Figure 57 OVD MrktShare $ w YT'!$A$59</c:f>
              <c:strCache>
                <c:ptCount val="1"/>
                <c:pt idx="0">
                  <c:v>BCE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YT'!$B$59:$C$59</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D-5E18-5143-8D7E-39F8605F22F6}"/>
            </c:ext>
          </c:extLst>
        </c:ser>
        <c:ser>
          <c:idx val="10"/>
          <c:order val="10"/>
          <c:tx>
            <c:strRef>
              <c:f>'Figure 57 OVD MrktShare $ w YT'!$A$60</c:f>
              <c:strCache>
                <c:ptCount val="1"/>
                <c:pt idx="0">
                  <c:v>Disney</c:v>
                </c:pt>
              </c:strCache>
            </c:strRef>
          </c:tx>
          <c:spPr>
            <a:solidFill>
              <a:schemeClr val="accent5">
                <a:lumMod val="60000"/>
              </a:schemeClr>
            </a:solidFill>
            <a:ln>
              <a:noFill/>
            </a:ln>
            <a:effectLst/>
          </c:spPr>
          <c:invertIfNegative val="0"/>
          <c:val>
            <c:numRef>
              <c:f>'Figure 57 OVD MrktShare $ w YT'!$B$60:$C$60</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0E-5E18-5143-8D7E-39F8605F22F6}"/>
            </c:ext>
          </c:extLst>
        </c:ser>
        <c:ser>
          <c:idx val="11"/>
          <c:order val="11"/>
          <c:tx>
            <c:strRef>
              <c:f>'Figure 57 OVD MrktShare $ w YT'!$A$61</c:f>
              <c:strCache>
                <c:ptCount val="1"/>
                <c:pt idx="0">
                  <c:v>Rogers</c:v>
                </c:pt>
              </c:strCache>
            </c:strRef>
          </c:tx>
          <c:spPr>
            <a:solidFill>
              <a:schemeClr val="accent6">
                <a:lumMod val="60000"/>
              </a:schemeClr>
            </a:solidFill>
            <a:ln>
              <a:noFill/>
            </a:ln>
            <a:effectLst/>
          </c:spPr>
          <c:invertIfNegative val="0"/>
          <c:dLbls>
            <c:dLbl>
              <c:idx val="1"/>
              <c:layout>
                <c:manualLayout>
                  <c:x val="1.3431833445265279E-3"/>
                  <c:y val="2.463054187192107E-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5E18-5143-8D7E-39F8605F22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YT'!$B$61:$C$61</c:f>
              <c:numCache>
                <c:formatCode>General</c:formatCode>
                <c:ptCount val="2"/>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0-5E18-5143-8D7E-39F8605F22F6}"/>
            </c:ext>
          </c:extLst>
        </c:ser>
        <c:ser>
          <c:idx val="12"/>
          <c:order val="12"/>
          <c:tx>
            <c:strRef>
              <c:f>'Figure 57 OVD MrktShare $ w YT'!$A$62</c:f>
              <c:strCache>
                <c:ptCount val="1"/>
                <c:pt idx="0">
                  <c:v>Apple</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57 OVD MrktShare $ w YT'!$B$62:$C$62</c:f>
              <c:numCache>
                <c:formatCode>General</c:formatCode>
                <c:ptCount val="2"/>
                <c:pt idx="0">
                  <c:v>34.409999999999997</c:v>
                </c:pt>
                <c:pt idx="1">
                  <c:v>48.9</c:v>
                </c:pt>
              </c:numCache>
            </c:numRef>
          </c:val>
          <c:extLst>
            <c:ext xmlns:c15="http://schemas.microsoft.com/office/drawing/2012/chart" uri="{02D57815-91ED-43cb-92C2-25804820EDAC}">
              <c15:filteredCategoryTitle>
                <c15:cat>
                  <c:multiLvlStrRef>
                    <c:extLst>
                      <c:ext uri="{02D57815-91ED-43cb-92C2-25804820EDAC}">
                        <c15:formulaRef>
                          <c15:sqref>'Fig 25 OVD MrktShare w YT'!#REF!</c15:sqref>
                        </c15:formulaRef>
                      </c:ext>
                    </c:extLst>
                  </c:multiLvlStrRef>
                </c15:cat>
              </c15:filteredCategoryTitle>
            </c:ext>
            <c:ext xmlns:c16="http://schemas.microsoft.com/office/drawing/2014/chart" uri="{C3380CC4-5D6E-409C-BE32-E72D297353CC}">
              <c16:uniqueId val="{00000011-5E18-5143-8D7E-39F8605F22F6}"/>
            </c:ext>
          </c:extLst>
        </c:ser>
        <c:dLbls>
          <c:showLegendKey val="0"/>
          <c:showVal val="0"/>
          <c:showCatName val="0"/>
          <c:showSerName val="0"/>
          <c:showPercent val="0"/>
          <c:showBubbleSize val="0"/>
        </c:dLbls>
        <c:gapWidth val="149"/>
        <c:overlap val="100"/>
        <c:axId val="64533263"/>
        <c:axId val="64498031"/>
      </c:barChart>
      <c:catAx>
        <c:axId val="64533263"/>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4498031"/>
        <c:crosses val="autoZero"/>
        <c:auto val="1"/>
        <c:lblAlgn val="ctr"/>
        <c:lblOffset val="100"/>
        <c:noMultiLvlLbl val="0"/>
      </c:catAx>
      <c:valAx>
        <c:axId val="644980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32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15225404900135E-2"/>
          <c:y val="7.9074595196423209E-2"/>
          <c:w val="0.91863933674573905"/>
          <c:h val="0.64305299311526876"/>
        </c:manualLayout>
      </c:layout>
      <c:barChart>
        <c:barDir val="col"/>
        <c:grouping val="stacked"/>
        <c:varyColors val="0"/>
        <c:ser>
          <c:idx val="0"/>
          <c:order val="0"/>
          <c:tx>
            <c:strRef>
              <c:f>'Figure 78 Leading Content Cos'!$B$113</c:f>
              <c:strCache>
                <c:ptCount val="1"/>
                <c:pt idx="0">
                  <c:v>Multichannel Video Distribution (Cable/DBS/IPTV)</c:v>
                </c:pt>
              </c:strCache>
            </c:strRef>
          </c:tx>
          <c:spPr>
            <a:solidFill>
              <a:schemeClr val="accent1"/>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Cos'!$B$114:$B$132</c:f>
              <c:numCache>
                <c:formatCode>General</c:formatCode>
                <c:ptCount val="19"/>
                <c:pt idx="0">
                  <c:v>2143.0590000000002</c:v>
                </c:pt>
                <c:pt idx="1">
                  <c:v>2124.1</c:v>
                </c:pt>
                <c:pt idx="2">
                  <c:v>1771.6</c:v>
                </c:pt>
                <c:pt idx="3">
                  <c:v>1090</c:v>
                </c:pt>
                <c:pt idx="8">
                  <c:v>631.5</c:v>
                </c:pt>
                <c:pt idx="9">
                  <c:v>496.4</c:v>
                </c:pt>
                <c:pt idx="12">
                  <c:v>332.7</c:v>
                </c:pt>
              </c:numCache>
            </c:numRef>
          </c:val>
          <c:extLst>
            <c:ext xmlns:c16="http://schemas.microsoft.com/office/drawing/2014/chart" uri="{C3380CC4-5D6E-409C-BE32-E72D297353CC}">
              <c16:uniqueId val="{00000000-DFEE-384F-AD27-21779711948D}"/>
            </c:ext>
          </c:extLst>
        </c:ser>
        <c:ser>
          <c:idx val="1"/>
          <c:order val="1"/>
          <c:tx>
            <c:strRef>
              <c:f>'Figure 78 Leading Content Cos'!$C$113</c:f>
              <c:strCache>
                <c:ptCount val="1"/>
                <c:pt idx="0">
                  <c:v>Broadcast TV</c:v>
                </c:pt>
              </c:strCache>
            </c:strRef>
          </c:tx>
          <c:spPr>
            <a:solidFill>
              <a:schemeClr val="accent2"/>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Cos'!$C$114:$C$132</c:f>
              <c:numCache>
                <c:formatCode>General</c:formatCode>
                <c:ptCount val="19"/>
                <c:pt idx="0">
                  <c:v>776.1</c:v>
                </c:pt>
                <c:pt idx="1">
                  <c:v>445.57254799999998</c:v>
                </c:pt>
                <c:pt idx="2">
                  <c:v>273.3</c:v>
                </c:pt>
                <c:pt idx="3">
                  <c:v>236.50000000000003</c:v>
                </c:pt>
                <c:pt idx="4">
                  <c:v>1203.8</c:v>
                </c:pt>
              </c:numCache>
            </c:numRef>
          </c:val>
          <c:extLst>
            <c:ext xmlns:c16="http://schemas.microsoft.com/office/drawing/2014/chart" uri="{C3380CC4-5D6E-409C-BE32-E72D297353CC}">
              <c16:uniqueId val="{00000001-DFEE-384F-AD27-21779711948D}"/>
            </c:ext>
          </c:extLst>
        </c:ser>
        <c:ser>
          <c:idx val="2"/>
          <c:order val="2"/>
          <c:tx>
            <c:strRef>
              <c:f>'Figure 78 Leading Content Cos'!$D$113</c:f>
              <c:strCache>
                <c:ptCount val="1"/>
                <c:pt idx="0">
                  <c:v>Pay TV Programming Services</c:v>
                </c:pt>
              </c:strCache>
            </c:strRef>
          </c:tx>
          <c:spPr>
            <a:solidFill>
              <a:schemeClr val="accent3"/>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Cos'!$D$114:$D$132</c:f>
              <c:numCache>
                <c:formatCode>General</c:formatCode>
                <c:ptCount val="19"/>
                <c:pt idx="0">
                  <c:v>1412.9</c:v>
                </c:pt>
                <c:pt idx="1">
                  <c:v>1105.8000000000002</c:v>
                </c:pt>
                <c:pt idx="2">
                  <c:v>512.70000000000005</c:v>
                </c:pt>
                <c:pt idx="3">
                  <c:v>158.69999999999999</c:v>
                </c:pt>
                <c:pt idx="4">
                  <c:v>178.2</c:v>
                </c:pt>
                <c:pt idx="8">
                  <c:v>19.7</c:v>
                </c:pt>
              </c:numCache>
            </c:numRef>
          </c:val>
          <c:extLst>
            <c:ext xmlns:c16="http://schemas.microsoft.com/office/drawing/2014/chart" uri="{C3380CC4-5D6E-409C-BE32-E72D297353CC}">
              <c16:uniqueId val="{00000002-DFEE-384F-AD27-21779711948D}"/>
            </c:ext>
          </c:extLst>
        </c:ser>
        <c:ser>
          <c:idx val="3"/>
          <c:order val="3"/>
          <c:tx>
            <c:strRef>
              <c:f>'Figure 78 Leading Content Cos'!$E$113</c:f>
              <c:strCache>
                <c:ptCount val="1"/>
                <c:pt idx="0">
                  <c:v>Online Video Services</c:v>
                </c:pt>
              </c:strCache>
            </c:strRef>
          </c:tx>
          <c:spPr>
            <a:solidFill>
              <a:schemeClr val="accent4"/>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Cos'!$E$114:$E$132</c:f>
              <c:numCache>
                <c:formatCode>General</c:formatCode>
                <c:ptCount val="19"/>
                <c:pt idx="5">
                  <c:v>0</c:v>
                </c:pt>
                <c:pt idx="16">
                  <c:v>229.02</c:v>
                </c:pt>
              </c:numCache>
            </c:numRef>
          </c:val>
          <c:extLst>
            <c:ext xmlns:c16="http://schemas.microsoft.com/office/drawing/2014/chart" uri="{C3380CC4-5D6E-409C-BE32-E72D297353CC}">
              <c16:uniqueId val="{00000003-DFEE-384F-AD27-21779711948D}"/>
            </c:ext>
          </c:extLst>
        </c:ser>
        <c:ser>
          <c:idx val="4"/>
          <c:order val="4"/>
          <c:tx>
            <c:strRef>
              <c:f>'Figure 78 Leading Content Cos'!$F$113</c:f>
              <c:strCache>
                <c:ptCount val="1"/>
                <c:pt idx="0">
                  <c:v>Digital Games</c:v>
                </c:pt>
              </c:strCache>
            </c:strRef>
          </c:tx>
          <c:spPr>
            <a:solidFill>
              <a:schemeClr val="accent5"/>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Cos'!$F$114:$F$132</c:f>
              <c:numCache>
                <c:formatCode>General</c:formatCode>
                <c:ptCount val="19"/>
                <c:pt idx="5">
                  <c:v>17.739999999999998</c:v>
                </c:pt>
                <c:pt idx="18">
                  <c:v>210.05</c:v>
                </c:pt>
              </c:numCache>
            </c:numRef>
          </c:val>
          <c:extLst>
            <c:ext xmlns:c16="http://schemas.microsoft.com/office/drawing/2014/chart" uri="{C3380CC4-5D6E-409C-BE32-E72D297353CC}">
              <c16:uniqueId val="{00000004-DFEE-384F-AD27-21779711948D}"/>
            </c:ext>
          </c:extLst>
        </c:ser>
        <c:ser>
          <c:idx val="5"/>
          <c:order val="5"/>
          <c:tx>
            <c:strRef>
              <c:f>'Figure 78 Leading Content Cos'!$G$113</c:f>
              <c:strCache>
                <c:ptCount val="1"/>
                <c:pt idx="0">
                  <c:v>Broadcast Radio</c:v>
                </c:pt>
              </c:strCache>
            </c:strRef>
          </c:tx>
          <c:spPr>
            <a:solidFill>
              <a:schemeClr val="accent6"/>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Cos'!$G$114:$G$132</c:f>
              <c:numCache>
                <c:formatCode>General</c:formatCode>
                <c:ptCount val="19"/>
                <c:pt idx="0">
                  <c:v>422.7</c:v>
                </c:pt>
                <c:pt idx="1">
                  <c:v>183.7</c:v>
                </c:pt>
                <c:pt idx="2">
                  <c:v>224.5</c:v>
                </c:pt>
                <c:pt idx="4">
                  <c:v>309.5</c:v>
                </c:pt>
                <c:pt idx="8">
                  <c:v>94.7</c:v>
                </c:pt>
                <c:pt idx="15">
                  <c:v>232.35</c:v>
                </c:pt>
              </c:numCache>
            </c:numRef>
          </c:val>
          <c:extLst>
            <c:ext xmlns:c16="http://schemas.microsoft.com/office/drawing/2014/chart" uri="{C3380CC4-5D6E-409C-BE32-E72D297353CC}">
              <c16:uniqueId val="{00000005-DFEE-384F-AD27-21779711948D}"/>
            </c:ext>
          </c:extLst>
        </c:ser>
        <c:ser>
          <c:idx val="6"/>
          <c:order val="6"/>
          <c:tx>
            <c:strRef>
              <c:f>'Figure 78 Leading Content Cos'!$H$113</c:f>
              <c:strCache>
                <c:ptCount val="1"/>
                <c:pt idx="0">
                  <c:v>Music Services</c:v>
                </c:pt>
              </c:strCache>
            </c:strRef>
          </c:tx>
          <c:spPr>
            <a:solidFill>
              <a:schemeClr val="accent1">
                <a:lumMod val="60000"/>
              </a:schemeClr>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Cos'!$H$114:$H$132</c:f>
              <c:numCache>
                <c:formatCode>General</c:formatCode>
                <c:ptCount val="19"/>
              </c:numCache>
            </c:numRef>
          </c:val>
          <c:extLst>
            <c:ext xmlns:c16="http://schemas.microsoft.com/office/drawing/2014/chart" uri="{C3380CC4-5D6E-409C-BE32-E72D297353CC}">
              <c16:uniqueId val="{00000006-DFEE-384F-AD27-21779711948D}"/>
            </c:ext>
          </c:extLst>
        </c:ser>
        <c:ser>
          <c:idx val="7"/>
          <c:order val="7"/>
          <c:tx>
            <c:strRef>
              <c:f>'Figure 78 Leading Content Cos'!$I$113</c:f>
              <c:strCache>
                <c:ptCount val="1"/>
                <c:pt idx="0">
                  <c:v>Newspapers</c:v>
                </c:pt>
              </c:strCache>
            </c:strRef>
          </c:tx>
          <c:spPr>
            <a:solidFill>
              <a:schemeClr val="accent2">
                <a:lumMod val="60000"/>
              </a:schemeClr>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Cos'!$I$114:$I$132</c:f>
              <c:numCache>
                <c:formatCode>General</c:formatCode>
                <c:ptCount val="19"/>
                <c:pt idx="3">
                  <c:v>859.88806396344955</c:v>
                </c:pt>
                <c:pt idx="6">
                  <c:v>930.47047206032653</c:v>
                </c:pt>
                <c:pt idx="7">
                  <c:v>751.6</c:v>
                </c:pt>
                <c:pt idx="10">
                  <c:v>256.17599999999999</c:v>
                </c:pt>
                <c:pt idx="11">
                  <c:v>368.6</c:v>
                </c:pt>
                <c:pt idx="13">
                  <c:v>272.10000000000002</c:v>
                </c:pt>
                <c:pt idx="17">
                  <c:v>218.73713861469898</c:v>
                </c:pt>
              </c:numCache>
            </c:numRef>
          </c:val>
          <c:extLst>
            <c:ext xmlns:c16="http://schemas.microsoft.com/office/drawing/2014/chart" uri="{C3380CC4-5D6E-409C-BE32-E72D297353CC}">
              <c16:uniqueId val="{00000007-DFEE-384F-AD27-21779711948D}"/>
            </c:ext>
          </c:extLst>
        </c:ser>
        <c:ser>
          <c:idx val="8"/>
          <c:order val="8"/>
          <c:tx>
            <c:strRef>
              <c:f>'Figure 78 Leading Content Cos'!$J$113</c:f>
              <c:strCache>
                <c:ptCount val="1"/>
                <c:pt idx="0">
                  <c:v>Magazines</c:v>
                </c:pt>
              </c:strCache>
            </c:strRef>
          </c:tx>
          <c:spPr>
            <a:solidFill>
              <a:schemeClr val="accent3">
                <a:lumMod val="60000"/>
              </a:schemeClr>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Cos'!$J$114:$J$132</c:f>
              <c:numCache>
                <c:formatCode>General</c:formatCode>
                <c:ptCount val="19"/>
                <c:pt idx="2">
                  <c:v>238.6</c:v>
                </c:pt>
                <c:pt idx="3">
                  <c:v>67.900000000000006</c:v>
                </c:pt>
                <c:pt idx="7">
                  <c:v>3.4</c:v>
                </c:pt>
                <c:pt idx="10">
                  <c:v>146.4</c:v>
                </c:pt>
                <c:pt idx="13">
                  <c:v>6.7</c:v>
                </c:pt>
              </c:numCache>
            </c:numRef>
          </c:val>
          <c:extLst>
            <c:ext xmlns:c16="http://schemas.microsoft.com/office/drawing/2014/chart" uri="{C3380CC4-5D6E-409C-BE32-E72D297353CC}">
              <c16:uniqueId val="{00000008-DFEE-384F-AD27-21779711948D}"/>
            </c:ext>
          </c:extLst>
        </c:ser>
        <c:ser>
          <c:idx val="9"/>
          <c:order val="9"/>
          <c:tx>
            <c:strRef>
              <c:f>'Figure 78 Leading Content Cos'!$K$113</c:f>
              <c:strCache>
                <c:ptCount val="1"/>
                <c:pt idx="0">
                  <c:v>Internet Advertising</c:v>
                </c:pt>
              </c:strCache>
            </c:strRef>
          </c:tx>
          <c:spPr>
            <a:solidFill>
              <a:schemeClr val="accent4">
                <a:lumMod val="60000"/>
              </a:schemeClr>
            </a:solidFill>
            <a:ln>
              <a:noFill/>
            </a:ln>
            <a:effectLst/>
          </c:spPr>
          <c:invertIfNegative val="0"/>
          <c:cat>
            <c:strRef>
              <c:f>'Figure 78 Leading Content Cos'!$A$114:$A$132</c:f>
              <c:strCache>
                <c:ptCount val="19"/>
                <c:pt idx="0">
                  <c:v>Bell</c:v>
                </c:pt>
                <c:pt idx="1">
                  <c:v>Shaw</c:v>
                </c:pt>
                <c:pt idx="2">
                  <c:v>Rogers</c:v>
                </c:pt>
                <c:pt idx="3">
                  <c:v>Quebecor</c:v>
                </c:pt>
                <c:pt idx="4">
                  <c:v>CBC</c:v>
                </c:pt>
                <c:pt idx="5">
                  <c:v>Google</c:v>
                </c:pt>
                <c:pt idx="6">
                  <c:v>Torstar</c:v>
                </c:pt>
                <c:pt idx="7">
                  <c:v>Postmedia</c:v>
                </c:pt>
                <c:pt idx="8">
                  <c:v>Cogeco</c:v>
                </c:pt>
                <c:pt idx="9">
                  <c:v>Telus</c:v>
                </c:pt>
                <c:pt idx="10">
                  <c:v>Transcontinental</c:v>
                </c:pt>
                <c:pt idx="11">
                  <c:v>Power Corp </c:v>
                </c:pt>
                <c:pt idx="12">
                  <c:v>EastLink</c:v>
                </c:pt>
                <c:pt idx="13">
                  <c:v>Woodbridge Company (Thomson Family)</c:v>
                </c:pt>
                <c:pt idx="14">
                  <c:v>Facebook</c:v>
                </c:pt>
                <c:pt idx="15">
                  <c:v>Sirius</c:v>
                </c:pt>
                <c:pt idx="16">
                  <c:v>Netflix</c:v>
                </c:pt>
                <c:pt idx="17">
                  <c:v>Continental Newspapers Canada Ltd./Glacier Media</c:v>
                </c:pt>
                <c:pt idx="18">
                  <c:v>Microsoft</c:v>
                </c:pt>
              </c:strCache>
            </c:strRef>
          </c:cat>
          <c:val>
            <c:numRef>
              <c:f>'Figure 78 Leading Content Cos'!$K$114:$K$132</c:f>
              <c:numCache>
                <c:formatCode>General</c:formatCode>
                <c:ptCount val="19"/>
                <c:pt idx="5">
                  <c:v>1416.06</c:v>
                </c:pt>
                <c:pt idx="14">
                  <c:v>269.39999999999998</c:v>
                </c:pt>
              </c:numCache>
            </c:numRef>
          </c:val>
          <c:extLst>
            <c:ext xmlns:c16="http://schemas.microsoft.com/office/drawing/2014/chart" uri="{C3380CC4-5D6E-409C-BE32-E72D297353CC}">
              <c16:uniqueId val="{00000009-DFEE-384F-AD27-21779711948D}"/>
            </c:ext>
          </c:extLst>
        </c:ser>
        <c:dLbls>
          <c:showLegendKey val="0"/>
          <c:showVal val="0"/>
          <c:showCatName val="0"/>
          <c:showSerName val="0"/>
          <c:showPercent val="0"/>
          <c:showBubbleSize val="0"/>
        </c:dLbls>
        <c:gapWidth val="150"/>
        <c:overlap val="100"/>
        <c:axId val="899572383"/>
        <c:axId val="899554911"/>
      </c:barChart>
      <c:catAx>
        <c:axId val="89957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54911"/>
        <c:crosses val="autoZero"/>
        <c:auto val="1"/>
        <c:lblAlgn val="ctr"/>
        <c:lblOffset val="100"/>
        <c:noMultiLvlLbl val="0"/>
      </c:catAx>
      <c:valAx>
        <c:axId val="899554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72383"/>
        <c:crosses val="autoZero"/>
        <c:crossBetween val="between"/>
      </c:valAx>
      <c:spPr>
        <a:noFill/>
        <a:ln>
          <a:noFill/>
        </a:ln>
        <a:effectLst/>
      </c:spPr>
    </c:plotArea>
    <c:legend>
      <c:legendPos val="b"/>
      <c:layout>
        <c:manualLayout>
          <c:xMode val="edge"/>
          <c:yMode val="edge"/>
          <c:x val="1.1887434287681985E-2"/>
          <c:y val="0.90799476421840841"/>
          <c:w val="0.98219313479122328"/>
          <c:h val="7.7971125842485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27644655584804E-2"/>
          <c:y val="3.173961378161793E-2"/>
          <c:w val="0.92526262625504307"/>
          <c:h val="0.7567472325594371"/>
        </c:manualLayout>
      </c:layout>
      <c:barChart>
        <c:barDir val="col"/>
        <c:grouping val="stacked"/>
        <c:varyColors val="0"/>
        <c:ser>
          <c:idx val="0"/>
          <c:order val="0"/>
          <c:tx>
            <c:strRef>
              <c:f>'Figure 78 Leading Content Cos'!$B$113</c:f>
              <c:strCache>
                <c:ptCount val="1"/>
                <c:pt idx="0">
                  <c:v>Multichannel Video Distribution (Cable/DBS/IPTV)</c:v>
                </c:pt>
              </c:strCache>
            </c:strRef>
          </c:tx>
          <c:spPr>
            <a:solidFill>
              <a:schemeClr val="accent1"/>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Cos'!$B$114:$B$123</c:f>
              <c:numCache>
                <c:formatCode>General</c:formatCode>
                <c:ptCount val="10"/>
                <c:pt idx="0">
                  <c:v>2143.0590000000002</c:v>
                </c:pt>
                <c:pt idx="1">
                  <c:v>2124.1</c:v>
                </c:pt>
                <c:pt idx="2">
                  <c:v>1771.6</c:v>
                </c:pt>
                <c:pt idx="3">
                  <c:v>1090</c:v>
                </c:pt>
                <c:pt idx="8">
                  <c:v>631.5</c:v>
                </c:pt>
                <c:pt idx="9">
                  <c:v>496.4</c:v>
                </c:pt>
              </c:numCache>
            </c:numRef>
          </c:val>
          <c:extLst>
            <c:ext xmlns:c16="http://schemas.microsoft.com/office/drawing/2014/chart" uri="{C3380CC4-5D6E-409C-BE32-E72D297353CC}">
              <c16:uniqueId val="{00000000-D5EC-7341-98D4-F747FF637E91}"/>
            </c:ext>
          </c:extLst>
        </c:ser>
        <c:ser>
          <c:idx val="1"/>
          <c:order val="1"/>
          <c:tx>
            <c:strRef>
              <c:f>'Figure 78 Leading Content Cos'!$C$113</c:f>
              <c:strCache>
                <c:ptCount val="1"/>
                <c:pt idx="0">
                  <c:v>Broadcast TV</c:v>
                </c:pt>
              </c:strCache>
            </c:strRef>
          </c:tx>
          <c:spPr>
            <a:solidFill>
              <a:schemeClr val="accent2"/>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Cos'!$C$114:$C$123</c:f>
              <c:numCache>
                <c:formatCode>General</c:formatCode>
                <c:ptCount val="10"/>
                <c:pt idx="0">
                  <c:v>776.1</c:v>
                </c:pt>
                <c:pt idx="1">
                  <c:v>445.57254799999998</c:v>
                </c:pt>
                <c:pt idx="2">
                  <c:v>273.3</c:v>
                </c:pt>
                <c:pt idx="3">
                  <c:v>236.50000000000003</c:v>
                </c:pt>
                <c:pt idx="4">
                  <c:v>1203.8</c:v>
                </c:pt>
              </c:numCache>
            </c:numRef>
          </c:val>
          <c:extLst>
            <c:ext xmlns:c16="http://schemas.microsoft.com/office/drawing/2014/chart" uri="{C3380CC4-5D6E-409C-BE32-E72D297353CC}">
              <c16:uniqueId val="{00000001-D5EC-7341-98D4-F747FF637E91}"/>
            </c:ext>
          </c:extLst>
        </c:ser>
        <c:ser>
          <c:idx val="2"/>
          <c:order val="2"/>
          <c:tx>
            <c:strRef>
              <c:f>'Figure 78 Leading Content Cos'!$D$113</c:f>
              <c:strCache>
                <c:ptCount val="1"/>
                <c:pt idx="0">
                  <c:v>Pay TV Programming Services</c:v>
                </c:pt>
              </c:strCache>
            </c:strRef>
          </c:tx>
          <c:spPr>
            <a:solidFill>
              <a:schemeClr val="accent3"/>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Cos'!$D$114:$D$123</c:f>
              <c:numCache>
                <c:formatCode>General</c:formatCode>
                <c:ptCount val="10"/>
                <c:pt idx="0">
                  <c:v>1412.9</c:v>
                </c:pt>
                <c:pt idx="1">
                  <c:v>1105.8000000000002</c:v>
                </c:pt>
                <c:pt idx="2">
                  <c:v>512.70000000000005</c:v>
                </c:pt>
                <c:pt idx="3">
                  <c:v>158.69999999999999</c:v>
                </c:pt>
                <c:pt idx="4">
                  <c:v>178.2</c:v>
                </c:pt>
                <c:pt idx="8">
                  <c:v>19.7</c:v>
                </c:pt>
              </c:numCache>
            </c:numRef>
          </c:val>
          <c:extLst>
            <c:ext xmlns:c16="http://schemas.microsoft.com/office/drawing/2014/chart" uri="{C3380CC4-5D6E-409C-BE32-E72D297353CC}">
              <c16:uniqueId val="{00000002-D5EC-7341-98D4-F747FF637E91}"/>
            </c:ext>
          </c:extLst>
        </c:ser>
        <c:ser>
          <c:idx val="3"/>
          <c:order val="3"/>
          <c:tx>
            <c:strRef>
              <c:f>'Figure 78 Leading Content Cos'!$E$113</c:f>
              <c:strCache>
                <c:ptCount val="1"/>
                <c:pt idx="0">
                  <c:v>Online Video Services</c:v>
                </c:pt>
              </c:strCache>
            </c:strRef>
          </c:tx>
          <c:spPr>
            <a:solidFill>
              <a:schemeClr val="accent4"/>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Cos'!$E$114:$E$123</c:f>
              <c:numCache>
                <c:formatCode>General</c:formatCode>
                <c:ptCount val="10"/>
                <c:pt idx="5">
                  <c:v>0</c:v>
                </c:pt>
              </c:numCache>
            </c:numRef>
          </c:val>
          <c:extLst>
            <c:ext xmlns:c16="http://schemas.microsoft.com/office/drawing/2014/chart" uri="{C3380CC4-5D6E-409C-BE32-E72D297353CC}">
              <c16:uniqueId val="{00000003-D5EC-7341-98D4-F747FF637E91}"/>
            </c:ext>
          </c:extLst>
        </c:ser>
        <c:ser>
          <c:idx val="4"/>
          <c:order val="4"/>
          <c:tx>
            <c:strRef>
              <c:f>'Figure 78 Leading Content Cos'!$F$113</c:f>
              <c:strCache>
                <c:ptCount val="1"/>
                <c:pt idx="0">
                  <c:v>Digital Games</c:v>
                </c:pt>
              </c:strCache>
            </c:strRef>
          </c:tx>
          <c:spPr>
            <a:solidFill>
              <a:schemeClr val="accent5"/>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Cos'!$F$114:$F$123</c:f>
              <c:numCache>
                <c:formatCode>General</c:formatCode>
                <c:ptCount val="10"/>
                <c:pt idx="5">
                  <c:v>17.739999999999998</c:v>
                </c:pt>
              </c:numCache>
            </c:numRef>
          </c:val>
          <c:extLst>
            <c:ext xmlns:c16="http://schemas.microsoft.com/office/drawing/2014/chart" uri="{C3380CC4-5D6E-409C-BE32-E72D297353CC}">
              <c16:uniqueId val="{00000004-D5EC-7341-98D4-F747FF637E91}"/>
            </c:ext>
          </c:extLst>
        </c:ser>
        <c:ser>
          <c:idx val="5"/>
          <c:order val="5"/>
          <c:tx>
            <c:strRef>
              <c:f>'Figure 78 Leading Content Cos'!$G$113</c:f>
              <c:strCache>
                <c:ptCount val="1"/>
                <c:pt idx="0">
                  <c:v>Broadcast Radio</c:v>
                </c:pt>
              </c:strCache>
            </c:strRef>
          </c:tx>
          <c:spPr>
            <a:solidFill>
              <a:schemeClr val="accent6"/>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Cos'!$G$114:$G$123</c:f>
              <c:numCache>
                <c:formatCode>General</c:formatCode>
                <c:ptCount val="10"/>
                <c:pt idx="0">
                  <c:v>422.7</c:v>
                </c:pt>
                <c:pt idx="1">
                  <c:v>183.7</c:v>
                </c:pt>
                <c:pt idx="2">
                  <c:v>224.5</c:v>
                </c:pt>
                <c:pt idx="4">
                  <c:v>309.5</c:v>
                </c:pt>
                <c:pt idx="8">
                  <c:v>94.7</c:v>
                </c:pt>
              </c:numCache>
            </c:numRef>
          </c:val>
          <c:extLst>
            <c:ext xmlns:c16="http://schemas.microsoft.com/office/drawing/2014/chart" uri="{C3380CC4-5D6E-409C-BE32-E72D297353CC}">
              <c16:uniqueId val="{00000005-D5EC-7341-98D4-F747FF637E91}"/>
            </c:ext>
          </c:extLst>
        </c:ser>
        <c:ser>
          <c:idx val="6"/>
          <c:order val="6"/>
          <c:tx>
            <c:strRef>
              <c:f>'Figure 78 Leading Content Cos'!$H$113</c:f>
              <c:strCache>
                <c:ptCount val="1"/>
                <c:pt idx="0">
                  <c:v>Music Services</c:v>
                </c:pt>
              </c:strCache>
            </c:strRef>
          </c:tx>
          <c:spPr>
            <a:solidFill>
              <a:schemeClr val="accent1">
                <a:lumMod val="60000"/>
              </a:schemeClr>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Cos'!$H$114:$H$123</c:f>
              <c:numCache>
                <c:formatCode>General</c:formatCode>
                <c:ptCount val="10"/>
              </c:numCache>
            </c:numRef>
          </c:val>
          <c:extLst>
            <c:ext xmlns:c16="http://schemas.microsoft.com/office/drawing/2014/chart" uri="{C3380CC4-5D6E-409C-BE32-E72D297353CC}">
              <c16:uniqueId val="{00000006-D5EC-7341-98D4-F747FF637E91}"/>
            </c:ext>
          </c:extLst>
        </c:ser>
        <c:ser>
          <c:idx val="7"/>
          <c:order val="7"/>
          <c:tx>
            <c:strRef>
              <c:f>'Figure 78 Leading Content Cos'!$I$113</c:f>
              <c:strCache>
                <c:ptCount val="1"/>
                <c:pt idx="0">
                  <c:v>Newspapers</c:v>
                </c:pt>
              </c:strCache>
            </c:strRef>
          </c:tx>
          <c:spPr>
            <a:solidFill>
              <a:schemeClr val="accent2">
                <a:lumMod val="60000"/>
              </a:schemeClr>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Cos'!$I$114:$I$123</c:f>
              <c:numCache>
                <c:formatCode>General</c:formatCode>
                <c:ptCount val="10"/>
                <c:pt idx="3">
                  <c:v>859.88806396344955</c:v>
                </c:pt>
                <c:pt idx="6">
                  <c:v>930.47047206032653</c:v>
                </c:pt>
                <c:pt idx="7">
                  <c:v>751.6</c:v>
                </c:pt>
              </c:numCache>
            </c:numRef>
          </c:val>
          <c:extLst>
            <c:ext xmlns:c16="http://schemas.microsoft.com/office/drawing/2014/chart" uri="{C3380CC4-5D6E-409C-BE32-E72D297353CC}">
              <c16:uniqueId val="{00000007-D5EC-7341-98D4-F747FF637E91}"/>
            </c:ext>
          </c:extLst>
        </c:ser>
        <c:ser>
          <c:idx val="8"/>
          <c:order val="8"/>
          <c:tx>
            <c:strRef>
              <c:f>'Figure 78 Leading Content Cos'!$J$113</c:f>
              <c:strCache>
                <c:ptCount val="1"/>
                <c:pt idx="0">
                  <c:v>Magazines</c:v>
                </c:pt>
              </c:strCache>
            </c:strRef>
          </c:tx>
          <c:spPr>
            <a:solidFill>
              <a:schemeClr val="accent3">
                <a:lumMod val="60000"/>
              </a:schemeClr>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Cos'!$J$114:$J$123</c:f>
              <c:numCache>
                <c:formatCode>General</c:formatCode>
                <c:ptCount val="10"/>
                <c:pt idx="2">
                  <c:v>238.6</c:v>
                </c:pt>
                <c:pt idx="3">
                  <c:v>67.900000000000006</c:v>
                </c:pt>
                <c:pt idx="7">
                  <c:v>3.4</c:v>
                </c:pt>
              </c:numCache>
            </c:numRef>
          </c:val>
          <c:extLst>
            <c:ext xmlns:c16="http://schemas.microsoft.com/office/drawing/2014/chart" uri="{C3380CC4-5D6E-409C-BE32-E72D297353CC}">
              <c16:uniqueId val="{00000008-D5EC-7341-98D4-F747FF637E91}"/>
            </c:ext>
          </c:extLst>
        </c:ser>
        <c:ser>
          <c:idx val="9"/>
          <c:order val="9"/>
          <c:tx>
            <c:strRef>
              <c:f>'Figure 78 Leading Content Cos'!$K$113</c:f>
              <c:strCache>
                <c:ptCount val="1"/>
                <c:pt idx="0">
                  <c:v>Internet Advertising</c:v>
                </c:pt>
              </c:strCache>
            </c:strRef>
          </c:tx>
          <c:spPr>
            <a:solidFill>
              <a:schemeClr val="accent4">
                <a:lumMod val="60000"/>
              </a:schemeClr>
            </a:solidFill>
            <a:ln>
              <a:noFill/>
            </a:ln>
            <a:effectLst/>
          </c:spPr>
          <c:invertIfNegative val="0"/>
          <c:cat>
            <c:strRef>
              <c:f>'Figure 78 Leading Content Cos'!$A$114:$A$123</c:f>
              <c:strCache>
                <c:ptCount val="10"/>
                <c:pt idx="0">
                  <c:v>Bell</c:v>
                </c:pt>
                <c:pt idx="1">
                  <c:v>Shaw</c:v>
                </c:pt>
                <c:pt idx="2">
                  <c:v>Rogers</c:v>
                </c:pt>
                <c:pt idx="3">
                  <c:v>Quebecor</c:v>
                </c:pt>
                <c:pt idx="4">
                  <c:v>CBC</c:v>
                </c:pt>
                <c:pt idx="5">
                  <c:v>Google</c:v>
                </c:pt>
                <c:pt idx="6">
                  <c:v>Torstar</c:v>
                </c:pt>
                <c:pt idx="7">
                  <c:v>Postmedia</c:v>
                </c:pt>
                <c:pt idx="8">
                  <c:v>Cogeco</c:v>
                </c:pt>
                <c:pt idx="9">
                  <c:v>Telus</c:v>
                </c:pt>
              </c:strCache>
            </c:strRef>
          </c:cat>
          <c:val>
            <c:numRef>
              <c:f>'Figure 78 Leading Content Cos'!$K$114:$K$123</c:f>
              <c:numCache>
                <c:formatCode>General</c:formatCode>
                <c:ptCount val="10"/>
                <c:pt idx="5">
                  <c:v>1416.06</c:v>
                </c:pt>
              </c:numCache>
            </c:numRef>
          </c:val>
          <c:extLst>
            <c:ext xmlns:c16="http://schemas.microsoft.com/office/drawing/2014/chart" uri="{C3380CC4-5D6E-409C-BE32-E72D297353CC}">
              <c16:uniqueId val="{00000009-D5EC-7341-98D4-F747FF637E91}"/>
            </c:ext>
          </c:extLst>
        </c:ser>
        <c:dLbls>
          <c:showLegendKey val="0"/>
          <c:showVal val="0"/>
          <c:showCatName val="0"/>
          <c:showSerName val="0"/>
          <c:showPercent val="0"/>
          <c:showBubbleSize val="0"/>
        </c:dLbls>
        <c:gapWidth val="150"/>
        <c:overlap val="100"/>
        <c:axId val="899544511"/>
        <c:axId val="899535359"/>
      </c:barChart>
      <c:catAx>
        <c:axId val="899544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35359"/>
        <c:crosses val="autoZero"/>
        <c:auto val="1"/>
        <c:lblAlgn val="ctr"/>
        <c:lblOffset val="100"/>
        <c:noMultiLvlLbl val="0"/>
      </c:catAx>
      <c:valAx>
        <c:axId val="899535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44511"/>
        <c:crosses val="autoZero"/>
        <c:crossBetween val="between"/>
      </c:valAx>
      <c:spPr>
        <a:noFill/>
        <a:ln>
          <a:noFill/>
        </a:ln>
        <a:effectLst/>
      </c:spPr>
    </c:plotArea>
    <c:legend>
      <c:legendPos val="b"/>
      <c:layout>
        <c:manualLayout>
          <c:xMode val="edge"/>
          <c:yMode val="edge"/>
          <c:x val="1.6429801332345187E-2"/>
          <c:y val="0.87402349239464316"/>
          <c:w val="0.98223317337647797"/>
          <c:h val="0.1259765076053568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726808055286041E-2"/>
          <c:y val="5.0896462677627562E-2"/>
          <c:w val="0.91468578512778742"/>
          <c:h val="0.63434790345620273"/>
        </c:manualLayout>
      </c:layout>
      <c:barChart>
        <c:barDir val="col"/>
        <c:grouping val="stacked"/>
        <c:varyColors val="0"/>
        <c:ser>
          <c:idx val="0"/>
          <c:order val="0"/>
          <c:tx>
            <c:strRef>
              <c:f>'Figure 78 Leading Content Cos'!$B$58</c:f>
              <c:strCache>
                <c:ptCount val="1"/>
                <c:pt idx="0">
                  <c:v>Multichannel Video Distribution (Cable/DBS/IPTV)</c:v>
                </c:pt>
              </c:strCache>
            </c:strRef>
          </c:tx>
          <c:spPr>
            <a:solidFill>
              <a:schemeClr val="accent1"/>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Cos'!$B$59:$B$78</c:f>
              <c:numCache>
                <c:formatCode>General</c:formatCode>
                <c:ptCount val="20"/>
                <c:pt idx="0">
                  <c:v>2492.5</c:v>
                </c:pt>
                <c:pt idx="2">
                  <c:v>1921.5</c:v>
                </c:pt>
                <c:pt idx="3">
                  <c:v>1501</c:v>
                </c:pt>
                <c:pt idx="4">
                  <c:v>1010</c:v>
                </c:pt>
                <c:pt idx="8">
                  <c:v>769.3</c:v>
                </c:pt>
                <c:pt idx="11">
                  <c:v>495.8</c:v>
                </c:pt>
                <c:pt idx="18">
                  <c:v>283.7</c:v>
                </c:pt>
              </c:numCache>
            </c:numRef>
          </c:val>
          <c:extLst>
            <c:ext xmlns:c16="http://schemas.microsoft.com/office/drawing/2014/chart" uri="{C3380CC4-5D6E-409C-BE32-E72D297353CC}">
              <c16:uniqueId val="{00000000-DBCE-6747-B6E1-5B14D146A957}"/>
            </c:ext>
          </c:extLst>
        </c:ser>
        <c:ser>
          <c:idx val="1"/>
          <c:order val="1"/>
          <c:tx>
            <c:strRef>
              <c:f>'Figure 78 Leading Content Cos'!$C$58</c:f>
              <c:strCache>
                <c:ptCount val="1"/>
                <c:pt idx="0">
                  <c:v>Broadcast TV</c:v>
                </c:pt>
              </c:strCache>
            </c:strRef>
          </c:tx>
          <c:spPr>
            <a:solidFill>
              <a:schemeClr val="accent2"/>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Cos'!$C$59:$C$78</c:f>
              <c:numCache>
                <c:formatCode>General</c:formatCode>
                <c:ptCount val="20"/>
                <c:pt idx="0">
                  <c:v>675.4</c:v>
                </c:pt>
                <c:pt idx="2">
                  <c:v>345.6</c:v>
                </c:pt>
                <c:pt idx="3">
                  <c:v>205.5</c:v>
                </c:pt>
                <c:pt idx="4">
                  <c:v>219.2</c:v>
                </c:pt>
                <c:pt idx="6">
                  <c:v>996.2</c:v>
                </c:pt>
              </c:numCache>
            </c:numRef>
          </c:val>
          <c:extLst>
            <c:ext xmlns:c16="http://schemas.microsoft.com/office/drawing/2014/chart" uri="{C3380CC4-5D6E-409C-BE32-E72D297353CC}">
              <c16:uniqueId val="{00000001-DBCE-6747-B6E1-5B14D146A957}"/>
            </c:ext>
          </c:extLst>
        </c:ser>
        <c:ser>
          <c:idx val="2"/>
          <c:order val="2"/>
          <c:tx>
            <c:strRef>
              <c:f>'Figure 78 Leading Content Cos'!$D$58</c:f>
              <c:strCache>
                <c:ptCount val="1"/>
                <c:pt idx="0">
                  <c:v>Pay TV Programming Services</c:v>
                </c:pt>
              </c:strCache>
            </c:strRef>
          </c:tx>
          <c:spPr>
            <a:solidFill>
              <a:schemeClr val="accent3"/>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Cos'!$D$59:$D$78</c:f>
              <c:numCache>
                <c:formatCode>General</c:formatCode>
                <c:ptCount val="20"/>
                <c:pt idx="0">
                  <c:v>1508</c:v>
                </c:pt>
                <c:pt idx="2">
                  <c:v>858.29</c:v>
                </c:pt>
                <c:pt idx="3">
                  <c:v>818.2</c:v>
                </c:pt>
                <c:pt idx="4">
                  <c:v>234.42</c:v>
                </c:pt>
                <c:pt idx="6">
                  <c:v>176.6</c:v>
                </c:pt>
                <c:pt idx="11">
                  <c:v>11</c:v>
                </c:pt>
              </c:numCache>
            </c:numRef>
          </c:val>
          <c:extLst>
            <c:ext xmlns:c16="http://schemas.microsoft.com/office/drawing/2014/chart" uri="{C3380CC4-5D6E-409C-BE32-E72D297353CC}">
              <c16:uniqueId val="{00000002-DBCE-6747-B6E1-5B14D146A957}"/>
            </c:ext>
          </c:extLst>
        </c:ser>
        <c:ser>
          <c:idx val="3"/>
          <c:order val="3"/>
          <c:tx>
            <c:strRef>
              <c:f>'Figure 78 Leading Content Cos'!$E$58</c:f>
              <c:strCache>
                <c:ptCount val="1"/>
                <c:pt idx="0">
                  <c:v>Online Video Services</c:v>
                </c:pt>
              </c:strCache>
            </c:strRef>
          </c:tx>
          <c:spPr>
            <a:solidFill>
              <a:schemeClr val="accent4"/>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Cos'!$E$59:$E$78</c:f>
              <c:numCache>
                <c:formatCode>General</c:formatCode>
                <c:ptCount val="20"/>
                <c:pt idx="0">
                  <c:v>167.26</c:v>
                </c:pt>
                <c:pt idx="1">
                  <c:v>0</c:v>
                </c:pt>
                <c:pt idx="3">
                  <c:v>81.650000000000006</c:v>
                </c:pt>
                <c:pt idx="4">
                  <c:v>39.700000000000003</c:v>
                </c:pt>
                <c:pt idx="10">
                  <c:v>631.49</c:v>
                </c:pt>
                <c:pt idx="13">
                  <c:v>82.91</c:v>
                </c:pt>
              </c:numCache>
            </c:numRef>
          </c:val>
          <c:extLst>
            <c:ext xmlns:c16="http://schemas.microsoft.com/office/drawing/2014/chart" uri="{C3380CC4-5D6E-409C-BE32-E72D297353CC}">
              <c16:uniqueId val="{00000003-DBCE-6747-B6E1-5B14D146A957}"/>
            </c:ext>
          </c:extLst>
        </c:ser>
        <c:ser>
          <c:idx val="4"/>
          <c:order val="4"/>
          <c:tx>
            <c:strRef>
              <c:f>'Figure 78 Leading Content Cos'!$F$58</c:f>
              <c:strCache>
                <c:ptCount val="1"/>
                <c:pt idx="0">
                  <c:v>Digital Games</c:v>
                </c:pt>
              </c:strCache>
            </c:strRef>
          </c:tx>
          <c:spPr>
            <a:solidFill>
              <a:schemeClr val="accent5"/>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Cos'!$F$59:$F$78</c:f>
              <c:numCache>
                <c:formatCode>General</c:formatCode>
                <c:ptCount val="20"/>
                <c:pt idx="1">
                  <c:v>127.99</c:v>
                </c:pt>
                <c:pt idx="12">
                  <c:v>331.1</c:v>
                </c:pt>
                <c:pt idx="13">
                  <c:v>232.43</c:v>
                </c:pt>
                <c:pt idx="17">
                  <c:v>293.02999999999997</c:v>
                </c:pt>
                <c:pt idx="19">
                  <c:v>184.69</c:v>
                </c:pt>
              </c:numCache>
            </c:numRef>
          </c:val>
          <c:extLst>
            <c:ext xmlns:c16="http://schemas.microsoft.com/office/drawing/2014/chart" uri="{C3380CC4-5D6E-409C-BE32-E72D297353CC}">
              <c16:uniqueId val="{00000004-DBCE-6747-B6E1-5B14D146A957}"/>
            </c:ext>
          </c:extLst>
        </c:ser>
        <c:ser>
          <c:idx val="5"/>
          <c:order val="5"/>
          <c:tx>
            <c:strRef>
              <c:f>'Figure 78 Leading Content Cos'!$G$58</c:f>
              <c:strCache>
                <c:ptCount val="1"/>
                <c:pt idx="0">
                  <c:v>Broadcast Radio</c:v>
                </c:pt>
              </c:strCache>
            </c:strRef>
          </c:tx>
          <c:spPr>
            <a:solidFill>
              <a:schemeClr val="accent6"/>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Cos'!$G$59:$G$78</c:f>
              <c:numCache>
                <c:formatCode>General</c:formatCode>
                <c:ptCount val="20"/>
                <c:pt idx="0">
                  <c:v>372.6</c:v>
                </c:pt>
                <c:pt idx="2">
                  <c:v>149.19999999999999</c:v>
                </c:pt>
                <c:pt idx="3">
                  <c:v>219.6</c:v>
                </c:pt>
                <c:pt idx="6">
                  <c:v>314.8</c:v>
                </c:pt>
                <c:pt idx="11">
                  <c:v>104.7</c:v>
                </c:pt>
                <c:pt idx="15">
                  <c:v>370.83</c:v>
                </c:pt>
              </c:numCache>
            </c:numRef>
          </c:val>
          <c:extLst>
            <c:ext xmlns:c16="http://schemas.microsoft.com/office/drawing/2014/chart" uri="{C3380CC4-5D6E-409C-BE32-E72D297353CC}">
              <c16:uniqueId val="{00000005-DBCE-6747-B6E1-5B14D146A957}"/>
            </c:ext>
          </c:extLst>
        </c:ser>
        <c:ser>
          <c:idx val="6"/>
          <c:order val="6"/>
          <c:tx>
            <c:strRef>
              <c:f>'Figure 78 Leading Content Cos'!$H$58</c:f>
              <c:strCache>
                <c:ptCount val="1"/>
                <c:pt idx="0">
                  <c:v>Music Services</c:v>
                </c:pt>
              </c:strCache>
            </c:strRef>
          </c:tx>
          <c:spPr>
            <a:solidFill>
              <a:schemeClr val="accent1">
                <a:lumMod val="60000"/>
              </a:schemeClr>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Cos'!$H$59:$H$78</c:f>
              <c:numCache>
                <c:formatCode>General</c:formatCode>
                <c:ptCount val="20"/>
                <c:pt idx="13">
                  <c:v>65.400000000000006</c:v>
                </c:pt>
                <c:pt idx="16">
                  <c:v>346.03</c:v>
                </c:pt>
                <c:pt idx="19">
                  <c:v>73.649999999999991</c:v>
                </c:pt>
              </c:numCache>
            </c:numRef>
          </c:val>
          <c:extLst>
            <c:ext xmlns:c16="http://schemas.microsoft.com/office/drawing/2014/chart" uri="{C3380CC4-5D6E-409C-BE32-E72D297353CC}">
              <c16:uniqueId val="{00000006-DBCE-6747-B6E1-5B14D146A957}"/>
            </c:ext>
          </c:extLst>
        </c:ser>
        <c:ser>
          <c:idx val="7"/>
          <c:order val="7"/>
          <c:tx>
            <c:strRef>
              <c:f>'Figure 78 Leading Content Cos'!$I$58</c:f>
              <c:strCache>
                <c:ptCount val="1"/>
                <c:pt idx="0">
                  <c:v>Newspapers</c:v>
                </c:pt>
              </c:strCache>
            </c:strRef>
          </c:tx>
          <c:spPr>
            <a:solidFill>
              <a:schemeClr val="accent2">
                <a:lumMod val="60000"/>
              </a:schemeClr>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Cos'!$I$59:$I$78</c:f>
              <c:numCache>
                <c:formatCode>General</c:formatCode>
                <c:ptCount val="20"/>
                <c:pt idx="4">
                  <c:v>159.80000000000001</c:v>
                </c:pt>
                <c:pt idx="7">
                  <c:v>754.3</c:v>
                </c:pt>
                <c:pt idx="9">
                  <c:v>619.29999999999995</c:v>
                </c:pt>
                <c:pt idx="14">
                  <c:v>240.86</c:v>
                </c:pt>
              </c:numCache>
            </c:numRef>
          </c:val>
          <c:extLst>
            <c:ext xmlns:c16="http://schemas.microsoft.com/office/drawing/2014/chart" uri="{C3380CC4-5D6E-409C-BE32-E72D297353CC}">
              <c16:uniqueId val="{00000007-DBCE-6747-B6E1-5B14D146A957}"/>
            </c:ext>
          </c:extLst>
        </c:ser>
        <c:ser>
          <c:idx val="8"/>
          <c:order val="8"/>
          <c:tx>
            <c:strRef>
              <c:f>'Figure 78 Leading Content Cos'!$J$58</c:f>
              <c:strCache>
                <c:ptCount val="1"/>
                <c:pt idx="0">
                  <c:v>Magazines</c:v>
                </c:pt>
              </c:strCache>
            </c:strRef>
          </c:tx>
          <c:spPr>
            <a:solidFill>
              <a:schemeClr val="accent3">
                <a:lumMod val="60000"/>
              </a:schemeClr>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Cos'!$J$59:$J$78</c:f>
              <c:numCache>
                <c:formatCode>General</c:formatCode>
                <c:ptCount val="20"/>
                <c:pt idx="0">
                  <c:v>6.6235211058263994</c:v>
                </c:pt>
                <c:pt idx="3">
                  <c:v>110</c:v>
                </c:pt>
                <c:pt idx="4">
                  <c:v>94.6</c:v>
                </c:pt>
                <c:pt idx="7">
                  <c:v>2.6071306480380505</c:v>
                </c:pt>
                <c:pt idx="14">
                  <c:v>135.19999999999999</c:v>
                </c:pt>
              </c:numCache>
            </c:numRef>
          </c:val>
          <c:extLst>
            <c:ext xmlns:c16="http://schemas.microsoft.com/office/drawing/2014/chart" uri="{C3380CC4-5D6E-409C-BE32-E72D297353CC}">
              <c16:uniqueId val="{00000008-DBCE-6747-B6E1-5B14D146A957}"/>
            </c:ext>
          </c:extLst>
        </c:ser>
        <c:ser>
          <c:idx val="9"/>
          <c:order val="9"/>
          <c:tx>
            <c:strRef>
              <c:f>'Figure 78 Leading Content Cos'!$K$58</c:f>
              <c:strCache>
                <c:ptCount val="1"/>
                <c:pt idx="0">
                  <c:v>Internet Advertising</c:v>
                </c:pt>
              </c:strCache>
            </c:strRef>
          </c:tx>
          <c:spPr>
            <a:solidFill>
              <a:schemeClr val="accent4">
                <a:lumMod val="60000"/>
              </a:schemeClr>
            </a:solidFill>
            <a:ln>
              <a:noFill/>
            </a:ln>
            <a:effectLst/>
          </c:spPr>
          <c:invertIfNegative val="0"/>
          <c:cat>
            <c:strRef>
              <c:f>'Figure 78 Leading Content Cos'!$A$59:$A$78</c:f>
              <c:strCache>
                <c:ptCount val="20"/>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pt idx="13">
                  <c:v>Apple</c:v>
                </c:pt>
                <c:pt idx="14">
                  <c:v>Transcontinental</c:v>
                </c:pt>
                <c:pt idx="15">
                  <c:v>Sirius</c:v>
                </c:pt>
                <c:pt idx="16">
                  <c:v>Live Nation</c:v>
                </c:pt>
                <c:pt idx="17">
                  <c:v>Activision Blizzard</c:v>
                </c:pt>
                <c:pt idx="18">
                  <c:v>EastLink</c:v>
                </c:pt>
                <c:pt idx="19">
                  <c:v>Sony</c:v>
                </c:pt>
              </c:strCache>
            </c:strRef>
          </c:cat>
          <c:val>
            <c:numRef>
              <c:f>'Figure 78 Leading Content Cos'!$K$59:$K$78</c:f>
              <c:numCache>
                <c:formatCode>General</c:formatCode>
                <c:ptCount val="20"/>
                <c:pt idx="0">
                  <c:v>57.06</c:v>
                </c:pt>
                <c:pt idx="1">
                  <c:v>3438.89</c:v>
                </c:pt>
                <c:pt idx="2">
                  <c:v>31.96</c:v>
                </c:pt>
                <c:pt idx="3">
                  <c:v>45.7</c:v>
                </c:pt>
                <c:pt idx="4">
                  <c:v>46.16</c:v>
                </c:pt>
                <c:pt idx="5">
                  <c:v>1750.1</c:v>
                </c:pt>
                <c:pt idx="6">
                  <c:v>36.6</c:v>
                </c:pt>
                <c:pt idx="7">
                  <c:v>105.5</c:v>
                </c:pt>
                <c:pt idx="9">
                  <c:v>128.5</c:v>
                </c:pt>
                <c:pt idx="12">
                  <c:v>153.41424000000001</c:v>
                </c:pt>
                <c:pt idx="14">
                  <c:v>26.5</c:v>
                </c:pt>
              </c:numCache>
            </c:numRef>
          </c:val>
          <c:extLst>
            <c:ext xmlns:c16="http://schemas.microsoft.com/office/drawing/2014/chart" uri="{C3380CC4-5D6E-409C-BE32-E72D297353CC}">
              <c16:uniqueId val="{00000009-DBCE-6747-B6E1-5B14D146A957}"/>
            </c:ext>
          </c:extLst>
        </c:ser>
        <c:dLbls>
          <c:showLegendKey val="0"/>
          <c:showVal val="0"/>
          <c:showCatName val="0"/>
          <c:showSerName val="0"/>
          <c:showPercent val="0"/>
          <c:showBubbleSize val="0"/>
        </c:dLbls>
        <c:gapWidth val="150"/>
        <c:overlap val="100"/>
        <c:axId val="1018403327"/>
        <c:axId val="1018394175"/>
      </c:barChart>
      <c:catAx>
        <c:axId val="101840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018394175"/>
        <c:crosses val="autoZero"/>
        <c:auto val="1"/>
        <c:lblAlgn val="ctr"/>
        <c:lblOffset val="100"/>
        <c:noMultiLvlLbl val="0"/>
      </c:catAx>
      <c:valAx>
        <c:axId val="10183941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403327"/>
        <c:crosses val="autoZero"/>
        <c:crossBetween val="between"/>
      </c:valAx>
      <c:spPr>
        <a:noFill/>
        <a:ln>
          <a:noFill/>
        </a:ln>
        <a:effectLst/>
      </c:spPr>
    </c:plotArea>
    <c:legend>
      <c:legendPos val="b"/>
      <c:layout>
        <c:manualLayout>
          <c:xMode val="edge"/>
          <c:yMode val="edge"/>
          <c:x val="9.9625423592953413E-3"/>
          <c:y val="0.86784748483784735"/>
          <c:w val="0.97729418828746739"/>
          <c:h val="0.1216799577589283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9971077513102E-2"/>
          <c:y val="2.7106717809171812E-2"/>
          <c:w val="0.93711282151578124"/>
          <c:h val="0.73868891189715191"/>
        </c:manualLayout>
      </c:layout>
      <c:barChart>
        <c:barDir val="col"/>
        <c:grouping val="stacked"/>
        <c:varyColors val="0"/>
        <c:ser>
          <c:idx val="0"/>
          <c:order val="0"/>
          <c:tx>
            <c:strRef>
              <c:f>'Figure 78 Leading Content Cos'!$B$58</c:f>
              <c:strCache>
                <c:ptCount val="1"/>
                <c:pt idx="0">
                  <c:v>Multichannel Video Distribution (Cable/DBS/IPTV)</c:v>
                </c:pt>
              </c:strCache>
            </c:strRef>
          </c:tx>
          <c:spPr>
            <a:solidFill>
              <a:schemeClr val="accent1"/>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Cos'!$B$59:$B$71</c:f>
              <c:numCache>
                <c:formatCode>General</c:formatCode>
                <c:ptCount val="13"/>
                <c:pt idx="0">
                  <c:v>2492.5</c:v>
                </c:pt>
                <c:pt idx="2">
                  <c:v>1921.5</c:v>
                </c:pt>
                <c:pt idx="3">
                  <c:v>1501</c:v>
                </c:pt>
                <c:pt idx="4">
                  <c:v>1010</c:v>
                </c:pt>
                <c:pt idx="8">
                  <c:v>769.3</c:v>
                </c:pt>
                <c:pt idx="11">
                  <c:v>495.8</c:v>
                </c:pt>
              </c:numCache>
            </c:numRef>
          </c:val>
          <c:extLst>
            <c:ext xmlns:c16="http://schemas.microsoft.com/office/drawing/2014/chart" uri="{C3380CC4-5D6E-409C-BE32-E72D297353CC}">
              <c16:uniqueId val="{00000000-DAF2-164D-8582-DBDB4671DA83}"/>
            </c:ext>
          </c:extLst>
        </c:ser>
        <c:ser>
          <c:idx val="1"/>
          <c:order val="1"/>
          <c:tx>
            <c:strRef>
              <c:f>'Figure 78 Leading Content Cos'!$C$58</c:f>
              <c:strCache>
                <c:ptCount val="1"/>
                <c:pt idx="0">
                  <c:v>Broadcast TV</c:v>
                </c:pt>
              </c:strCache>
            </c:strRef>
          </c:tx>
          <c:spPr>
            <a:solidFill>
              <a:schemeClr val="accent2"/>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Cos'!$C$59:$C$71</c:f>
              <c:numCache>
                <c:formatCode>General</c:formatCode>
                <c:ptCount val="13"/>
                <c:pt idx="0">
                  <c:v>675.4</c:v>
                </c:pt>
                <c:pt idx="2">
                  <c:v>345.6</c:v>
                </c:pt>
                <c:pt idx="3">
                  <c:v>205.5</c:v>
                </c:pt>
                <c:pt idx="4">
                  <c:v>219.2</c:v>
                </c:pt>
                <c:pt idx="6">
                  <c:v>996.2</c:v>
                </c:pt>
              </c:numCache>
            </c:numRef>
          </c:val>
          <c:extLst>
            <c:ext xmlns:c16="http://schemas.microsoft.com/office/drawing/2014/chart" uri="{C3380CC4-5D6E-409C-BE32-E72D297353CC}">
              <c16:uniqueId val="{00000001-DAF2-164D-8582-DBDB4671DA83}"/>
            </c:ext>
          </c:extLst>
        </c:ser>
        <c:ser>
          <c:idx val="2"/>
          <c:order val="2"/>
          <c:tx>
            <c:strRef>
              <c:f>'Figure 78 Leading Content Cos'!$D$58</c:f>
              <c:strCache>
                <c:ptCount val="1"/>
                <c:pt idx="0">
                  <c:v>Pay TV Programming Services</c:v>
                </c:pt>
              </c:strCache>
            </c:strRef>
          </c:tx>
          <c:spPr>
            <a:solidFill>
              <a:schemeClr val="accent3"/>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Cos'!$D$59:$D$71</c:f>
              <c:numCache>
                <c:formatCode>General</c:formatCode>
                <c:ptCount val="13"/>
                <c:pt idx="0">
                  <c:v>1508</c:v>
                </c:pt>
                <c:pt idx="2">
                  <c:v>858.29</c:v>
                </c:pt>
                <c:pt idx="3">
                  <c:v>818.2</c:v>
                </c:pt>
                <c:pt idx="4">
                  <c:v>234.42</c:v>
                </c:pt>
                <c:pt idx="6">
                  <c:v>176.6</c:v>
                </c:pt>
                <c:pt idx="11">
                  <c:v>11</c:v>
                </c:pt>
              </c:numCache>
            </c:numRef>
          </c:val>
          <c:extLst>
            <c:ext xmlns:c16="http://schemas.microsoft.com/office/drawing/2014/chart" uri="{C3380CC4-5D6E-409C-BE32-E72D297353CC}">
              <c16:uniqueId val="{00000002-DAF2-164D-8582-DBDB4671DA83}"/>
            </c:ext>
          </c:extLst>
        </c:ser>
        <c:ser>
          <c:idx val="3"/>
          <c:order val="3"/>
          <c:tx>
            <c:strRef>
              <c:f>'Figure 78 Leading Content Cos'!$E$58</c:f>
              <c:strCache>
                <c:ptCount val="1"/>
                <c:pt idx="0">
                  <c:v>Online Video Services</c:v>
                </c:pt>
              </c:strCache>
            </c:strRef>
          </c:tx>
          <c:spPr>
            <a:solidFill>
              <a:schemeClr val="accent4"/>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Cos'!$E$59:$E$71</c:f>
              <c:numCache>
                <c:formatCode>General</c:formatCode>
                <c:ptCount val="13"/>
                <c:pt idx="0">
                  <c:v>167.26</c:v>
                </c:pt>
                <c:pt idx="1">
                  <c:v>0</c:v>
                </c:pt>
                <c:pt idx="3">
                  <c:v>81.650000000000006</c:v>
                </c:pt>
                <c:pt idx="4">
                  <c:v>39.700000000000003</c:v>
                </c:pt>
                <c:pt idx="10">
                  <c:v>631.49</c:v>
                </c:pt>
              </c:numCache>
            </c:numRef>
          </c:val>
          <c:extLst>
            <c:ext xmlns:c16="http://schemas.microsoft.com/office/drawing/2014/chart" uri="{C3380CC4-5D6E-409C-BE32-E72D297353CC}">
              <c16:uniqueId val="{00000003-DAF2-164D-8582-DBDB4671DA83}"/>
            </c:ext>
          </c:extLst>
        </c:ser>
        <c:ser>
          <c:idx val="4"/>
          <c:order val="4"/>
          <c:tx>
            <c:strRef>
              <c:f>'Figure 78 Leading Content Cos'!$F$58</c:f>
              <c:strCache>
                <c:ptCount val="1"/>
                <c:pt idx="0">
                  <c:v>Digital Games</c:v>
                </c:pt>
              </c:strCache>
            </c:strRef>
          </c:tx>
          <c:spPr>
            <a:solidFill>
              <a:schemeClr val="accent5"/>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Cos'!$F$59:$F$71</c:f>
              <c:numCache>
                <c:formatCode>General</c:formatCode>
                <c:ptCount val="13"/>
                <c:pt idx="1">
                  <c:v>127.99</c:v>
                </c:pt>
                <c:pt idx="12">
                  <c:v>331.1</c:v>
                </c:pt>
              </c:numCache>
            </c:numRef>
          </c:val>
          <c:extLst>
            <c:ext xmlns:c16="http://schemas.microsoft.com/office/drawing/2014/chart" uri="{C3380CC4-5D6E-409C-BE32-E72D297353CC}">
              <c16:uniqueId val="{00000004-DAF2-164D-8582-DBDB4671DA83}"/>
            </c:ext>
          </c:extLst>
        </c:ser>
        <c:ser>
          <c:idx val="5"/>
          <c:order val="5"/>
          <c:tx>
            <c:strRef>
              <c:f>'Figure 78 Leading Content Cos'!$G$58</c:f>
              <c:strCache>
                <c:ptCount val="1"/>
                <c:pt idx="0">
                  <c:v>Broadcast Radio</c:v>
                </c:pt>
              </c:strCache>
            </c:strRef>
          </c:tx>
          <c:spPr>
            <a:solidFill>
              <a:schemeClr val="accent6"/>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Cos'!$G$59:$G$71</c:f>
              <c:numCache>
                <c:formatCode>General</c:formatCode>
                <c:ptCount val="13"/>
                <c:pt idx="0">
                  <c:v>372.6</c:v>
                </c:pt>
                <c:pt idx="2">
                  <c:v>149.19999999999999</c:v>
                </c:pt>
                <c:pt idx="3">
                  <c:v>219.6</c:v>
                </c:pt>
                <c:pt idx="6">
                  <c:v>314.8</c:v>
                </c:pt>
                <c:pt idx="11">
                  <c:v>104.7</c:v>
                </c:pt>
              </c:numCache>
            </c:numRef>
          </c:val>
          <c:extLst>
            <c:ext xmlns:c16="http://schemas.microsoft.com/office/drawing/2014/chart" uri="{C3380CC4-5D6E-409C-BE32-E72D297353CC}">
              <c16:uniqueId val="{00000005-DAF2-164D-8582-DBDB4671DA83}"/>
            </c:ext>
          </c:extLst>
        </c:ser>
        <c:ser>
          <c:idx val="6"/>
          <c:order val="6"/>
          <c:tx>
            <c:strRef>
              <c:f>'Figure 78 Leading Content Cos'!$H$58</c:f>
              <c:strCache>
                <c:ptCount val="1"/>
                <c:pt idx="0">
                  <c:v>Music Services</c:v>
                </c:pt>
              </c:strCache>
            </c:strRef>
          </c:tx>
          <c:spPr>
            <a:solidFill>
              <a:schemeClr val="accent1">
                <a:lumMod val="60000"/>
              </a:schemeClr>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Cos'!$H$59:$H$71</c:f>
              <c:numCache>
                <c:formatCode>General</c:formatCode>
                <c:ptCount val="13"/>
              </c:numCache>
            </c:numRef>
          </c:val>
          <c:extLst>
            <c:ext xmlns:c16="http://schemas.microsoft.com/office/drawing/2014/chart" uri="{C3380CC4-5D6E-409C-BE32-E72D297353CC}">
              <c16:uniqueId val="{00000006-DAF2-164D-8582-DBDB4671DA83}"/>
            </c:ext>
          </c:extLst>
        </c:ser>
        <c:ser>
          <c:idx val="7"/>
          <c:order val="7"/>
          <c:tx>
            <c:strRef>
              <c:f>'Figure 78 Leading Content Cos'!$I$58</c:f>
              <c:strCache>
                <c:ptCount val="1"/>
                <c:pt idx="0">
                  <c:v>Newspapers</c:v>
                </c:pt>
              </c:strCache>
            </c:strRef>
          </c:tx>
          <c:spPr>
            <a:solidFill>
              <a:schemeClr val="accent2">
                <a:lumMod val="60000"/>
              </a:schemeClr>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Cos'!$I$59:$I$71</c:f>
              <c:numCache>
                <c:formatCode>General</c:formatCode>
                <c:ptCount val="13"/>
                <c:pt idx="4">
                  <c:v>159.80000000000001</c:v>
                </c:pt>
                <c:pt idx="7">
                  <c:v>754.3</c:v>
                </c:pt>
                <c:pt idx="9">
                  <c:v>619.29999999999995</c:v>
                </c:pt>
              </c:numCache>
            </c:numRef>
          </c:val>
          <c:extLst>
            <c:ext xmlns:c16="http://schemas.microsoft.com/office/drawing/2014/chart" uri="{C3380CC4-5D6E-409C-BE32-E72D297353CC}">
              <c16:uniqueId val="{00000007-DAF2-164D-8582-DBDB4671DA83}"/>
            </c:ext>
          </c:extLst>
        </c:ser>
        <c:ser>
          <c:idx val="8"/>
          <c:order val="8"/>
          <c:tx>
            <c:strRef>
              <c:f>'Figure 78 Leading Content Cos'!$J$58</c:f>
              <c:strCache>
                <c:ptCount val="1"/>
                <c:pt idx="0">
                  <c:v>Magazines</c:v>
                </c:pt>
              </c:strCache>
            </c:strRef>
          </c:tx>
          <c:spPr>
            <a:solidFill>
              <a:schemeClr val="accent3">
                <a:lumMod val="60000"/>
              </a:schemeClr>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Cos'!$J$59:$J$71</c:f>
              <c:numCache>
                <c:formatCode>General</c:formatCode>
                <c:ptCount val="13"/>
                <c:pt idx="0">
                  <c:v>6.6235211058263994</c:v>
                </c:pt>
                <c:pt idx="3">
                  <c:v>110</c:v>
                </c:pt>
                <c:pt idx="4">
                  <c:v>94.6</c:v>
                </c:pt>
                <c:pt idx="7">
                  <c:v>2.6071306480380505</c:v>
                </c:pt>
              </c:numCache>
            </c:numRef>
          </c:val>
          <c:extLst>
            <c:ext xmlns:c16="http://schemas.microsoft.com/office/drawing/2014/chart" uri="{C3380CC4-5D6E-409C-BE32-E72D297353CC}">
              <c16:uniqueId val="{00000008-DAF2-164D-8582-DBDB4671DA83}"/>
            </c:ext>
          </c:extLst>
        </c:ser>
        <c:ser>
          <c:idx val="9"/>
          <c:order val="9"/>
          <c:tx>
            <c:strRef>
              <c:f>'Figure 78 Leading Content Cos'!$K$58</c:f>
              <c:strCache>
                <c:ptCount val="1"/>
                <c:pt idx="0">
                  <c:v>Internet Advertising</c:v>
                </c:pt>
              </c:strCache>
            </c:strRef>
          </c:tx>
          <c:spPr>
            <a:solidFill>
              <a:schemeClr val="accent4">
                <a:lumMod val="60000"/>
              </a:schemeClr>
            </a:solidFill>
            <a:ln>
              <a:noFill/>
            </a:ln>
            <a:effectLst/>
          </c:spPr>
          <c:invertIfNegative val="0"/>
          <c:cat>
            <c:strRef>
              <c:f>'Figure 78 Leading Content Cos'!$A$59:$A$71</c:f>
              <c:strCache>
                <c:ptCount val="13"/>
                <c:pt idx="0">
                  <c:v>Bell</c:v>
                </c:pt>
                <c:pt idx="1">
                  <c:v>Google</c:v>
                </c:pt>
                <c:pt idx="2">
                  <c:v>Shaw</c:v>
                </c:pt>
                <c:pt idx="3">
                  <c:v>Rogers</c:v>
                </c:pt>
                <c:pt idx="4">
                  <c:v>Quebecor</c:v>
                </c:pt>
                <c:pt idx="5">
                  <c:v>Facebook</c:v>
                </c:pt>
                <c:pt idx="6">
                  <c:v>CBC</c:v>
                </c:pt>
                <c:pt idx="7">
                  <c:v>Postmedia</c:v>
                </c:pt>
                <c:pt idx="8">
                  <c:v>Telus</c:v>
                </c:pt>
                <c:pt idx="9">
                  <c:v>Torstar</c:v>
                </c:pt>
                <c:pt idx="10">
                  <c:v>Netflix</c:v>
                </c:pt>
                <c:pt idx="11">
                  <c:v>Cogeco</c:v>
                </c:pt>
                <c:pt idx="12">
                  <c:v>Microsoft</c:v>
                </c:pt>
              </c:strCache>
            </c:strRef>
          </c:cat>
          <c:val>
            <c:numRef>
              <c:f>'Figure 78 Leading Content Cos'!$K$59:$K$71</c:f>
              <c:numCache>
                <c:formatCode>General</c:formatCode>
                <c:ptCount val="13"/>
                <c:pt idx="0">
                  <c:v>57.06</c:v>
                </c:pt>
                <c:pt idx="1">
                  <c:v>3438.89</c:v>
                </c:pt>
                <c:pt idx="2">
                  <c:v>31.96</c:v>
                </c:pt>
                <c:pt idx="3">
                  <c:v>45.7</c:v>
                </c:pt>
                <c:pt idx="4">
                  <c:v>46.16</c:v>
                </c:pt>
                <c:pt idx="5">
                  <c:v>1750.1</c:v>
                </c:pt>
                <c:pt idx="6">
                  <c:v>36.6</c:v>
                </c:pt>
                <c:pt idx="7">
                  <c:v>105.5</c:v>
                </c:pt>
                <c:pt idx="9">
                  <c:v>128.5</c:v>
                </c:pt>
                <c:pt idx="12">
                  <c:v>153.41424000000001</c:v>
                </c:pt>
              </c:numCache>
            </c:numRef>
          </c:val>
          <c:extLst>
            <c:ext xmlns:c16="http://schemas.microsoft.com/office/drawing/2014/chart" uri="{C3380CC4-5D6E-409C-BE32-E72D297353CC}">
              <c16:uniqueId val="{00000009-DAF2-164D-8582-DBDB4671DA83}"/>
            </c:ext>
          </c:extLst>
        </c:ser>
        <c:dLbls>
          <c:showLegendKey val="0"/>
          <c:showVal val="0"/>
          <c:showCatName val="0"/>
          <c:showSerName val="0"/>
          <c:showPercent val="0"/>
          <c:showBubbleSize val="0"/>
        </c:dLbls>
        <c:gapWidth val="150"/>
        <c:overlap val="100"/>
        <c:axId val="1018421631"/>
        <c:axId val="1018409567"/>
      </c:barChart>
      <c:catAx>
        <c:axId val="1018421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018409567"/>
        <c:crosses val="autoZero"/>
        <c:auto val="1"/>
        <c:lblAlgn val="ctr"/>
        <c:lblOffset val="100"/>
        <c:noMultiLvlLbl val="0"/>
      </c:catAx>
      <c:valAx>
        <c:axId val="10184095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018421631"/>
        <c:crosses val="autoZero"/>
        <c:crossBetween val="between"/>
      </c:valAx>
      <c:spPr>
        <a:noFill/>
        <a:ln>
          <a:noFill/>
        </a:ln>
        <a:effectLst/>
      </c:spPr>
    </c:plotArea>
    <c:legend>
      <c:legendPos val="b"/>
      <c:layout>
        <c:manualLayout>
          <c:xMode val="edge"/>
          <c:yMode val="edge"/>
          <c:x val="2.8584330146556407E-2"/>
          <c:y val="0.86200099966936405"/>
          <c:w val="0.95373131622258744"/>
          <c:h val="0.123213517889269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2</xdr:row>
      <xdr:rowOff>63500</xdr:rowOff>
    </xdr:from>
    <xdr:to>
      <xdr:col>9</xdr:col>
      <xdr:colOff>368300</xdr:colOff>
      <xdr:row>20</xdr:row>
      <xdr:rowOff>171399</xdr:rowOff>
    </xdr:to>
    <xdr:pic>
      <xdr:nvPicPr>
        <xdr:cNvPr id="5" name="Picture 4">
          <a:extLst>
            <a:ext uri="{FF2B5EF4-FFF2-40B4-BE49-F238E27FC236}">
              <a16:creationId xmlns:a16="http://schemas.microsoft.com/office/drawing/2014/main" id="{494ECB98-380E-9E8D-1021-C8A54BB00D51}"/>
            </a:ext>
          </a:extLst>
        </xdr:cNvPr>
        <xdr:cNvPicPr>
          <a:picLocks noChangeAspect="1"/>
        </xdr:cNvPicPr>
      </xdr:nvPicPr>
      <xdr:blipFill>
        <a:blip xmlns:r="http://schemas.openxmlformats.org/officeDocument/2006/relationships" r:embed="rId1"/>
        <a:stretch>
          <a:fillRect/>
        </a:stretch>
      </xdr:blipFill>
      <xdr:spPr>
        <a:xfrm>
          <a:off x="139700" y="520700"/>
          <a:ext cx="7772400" cy="3980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115</xdr:col>
      <xdr:colOff>55562</xdr:colOff>
      <xdr:row>107</xdr:row>
      <xdr:rowOff>49212</xdr:rowOff>
    </xdr:from>
    <xdr:to>
      <xdr:col>128</xdr:col>
      <xdr:colOff>303212</xdr:colOff>
      <xdr:row>144</xdr:row>
      <xdr:rowOff>125412</xdr:rowOff>
    </xdr:to>
    <xdr:graphicFrame macro="">
      <xdr:nvGraphicFramePr>
        <xdr:cNvPr id="3" name="Chart 2">
          <a:extLst>
            <a:ext uri="{FF2B5EF4-FFF2-40B4-BE49-F238E27FC236}">
              <a16:creationId xmlns:a16="http://schemas.microsoft.com/office/drawing/2014/main" id="{62DEBC03-CDBC-9548-BCA7-3998DF72D1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46141</xdr:colOff>
      <xdr:row>139</xdr:row>
      <xdr:rowOff>136057</xdr:rowOff>
    </xdr:from>
    <xdr:to>
      <xdr:col>8</xdr:col>
      <xdr:colOff>124838</xdr:colOff>
      <xdr:row>167</xdr:row>
      <xdr:rowOff>235843</xdr:rowOff>
    </xdr:to>
    <xdr:graphicFrame macro="">
      <xdr:nvGraphicFramePr>
        <xdr:cNvPr id="4" name="Chart 3">
          <a:extLst>
            <a:ext uri="{FF2B5EF4-FFF2-40B4-BE49-F238E27FC236}">
              <a16:creationId xmlns:a16="http://schemas.microsoft.com/office/drawing/2014/main" id="{2A9D6625-6595-224C-AF4B-57AB34222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384202</xdr:colOff>
      <xdr:row>139</xdr:row>
      <xdr:rowOff>223596</xdr:rowOff>
    </xdr:from>
    <xdr:to>
      <xdr:col>22</xdr:col>
      <xdr:colOff>157416</xdr:colOff>
      <xdr:row>167</xdr:row>
      <xdr:rowOff>257161</xdr:rowOff>
    </xdr:to>
    <xdr:graphicFrame macro="">
      <xdr:nvGraphicFramePr>
        <xdr:cNvPr id="5" name="Chart 4">
          <a:extLst>
            <a:ext uri="{FF2B5EF4-FFF2-40B4-BE49-F238E27FC236}">
              <a16:creationId xmlns:a16="http://schemas.microsoft.com/office/drawing/2014/main" id="{A5DC24FE-2114-2847-8388-21C9CF823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453024</xdr:colOff>
      <xdr:row>85</xdr:row>
      <xdr:rowOff>109375</xdr:rowOff>
    </xdr:from>
    <xdr:to>
      <xdr:col>9</xdr:col>
      <xdr:colOff>111526</xdr:colOff>
      <xdr:row>111</xdr:row>
      <xdr:rowOff>535</xdr:rowOff>
    </xdr:to>
    <xdr:graphicFrame macro="">
      <xdr:nvGraphicFramePr>
        <xdr:cNvPr id="6" name="Chart 5">
          <a:extLst>
            <a:ext uri="{FF2B5EF4-FFF2-40B4-BE49-F238E27FC236}">
              <a16:creationId xmlns:a16="http://schemas.microsoft.com/office/drawing/2014/main" id="{F474380E-358F-0440-81FC-BDD25AC86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761773</xdr:colOff>
      <xdr:row>85</xdr:row>
      <xdr:rowOff>79828</xdr:rowOff>
    </xdr:from>
    <xdr:to>
      <xdr:col>21</xdr:col>
      <xdr:colOff>46719</xdr:colOff>
      <xdr:row>111</xdr:row>
      <xdr:rowOff>44675</xdr:rowOff>
    </xdr:to>
    <xdr:graphicFrame macro="">
      <xdr:nvGraphicFramePr>
        <xdr:cNvPr id="7" name="Chart 6">
          <a:extLst>
            <a:ext uri="{FF2B5EF4-FFF2-40B4-BE49-F238E27FC236}">
              <a16:creationId xmlns:a16="http://schemas.microsoft.com/office/drawing/2014/main" id="{C9EA43BD-9A1D-9440-9FFE-AC6B80D8B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7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6D9C-25FE-4F4B-8C5F-E0EA1702AADF}">
  <dimension ref="A1:A86"/>
  <sheetViews>
    <sheetView tabSelected="1" zoomScale="75" zoomScaleNormal="55" workbookViewId="0"/>
  </sheetViews>
  <sheetFormatPr baseColWidth="10" defaultColWidth="10.6640625" defaultRowHeight="16"/>
  <cols>
    <col min="1" max="1" width="112.5" style="1" customWidth="1"/>
  </cols>
  <sheetData>
    <row r="1" spans="1:1">
      <c r="A1" s="39" t="s">
        <v>0</v>
      </c>
    </row>
    <row r="2" spans="1:1" s="41" customFormat="1">
      <c r="A2" s="40" t="s">
        <v>1</v>
      </c>
    </row>
    <row r="3" spans="1:1" s="41" customFormat="1">
      <c r="A3" s="40" t="s">
        <v>560</v>
      </c>
    </row>
    <row r="4" spans="1:1" s="41" customFormat="1">
      <c r="A4" s="40" t="s">
        <v>205</v>
      </c>
    </row>
    <row r="5" spans="1:1" s="41" customFormat="1">
      <c r="A5" s="40" t="s">
        <v>2</v>
      </c>
    </row>
    <row r="6" spans="1:1" s="41" customFormat="1">
      <c r="A6" s="40" t="s">
        <v>515</v>
      </c>
    </row>
    <row r="7" spans="1:1" s="41" customFormat="1">
      <c r="A7" s="40" t="s">
        <v>561</v>
      </c>
    </row>
    <row r="8" spans="1:1" s="41" customFormat="1">
      <c r="A8" s="40" t="s">
        <v>562</v>
      </c>
    </row>
    <row r="9" spans="1:1" s="41" customFormat="1">
      <c r="A9" s="40" t="s">
        <v>563</v>
      </c>
    </row>
    <row r="10" spans="1:1" s="41" customFormat="1">
      <c r="A10" s="40" t="s">
        <v>884</v>
      </c>
    </row>
    <row r="11" spans="1:1" s="41" customFormat="1">
      <c r="A11" s="40" t="s">
        <v>564</v>
      </c>
    </row>
    <row r="12" spans="1:1" s="41" customFormat="1">
      <c r="A12" s="40" t="s">
        <v>565</v>
      </c>
    </row>
    <row r="13" spans="1:1" s="41" customFormat="1">
      <c r="A13" s="40" t="s">
        <v>566</v>
      </c>
    </row>
    <row r="14" spans="1:1" s="41" customFormat="1" ht="17">
      <c r="A14" s="42" t="s">
        <v>882</v>
      </c>
    </row>
    <row r="15" spans="1:1" s="41" customFormat="1">
      <c r="A15" s="40" t="s">
        <v>568</v>
      </c>
    </row>
    <row r="16" spans="1:1" s="41" customFormat="1">
      <c r="A16" s="40" t="s">
        <v>569</v>
      </c>
    </row>
    <row r="17" spans="1:1" s="41" customFormat="1">
      <c r="A17" s="40" t="s">
        <v>580</v>
      </c>
    </row>
    <row r="18" spans="1:1" s="41" customFormat="1">
      <c r="A18" s="40" t="s">
        <v>570</v>
      </c>
    </row>
    <row r="19" spans="1:1" s="41" customFormat="1">
      <c r="A19" s="40" t="s">
        <v>571</v>
      </c>
    </row>
    <row r="20" spans="1:1" s="41" customFormat="1">
      <c r="A20" s="40" t="s">
        <v>572</v>
      </c>
    </row>
    <row r="21" spans="1:1" s="41" customFormat="1">
      <c r="A21" s="40" t="s">
        <v>573</v>
      </c>
    </row>
    <row r="22" spans="1:1" s="41" customFormat="1">
      <c r="A22" s="40" t="s">
        <v>574</v>
      </c>
    </row>
    <row r="23" spans="1:1" s="41" customFormat="1">
      <c r="A23" s="40" t="s">
        <v>575</v>
      </c>
    </row>
    <row r="24" spans="1:1" s="41" customFormat="1">
      <c r="A24" s="40" t="s">
        <v>576</v>
      </c>
    </row>
    <row r="25" spans="1:1" s="41" customFormat="1">
      <c r="A25" s="40" t="s">
        <v>577</v>
      </c>
    </row>
    <row r="26" spans="1:1" s="41" customFormat="1">
      <c r="A26" s="40" t="s">
        <v>578</v>
      </c>
    </row>
    <row r="27" spans="1:1" s="41" customFormat="1">
      <c r="A27" s="40" t="s">
        <v>867</v>
      </c>
    </row>
    <row r="28" spans="1:1" s="41" customFormat="1">
      <c r="A28" s="40" t="s">
        <v>868</v>
      </c>
    </row>
    <row r="29" spans="1:1" s="41" customFormat="1">
      <c r="A29" s="40" t="s">
        <v>551</v>
      </c>
    </row>
    <row r="30" spans="1:1" s="41" customFormat="1">
      <c r="A30" s="40" t="s">
        <v>552</v>
      </c>
    </row>
    <row r="31" spans="1:1" s="41" customFormat="1">
      <c r="A31" s="40" t="s">
        <v>553</v>
      </c>
    </row>
    <row r="32" spans="1:1" s="41" customFormat="1">
      <c r="A32" s="40" t="s">
        <v>554</v>
      </c>
    </row>
    <row r="33" spans="1:1" s="41" customFormat="1">
      <c r="A33" s="40" t="s">
        <v>869</v>
      </c>
    </row>
    <row r="34" spans="1:1" s="41" customFormat="1">
      <c r="A34" s="40" t="s">
        <v>555</v>
      </c>
    </row>
    <row r="35" spans="1:1" s="41" customFormat="1">
      <c r="A35" s="40" t="s">
        <v>556</v>
      </c>
    </row>
    <row r="36" spans="1:1" s="41" customFormat="1">
      <c r="A36" s="40" t="s">
        <v>557</v>
      </c>
    </row>
    <row r="37" spans="1:1" s="41" customFormat="1">
      <c r="A37" s="40" t="s">
        <v>558</v>
      </c>
    </row>
    <row r="38" spans="1:1" s="41" customFormat="1">
      <c r="A38" s="40" t="s">
        <v>860</v>
      </c>
    </row>
    <row r="39" spans="1:1" s="41" customFormat="1">
      <c r="A39" s="40" t="s">
        <v>559</v>
      </c>
    </row>
    <row r="40" spans="1:1" s="41" customFormat="1">
      <c r="A40" s="40" t="s">
        <v>872</v>
      </c>
    </row>
    <row r="41" spans="1:1" s="41" customFormat="1">
      <c r="A41" s="40" t="s">
        <v>873</v>
      </c>
    </row>
    <row r="42" spans="1:1" s="41" customFormat="1">
      <c r="A42" s="40" t="s">
        <v>874</v>
      </c>
    </row>
    <row r="43" spans="1:1" s="41" customFormat="1">
      <c r="A43" s="40" t="s">
        <v>723</v>
      </c>
    </row>
    <row r="44" spans="1:1" s="41" customFormat="1">
      <c r="A44" s="40" t="s">
        <v>861</v>
      </c>
    </row>
    <row r="45" spans="1:1" s="41" customFormat="1">
      <c r="A45" s="40" t="s">
        <v>724</v>
      </c>
    </row>
    <row r="46" spans="1:1" s="41" customFormat="1">
      <c r="A46" s="40" t="s">
        <v>875</v>
      </c>
    </row>
    <row r="47" spans="1:1" s="41" customFormat="1">
      <c r="A47" s="40" t="s">
        <v>870</v>
      </c>
    </row>
    <row r="48" spans="1:1" s="41" customFormat="1">
      <c r="A48" s="40" t="s">
        <v>726</v>
      </c>
    </row>
    <row r="49" spans="1:1" s="41" customFormat="1">
      <c r="A49" s="40" t="s">
        <v>727</v>
      </c>
    </row>
    <row r="50" spans="1:1" s="41" customFormat="1">
      <c r="A50" s="40" t="s">
        <v>728</v>
      </c>
    </row>
    <row r="51" spans="1:1" s="41" customFormat="1">
      <c r="A51" s="40" t="s">
        <v>729</v>
      </c>
    </row>
    <row r="52" spans="1:1" s="41" customFormat="1">
      <c r="A52" s="40" t="s">
        <v>730</v>
      </c>
    </row>
    <row r="53" spans="1:1" s="41" customFormat="1">
      <c r="A53" s="40" t="s">
        <v>731</v>
      </c>
    </row>
    <row r="54" spans="1:1" s="41" customFormat="1">
      <c r="A54" s="40" t="s">
        <v>732</v>
      </c>
    </row>
    <row r="55" spans="1:1" s="41" customFormat="1">
      <c r="A55" s="40" t="s">
        <v>876</v>
      </c>
    </row>
    <row r="56" spans="1:1" s="41" customFormat="1">
      <c r="A56" s="40" t="s">
        <v>734</v>
      </c>
    </row>
    <row r="57" spans="1:1" s="41" customFormat="1">
      <c r="A57" s="40" t="s">
        <v>735</v>
      </c>
    </row>
    <row r="58" spans="1:1" s="41" customFormat="1">
      <c r="A58" s="40" t="s">
        <v>736</v>
      </c>
    </row>
    <row r="59" spans="1:1" s="41" customFormat="1">
      <c r="A59" s="40" t="s">
        <v>877</v>
      </c>
    </row>
    <row r="60" spans="1:1" s="41" customFormat="1">
      <c r="A60" s="40" t="s">
        <v>738</v>
      </c>
    </row>
    <row r="61" spans="1:1" s="41" customFormat="1">
      <c r="A61" s="40" t="s">
        <v>739</v>
      </c>
    </row>
    <row r="62" spans="1:1" s="41" customFormat="1">
      <c r="A62" s="40" t="s">
        <v>740</v>
      </c>
    </row>
    <row r="63" spans="1:1" s="41" customFormat="1">
      <c r="A63" s="40" t="s">
        <v>878</v>
      </c>
    </row>
    <row r="64" spans="1:1" s="41" customFormat="1">
      <c r="A64" s="40" t="s">
        <v>742</v>
      </c>
    </row>
    <row r="65" spans="1:1" s="41" customFormat="1">
      <c r="A65" s="40" t="s">
        <v>879</v>
      </c>
    </row>
    <row r="66" spans="1:1" s="41" customFormat="1">
      <c r="A66" s="40" t="s">
        <v>744</v>
      </c>
    </row>
    <row r="67" spans="1:1" s="41" customFormat="1">
      <c r="A67" s="40" t="s">
        <v>745</v>
      </c>
    </row>
    <row r="68" spans="1:1" s="41" customFormat="1">
      <c r="A68" s="40" t="s">
        <v>880</v>
      </c>
    </row>
    <row r="69" spans="1:1" s="41" customFormat="1">
      <c r="A69" s="40" t="s">
        <v>762</v>
      </c>
    </row>
    <row r="70" spans="1:1" s="41" customFormat="1">
      <c r="A70" s="40" t="s">
        <v>767</v>
      </c>
    </row>
    <row r="71" spans="1:1" s="41" customFormat="1">
      <c r="A71" s="40" t="s">
        <v>791</v>
      </c>
    </row>
    <row r="72" spans="1:1" s="41" customFormat="1">
      <c r="A72" s="40" t="s">
        <v>790</v>
      </c>
    </row>
    <row r="73" spans="1:1" s="41" customFormat="1">
      <c r="A73" s="40" t="s">
        <v>792</v>
      </c>
    </row>
    <row r="74" spans="1:1" s="41" customFormat="1">
      <c r="A74" s="40" t="s">
        <v>801</v>
      </c>
    </row>
    <row r="75" spans="1:1" s="41" customFormat="1">
      <c r="A75" s="40" t="s">
        <v>871</v>
      </c>
    </row>
    <row r="76" spans="1:1" s="41" customFormat="1">
      <c r="A76" s="40" t="s">
        <v>818</v>
      </c>
    </row>
    <row r="77" spans="1:1" s="41" customFormat="1">
      <c r="A77" s="40" t="s">
        <v>838</v>
      </c>
    </row>
    <row r="78" spans="1:1" s="41" customFormat="1">
      <c r="A78" s="40" t="s">
        <v>825</v>
      </c>
    </row>
    <row r="79" spans="1:1" s="41" customFormat="1">
      <c r="A79" s="40" t="s">
        <v>881</v>
      </c>
    </row>
    <row r="80" spans="1:1" s="41" customFormat="1">
      <c r="A80" s="40" t="s">
        <v>858</v>
      </c>
    </row>
    <row r="81" spans="1:1" s="41" customFormat="1">
      <c r="A81" s="40" t="s">
        <v>856</v>
      </c>
    </row>
    <row r="82" spans="1:1" s="41" customFormat="1">
      <c r="A82" s="40" t="s">
        <v>843</v>
      </c>
    </row>
    <row r="83" spans="1:1" s="41" customFormat="1">
      <c r="A83" s="40" t="s">
        <v>857</v>
      </c>
    </row>
    <row r="84" spans="1:1" s="41" customFormat="1">
      <c r="A84" s="40" t="s">
        <v>852</v>
      </c>
    </row>
    <row r="85" spans="1:1" s="41" customFormat="1">
      <c r="A85" s="40" t="s">
        <v>853</v>
      </c>
    </row>
    <row r="86" spans="1:1" s="41" customFormat="1">
      <c r="A86" s="40" t="s">
        <v>865</v>
      </c>
    </row>
  </sheetData>
  <hyperlinks>
    <hyperlink ref="A2" location="'Figure 1 Sectors Covered'!A1" display="Figure 1: The Network Media Economy in Canada--What the GMIC Project Covers" xr:uid="{1E0F8BC5-6DF1-42E6-BE1D-59440213FA6B}"/>
    <hyperlink ref="A3" location="'Figure 2 Development'!A1" display="Figure 2: Development of the network media economy, 1984-2023 (current $, millions) " xr:uid="{7366A410-4D92-4534-A079-FF00311D4576}"/>
    <hyperlink ref="A4" location="'Figure 3 GSDR'!A1" display="Figure 3: Growth, Stagnation, Decline and Recovery in the NME, 2023" xr:uid="{33D10D33-9DE9-40CB-AA9F-798E5BB89433}"/>
    <hyperlink ref="A5" location="'Figure 4 Household Spending '!A1" display="Figure 4: Household Spending on Communications and Media Services and ICTs, 1982-2023" xr:uid="{A92C836F-A6FC-40D6-8543-E840FB4B137A}"/>
    <hyperlink ref="A6" location="'Fig 5 Leading Companies'!A1" display="'Fig 5 Leading Companies'!A1" xr:uid="{0979B9D6-2052-4D94-BF90-0E5149F07045}"/>
    <hyperlink ref="A7" location="'Figure 6 Conc RankingsHHI'!A1" display="Figure 6: Concentration Rankings on the basis of HHI Scores, 2023" xr:uid="{BAF46889-392E-4F8D-8681-DB790F3DB795}"/>
    <hyperlink ref="A8" location="'Figure 7 1969 Media Economy'!A1" display="Figure 7: Canada's communications and media economy (current $, millions), 1969 (or most recent year)" xr:uid="{A521D827-BC30-4A3D-B3B1-67A40F85B248}"/>
    <hyperlink ref="A9" location="'Figure 8 Leading BC&amp;Pubs'!A1" display="Figure 8: Leading Communication in Canada based in revenue (current $, millions), 1984" xr:uid="{1D2D851C-860C-487B-ABA4-254D3B42969E}"/>
    <hyperlink ref="A10" location="'Figure 9  Leading Mediacos'!A1" display="Figure 9: Leading Communication in Canada (current $, millions), 1984" xr:uid="{C747CBE7-A6D9-4CEB-8593-A45D14744CF6}"/>
    <hyperlink ref="A11" location="'Fig 10 MediaEcon 1969v84v96'!A1" display="Figure 10: Canada's communications and media economy  (current $, millions), 1969, 1984 &amp; 1996 " xr:uid="{5DB54FB7-44A3-4998-BB9C-CA94C0EFF0BC}"/>
    <hyperlink ref="A12" location="'Fig 11 Major Comms+Media M&amp;A'!A1" display="Figure 11: Major Communications &amp; Media Ownership Changes in Canada, 1994-2023" xr:uid="{A48348AC-2A09-446D-8693-FCB6921C6622}"/>
    <hyperlink ref="A13" location="'Figure 12 Can vs US VI'!A1" display="Figure 12: Vertical Integration and the Network Media Ecology in Canada vs U.S. (2023)) (Market share based on revenue)" xr:uid="{C631B99A-2154-47A3-8712-869F09E4C933}"/>
    <hyperlink ref="A14" location="'Figure 13 Com vs Content'!A1" display="'Figure 13 Com vs Content'!A1" xr:uid="{DA77BC9C-7D82-4AB5-85BD-950AF97F4A55}"/>
    <hyperlink ref="A15" location="'Figure 14 VI vs Big Tech'!A1" display="Figure 14: Vertically Integrated Communications Conglomerates vs Big Tech and Streaming Media Services Market Share based on revenue, 1984-2023" xr:uid="{70F2ED53-9A83-4665-BB23-8D36F48C208C}"/>
    <hyperlink ref="A16" location="'Figure 15 NME All Sector $'!A1" display="Figure 15: Separate Media, Distinct Evolutionary Paths and the Network Media Economy, 1984-2023 (current $, millions)" xr:uid="{0E700525-171A-4DDA-A38E-1B9EFE8E3668}"/>
    <hyperlink ref="A17" location="'Figure 16  Telecom+ISP $'!A1" display="Figure 16: Telecoms &amp; Internet Access Sectors, 1984-2023 (current $, millions)" xr:uid="{E99DEF8F-CAD9-49A4-B7F8-B217BA35F5BA}"/>
    <hyperlink ref="A18" location="'Figure 17 Network Conn Subs'!A1" display="Figure 17: Distribution Market share by Subscriber Lines and Type of Service, 2023" xr:uid="{759C00A3-EADF-4CB4-93B7-B96F359C7C3C}"/>
    <hyperlink ref="A19" location="'Figure 18 Network Conn $'!A1" display="Figure 18: Distribution Market share by Type of Service and Revenue, 2023" xr:uid="{84C872AC-6D47-4444-B62B-E20D20F44B65}"/>
    <hyperlink ref="A20" location="'Figure 19 CR4 Telecom+Internet'!A1" display="Figure 19: CR Scores for the Telecom &amp; Internet Access Sectors, 1984 – 2022 (Based on Revenue)" xr:uid="{5E7CE07C-0AEB-4522-9371-E2FFC5702D36}"/>
    <hyperlink ref="A21" location="'Figure 20 HHI Telecom+Internet'!A1" display="Figure 20: HHI Scores for the Telecom &amp; Internet Access Sectors, 1984 – 2022 (Based on Revenue)" xr:uid="{41889114-B3F5-403C-8EC1-B7E6008EDE84}"/>
    <hyperlink ref="A22" location="'Figure 21 Biggest Mobile Mrkts'!A1" display="Figure 21: Mobile Wireless Markets in Select Countries Ranked by Revenue, 2021-2023 (millions CDN$)" xr:uid="{259D8B57-4AD8-461F-A251-D2D692AB779D}"/>
    <hyperlink ref="A23" location="'Figure 22 Comm Serv vs CPI'!A1" display="Figure 22: Communication Services &amp; Devices vs the CPI, 2002-2023" xr:uid="{8418420A-33CC-4F65-8A5A-03A18431AE6E}"/>
    <hyperlink ref="A24" location="'Figure 23 ARPU'!A1" display="Figure 23: National Mobile Operators' Plan and Service Average Revenue Per User, 2020 vs 2023" xr:uid="{8043444C-C72D-4ECA-A90D-79BA6D80CD1B}"/>
    <hyperlink ref="A25" location="'Figure 24 ICT Income'!A1" display="Figure 24: Household Access to Information and Communication Technologies by Income Quintile, 2023 (est)" xr:uid="{D2AAA893-2C66-404B-9B46-99A74E13678D}"/>
    <hyperlink ref="A26" location="'Fig 25 OECD Mobile Adoption'!A1" display="Figure 25: OECD wireless broadband subscriptions per 100 inhabitants, by technology, December 2023" xr:uid="{AD425E7A-3B8B-4C65-B86C-ADE65F195017}"/>
    <hyperlink ref="A27" location="'Figure 26 Mobile Data Usage'!A1" display="Figure 26: Mobile data usage per mobile broadband subscription per month, 2017-2023" xr:uid="{EE4CF704-FF86-4F13-94AE-D3E0DCF5D9D5}"/>
    <hyperlink ref="A28" location="'Figure 27 Nat''l Wireless Mrkt '!A1" display="Figure 27: Mobile Wireless Operators’ National Market Share, 1985-2023 (based on revenue)" xr:uid="{35F4D9EA-D78E-432C-8A48-17CDD8265275}"/>
    <hyperlink ref="A29" location="'Figure 28 Prov Wireless Subs'!A1" display="Figure 28: Province mobile wireless market shares, by subscriber, 2023" xr:uid="{EA27D188-884F-4832-B93C-C3EFC83E9A79}"/>
    <hyperlink ref="A30" location="'Figure 29 Prov Wireless $'!A1" display="Figure 29: Province mobile wireless market shares, by revenue, 2023" xr:uid="{7971E14A-3374-4E6F-8464-A2A68D42C407}"/>
    <hyperlink ref="A31" location="'Figure 30 IPTV Subs'!A1" display="Figure 30: The Growth of Telecom Operator IPTV Subscribers in Canada (000s), 2004–2023" xr:uid="{15A27CDB-2B61-4710-B471-CCD8FD7A7D5A}"/>
    <hyperlink ref="A32" location="'Figure 31 IPTV $'!A1" display="Figure 31: The Growth of Telecom Operators IPTV Revenues in Canada, 2004–2023 (current $, millions)" xr:uid="{4A259651-0CA3-46EF-B40A-C59F42F8A4F7}"/>
    <hyperlink ref="A33" location="'Figure 32 BDU $'!A1" display="Figure 32: Broadcasting distribution revenues by type of provider, 2004–2023 (current $, millions)" xr:uid="{AC440A42-B22A-4E10-A994-3325D5191F8D}"/>
    <hyperlink ref="A34" location="'Figure 33 BDU RS Before After'!A1" display="Figure 33: National BDU market: &quot;Before&quot; vs &quot;after&quot; Rogers-Shaw Deal (based on 2022 revenue)" xr:uid="{72CD682D-1DD2-4667-8E16-EA4AF9412F9A}"/>
    <hyperlink ref="A35" location="'Fig 34 Cable vs Telcos'!A1" display="Figure 34: The Decline of Monopoly Cable TV: Cable Companies vs Telephone Companies Market Share Based on Revenue, 1996-2023" xr:uid="{BBD8CB8D-8BCA-4ECD-9F19-8A558411681F}"/>
    <hyperlink ref="A36" location="'Figure 35 HSIA'!A1" display="Figure 35: High-speed internet access and fibre subscriptions by Income Quintile, 2023" xr:uid="{B30CB84D-E1F0-4CE8-8553-DA6AE1F47918}"/>
    <hyperlink ref="A37" location="'Figure 36 Fibre Broadband'!A1" display="Figure 36: Fibre and total fixed broadband subscriptions per 100, Dec. 2023" xr:uid="{9B67A5D0-5D9E-4ED6-846F-F86DB48BD16C}"/>
    <hyperlink ref="A38" location="'Figure 37 ISP MS Subs'!A1" display="Figure 37: Residential Internet Access Services by Type of ISP: Market Share, CR4 and HHI Scores based on Subscribers, 2000-2023" xr:uid="{AB685EAC-DDDC-4E1E-82EA-9EAD699A9941}"/>
    <hyperlink ref="A39" location="'Fig38 RS ISP Before-After'!A1" display="Figure 38: National retail internet access market: &quot;Before&quot; vs &quot;after&quot; Rogers-Shaw Deal (based on revenue)" xr:uid="{2772C67F-31E6-49B7-99A5-ECD64E4FEB3C}"/>
    <hyperlink ref="A40" location="'Figure 39 Content Media $'!A1" display="Figure 39: Traditional and online media revenue, 1984–2023 (current $ millions)" xr:uid="{B96A8665-80E2-4812-BB83-A2200DB1EE70}"/>
    <hyperlink ref="A41" location="'Figure 40 OnlineVsLegacymedia'!A1" display="Figure 40: Online media services vs legacy content media, 2000-2023 (Current $, Millions)" xr:uid="{2FD7044D-8613-48F9-BC69-0CFD786144B0}"/>
    <hyperlink ref="A42" location="'Figure 41 Rise &amp; Fall of Ad Med'!A1" display="Figure 41: The Rise and Fall of Advertising-funded Traditional Media, 1984-2023 (millions, current$)" xr:uid="{B806EC90-C8F1-44F0-A50E-80397B54BB50}"/>
    <hyperlink ref="A43" location="'Figure 42 Internet ad$vsallad$'!A1" display="Figure 42: Internet Advertising Outstrips Advertising on Television and Other Media by a Widening Margin, 1984-2023" xr:uid="{56A7B4C9-0A06-42E6-8928-40E302C1F875}"/>
    <hyperlink ref="A44" location="'Figure 43 Ad $ vs GDI'!A1" display="Figure 43: Advertising Spending as a Percentage of Canadian Gross Domestic Income, 2004-2023" xr:uid="{30F63272-D438-45DA-9514-DED78C8BEFBE}"/>
    <hyperlink ref="A45" location="'Figure 44 Adv % Media Economy'!A1" display="Figure 44: Advertising Spending as a Percentage of the Entire Network Media Economy, 2004-2023" xr:uid="{4BF8D0A8-D60F-4907-84A9-4CF2396021A0}"/>
    <hyperlink ref="A46" location="'Figure 45 Adv per Capita '!A1" display="Figure 45: The Advertising Economy?: Ad Spending Per Capita, 2004-2023 (millions, current$)" xr:uid="{30EB244F-97C6-4183-BF83-CD2BDEEB92BB}"/>
    <hyperlink ref="A47" location="'Fig 46 Internet Ad$ '!A1" display="Figure 46: Internet Advertising: Revenue, Market Shares and Concentration Scores (based on $), 2014-2023" xr:uid="{C6E842A3-FB0F-4630-AB34-6B6C2184FEFA}"/>
    <hyperlink ref="A48" location="'Figure 47 Search Engine DT MS'!A1" display="Figure 47: Search Engines--Desktop, Market Shares, and Concentration Levels, 2009 - 2023" xr:uid="{DF260731-4AAB-461A-B311-97D6D0BC4809}"/>
    <hyperlink ref="A49" location="'Figure 48 Google Ad Tech Stack'!A1" display="Figure 48: Google’s Vertically-Integrated Ad-Tech Stack" xr:uid="{7FED4711-DB14-42A8-A729-15C2F00D739F}"/>
    <hyperlink ref="A50" location="'Figure 49 Social Media '!A1" display="Figure 49: Social Media Sites, 2011-2023" xr:uid="{6C7D4EB0-6EB8-430F-A127-6EDAA42447ED}"/>
    <hyperlink ref="A51" location="'Figure 50 Facebook Growth'!A1" display="Figure 50: Meta's Canadian subscribers and average revenue per user (ARPU), 2011-2023" xr:uid="{ECD8467A-1E40-4A17-888B-C409D3B182BD}"/>
    <hyperlink ref="A52" location="'Figure 51 Total Ad$ ConMetrics '!A1" display="Figure 51: Advertising Revenue Across All Media, Market Shares and Concentration Scores, 2017-2023" xr:uid="{1119A961-1B57-4A8F-80F7-B1B11CA18E4D}"/>
    <hyperlink ref="A53" location="'Figure 52 CR1, 4 &amp; 10'!A1" display="Figure 52: CR 1 and CR4 scores and vertically integrated communications conglomerates vs big tech and streaming media services, 1984-2023 (market share based on revenue)" xr:uid="{80C1C32C-099E-4AB5-AC41-A1294948AB39}"/>
    <hyperlink ref="A54" location="'Figure 53 Radio Recomposed'!A1" display="Figure 53: Upheaval and the remaking of radio, 1984-2023 (current $, millions)" xr:uid="{AEFD3575-24BB-40EA-AB9B-D37B3D9E00CC}"/>
    <hyperlink ref="A55" location="'Figure 54 Online Video $'!A1" display="Figure 54: Online video market growth in Canada: 2011-2023 (millions, current$)" xr:uid="{61E5F5E0-568A-403C-BCD8-0286904D9515}"/>
    <hyperlink ref="A56" location="'Figure 55 OVS Conc $'!A1" display="Figure 55: Online video market concentration trends 2015, 2019, 2023 (based on revenue)" xr:uid="{EF9FD26B-A13F-48B8-A8B9-97BE8532552C}"/>
    <hyperlink ref="A57" location="'Figure 56 OVS Conc Subs MS'!A1" display="Figure 56: Online video market concentration, 2023 (based on subscribers)" xr:uid="{20CC487C-AEFD-4D6F-BC81-2AC8A06355F9}"/>
    <hyperlink ref="A58" location="'Figure 57 OVD MrktShare $ w YT'!A1" display="Figure 57: Online Video Distributors, 2015, 2019 vs 2023 (Market Share based on revenue) with YT" xr:uid="{A27454F4-29CF-46C2-88B2-CD1DCEF9BA30}"/>
    <hyperlink ref="A59" location="'Figure58 GrowthUpheavaTV Mrkt'!A1" display="Figure 58: Growth &amp; Upheaval in the Canadian Video Market, 1984-2023 (current$, millions)" xr:uid="{42291DAB-2067-4662-9A92-0F6AC96E454D}"/>
    <hyperlink ref="A60" location="'Figure 59 TV ownership, 84-23'!A1" display="Figure 59: Television ownership groups and the evolution of television, 1984-2023 (based on revenue, millions $)" xr:uid="{9F4756AB-90DF-4222-949F-97EFAEB9EF78}"/>
    <hyperlink ref="A61" location="'Figure 60 CR ScoresTV'!A1" display="Figure 60: CR Scores for Television, 1984-2023" xr:uid="{6E4AA340-67C0-4284-A854-6188A9877D50}"/>
    <hyperlink ref="A62" location="'Figure 61 HHI ScoresTV'!A1" display="Figure 61: HHI Scores for Television, 1984-2023" xr:uid="{823CBCFF-1114-49AB-BE46-0EF657B1D989}"/>
    <hyperlink ref="A63" location="'Figure 62 TV+Film Prod'!A1" display="Figure 62: Total Film and TV Production in Canada, 2001-2023 (millions, current$)" xr:uid="{6DDB5CE2-D38A-4644-ACB8-6F8966B40E74}"/>
    <hyperlink ref="A64" location="'Figure 63 PayingforTV'!A1" display="Figure 63: Changes in how we pay for television--advertising, subscriber fees, and public funds, 1984-2023" xr:uid="{2C94F49C-011C-43C2-B0F9-EFACEFFF90B8}"/>
    <hyperlink ref="A65" location="'Figure 64 Newspaper $'!A1" display="Figure 64: Newspaper Revenue, 2004-2023 (current$, millions)" xr:uid="{EC374E39-FE47-4114-BF1A-B2E77F70095F}"/>
    <hyperlink ref="A66" location="'Figure 65 Journos vs PR  '!A1" display="Figure 65: Journalists vs the PR, Advertising and Marketing Professions, 1987-2022" xr:uid="{CE353B75-B8BD-46AD-9697-3BBFD9B80905}"/>
    <hyperlink ref="A67" location="'Figure 66 Internet News'!A1" display="Figure 66: Internet News Sources--Share of Average Monthly Users, 2023" xr:uid="{8758681B-7F0B-4C8F-BBB6-624B55DD762A}"/>
    <hyperlink ref="A68" location="'Figure 67 App Store &amp; Game $'!A1" display="Figure 67: Appstore distribution and video game app revenue, 2011-2023 (current$, millions)" xr:uid="{CC951FBC-2FB1-4823-87D5-2DF3B4B88C00}"/>
    <hyperlink ref="A69" location="'Figure 68 Gaming Industry $'!A1" display="Figure 68: Gaming Industry Revenues in Canada, 1984—2023 (current $, millions)" xr:uid="{9C5398AB-6B26-47D1-81BA-2E75EFFA9754}"/>
    <hyperlink ref="A70" location="'Figure 69 GameCos'!A1" display="Figure 69: Leading Games Platforms and Publishers in Canada, 2023 (current $, millions) " xr:uid="{056E2A09-5006-4863-ADD3-BBCA85AB0E76}"/>
    <hyperlink ref="A71" location="'Figure 70 Games ConcMetric'!A1" display="Figure 70: Gaming Publishers and Platforms, 2023 (Market Share based on $)" xr:uid="{ECCDDC18-ED8E-49A9-82F0-AFBE3F1046C3}"/>
    <hyperlink ref="A72" location="'Figure 71 Total Music $'!A1" display="Figure 71: Total Music Industry Revenues in Canada, 1984—2023 (current $, millions)" xr:uid="{81778584-7BD3-41A4-9E96-61BD6AEDFEF7}"/>
    <hyperlink ref="A73" location="'Figure72 StreamingMusic+Publish'!A1" display="Figure 72: Music Platforms and Publishing, 2023 (Market Share based on $)" xr:uid="{D62198D9-B45A-4F1C-8080-DABC3E5A188F}"/>
    <hyperlink ref="A74" location="'Figure 73 MusicChange'!A1" display="Figure 73: Changing Composition of Music Revenues, 2000, 2012 &amp; 2023 (current $, millions)" xr:uid="{77B1FC4E-DFA6-4F9B-87DB-A278BD8D2303}"/>
    <hyperlink ref="A75" location="'Figure 74  Leading Music Cos'!A1" display="Figure 74: Leading Music Streaming and Publishers in Canada, 2023 (current $, millions) " xr:uid="{857B256B-2DDD-484E-BB83-557E03A7C546}"/>
    <hyperlink ref="A76" location="'Figure 75 Online Media Economy'!A1" display="Figure 75: Growth of the online media economy, 2011-2023 (current $, millions)" xr:uid="{9703CEFC-7343-46A6-B105-F83D409279AE}"/>
    <hyperlink ref="A77" location="'Figure 75 Online Media Economy'!A1" display="Figure 76: Internet content aggregators &amp; distributors growing share of online and legacy media revenue 2013-2023 (current $, millions)    " xr:uid="{E4962364-CEA9-4914-91B1-A72EC2F31865}"/>
    <hyperlink ref="A78" location="'Figure 77 Top internetcos ranke'!A1" display="Figure 77: Leading internet content aggregators &amp; distributors in Canada, 2023 (millions$)" xr:uid="{3A7622F7-C214-4DAD-9F37-B9CE87CF2D56}"/>
    <hyperlink ref="A79" location="'Figure 78 Leading Content Cos'!A1" display="Figure 78: Leading media aggregation, distribution, and content companies in Canada, 2023 (Millions$)" xr:uid="{E9129D8D-9D6E-46C3-9B53-D05E712B9DE9}"/>
    <hyperlink ref="A80" location="'Figure 79 Online digital media'!A1" display="Figure 79: Weighted HHI for online/digital media w/o YT" xr:uid="{C69006A2-FF92-4267-968E-18375C2600A0}"/>
    <hyperlink ref="A81" location="'Figure 80 Dig+Legacy HHI&amp;CR4'!A1" display="Figure 80: Weighted HHI for digital &amp; legacy media" xr:uid="{3AA797D3-C2C2-4CFA-B44C-926D11538BB2}"/>
    <hyperlink ref="A82" location="'Figure 81 CR1, 4 &amp; 10'!A1" display="Figure 81: CR  1, 4 and 10 Scores and Vertically Integrated Company Market Share for the Network Media Economy, 1984-2023" xr:uid="{1090F156-0F52-45BA-9063-EF79006A5F3E}"/>
    <hyperlink ref="A83" location="'Figure 82 NME CR4&amp;HHI'!A1" display="Figure 82: Weighted HHI for Total NME " xr:uid="{884E3EEA-36B2-4B09-8254-4C009D2ABAB1}"/>
    <hyperlink ref="A84" location="'Figure 83  Cloud computing $'!A1" display="Figure 83: Cloud computing in Canada, market share based on revenue, 2023" xr:uid="{F0E5B9EB-6FDD-4B11-93B6-5B2BCFAF0F4C}"/>
    <hyperlink ref="A85" location="'Figure 84 Top Cos with Cloud'!A1" display="Figure 84: Leading telecom, internet, cloud computing and media companies in Canada, 2023 (based on revenue, millions$)" xr:uid="{465D719B-B54D-46D9-B235-B94E4A484C6B}"/>
    <hyperlink ref="A86" location="'Figure 85 Select Intl Compari'!A1" display="Figure 85: Select international comparison of CR4 and HHI figures" xr:uid="{979774A5-3270-4BC8-9F23-77DDB42773C9}"/>
  </hyperlinks>
  <pageMargins left="0.7" right="0.7" top="0.75" bottom="0.75" header="0.3" footer="0.3"/>
  <pageSetup orientation="portrait" horizontalDpi="0" verticalDpi="0"/>
  <headerFooter>
    <oddHeader>&amp;R&amp;"Calibri"&amp;12&amp;K000000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EB67-CF7A-344A-ACD4-9384144DECE4}">
  <dimension ref="A1:A4"/>
  <sheetViews>
    <sheetView zoomScale="84" zoomScaleNormal="85" workbookViewId="0">
      <selection activeCell="A10" sqref="A10"/>
    </sheetView>
  </sheetViews>
  <sheetFormatPr baseColWidth="10" defaultColWidth="11" defaultRowHeight="16"/>
  <cols>
    <col min="1" max="1" width="81.83203125" customWidth="1"/>
    <col min="2" max="2" width="49.83203125" customWidth="1"/>
    <col min="3" max="3" width="37.1640625" customWidth="1"/>
  </cols>
  <sheetData>
    <row r="1" spans="1:1">
      <c r="A1" t="s">
        <v>1</v>
      </c>
    </row>
    <row r="2" spans="1:1" ht="17.5" customHeight="1">
      <c r="A2" s="46" t="s">
        <v>887</v>
      </c>
    </row>
    <row r="3" spans="1:1" ht="19" customHeight="1">
      <c r="A3" s="46" t="s">
        <v>886</v>
      </c>
    </row>
    <row r="4" spans="1:1" ht="19.5" customHeight="1">
      <c r="A4" s="46" t="s">
        <v>888</v>
      </c>
    </row>
  </sheetData>
  <pageMargins left="0.7" right="0.7" top="0.75" bottom="0.75" header="0.3" footer="0.3"/>
  <pageSetup orientation="portrait" r:id="rId1"/>
  <headerFooter>
    <oddHeader>&amp;R&amp;"Calibri"&amp;12&amp;K000000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3D50-65FD-F149-B1C1-3913F1DC3126}">
  <dimension ref="A1:AA21"/>
  <sheetViews>
    <sheetView zoomScale="55" zoomScaleNormal="55" workbookViewId="0"/>
  </sheetViews>
  <sheetFormatPr baseColWidth="10" defaultColWidth="11" defaultRowHeight="16"/>
  <cols>
    <col min="1" max="1" width="59" customWidth="1"/>
    <col min="21" max="21" width="12.1640625" customWidth="1"/>
    <col min="22" max="22" width="13.1640625" bestFit="1" customWidth="1"/>
  </cols>
  <sheetData>
    <row r="1" spans="1:27" ht="18.5" customHeight="1">
      <c r="A1" t="s">
        <v>560</v>
      </c>
    </row>
    <row r="2" spans="1:27">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7">
      <c r="A3" t="s">
        <v>37</v>
      </c>
      <c r="B3">
        <v>13503.3</v>
      </c>
      <c r="C3">
        <v>15815.1</v>
      </c>
      <c r="D3">
        <v>17386.7</v>
      </c>
      <c r="E3">
        <v>23006.7</v>
      </c>
      <c r="F3">
        <v>32624.7</v>
      </c>
      <c r="G3">
        <v>38236</v>
      </c>
      <c r="H3">
        <v>47386.6</v>
      </c>
      <c r="I3">
        <v>49395.255799999999</v>
      </c>
      <c r="J3">
        <v>50778.048000000003</v>
      </c>
      <c r="K3">
        <v>51906.607999999993</v>
      </c>
      <c r="L3">
        <v>53063.084999999992</v>
      </c>
      <c r="M3">
        <v>54857.831999999995</v>
      </c>
      <c r="N3">
        <v>56177.821599999996</v>
      </c>
      <c r="O3">
        <v>57340.57848099999</v>
      </c>
      <c r="P3">
        <v>58441.236229999995</v>
      </c>
      <c r="Q3">
        <v>62184.380553000003</v>
      </c>
      <c r="R3">
        <v>63613.194270000007</v>
      </c>
      <c r="S3">
        <v>61743.100999999995</v>
      </c>
      <c r="T3">
        <v>64318.039420000001</v>
      </c>
      <c r="U3">
        <v>65872.236184000009</v>
      </c>
      <c r="V3">
        <v>68805.725176000007</v>
      </c>
    </row>
    <row r="4" spans="1:27">
      <c r="A4" t="s">
        <v>36</v>
      </c>
      <c r="B4">
        <v>5950.0129999999999</v>
      </c>
      <c r="C4">
        <v>7569.0770000000002</v>
      </c>
      <c r="D4">
        <v>8746.1799999999985</v>
      </c>
      <c r="E4">
        <v>10127.002</v>
      </c>
      <c r="F4">
        <v>12559.13</v>
      </c>
      <c r="G4">
        <v>14149.42</v>
      </c>
      <c r="H4">
        <v>16342.31</v>
      </c>
      <c r="I4">
        <v>16467.810000000001</v>
      </c>
      <c r="J4">
        <v>16618.310000000001</v>
      </c>
      <c r="K4">
        <v>16651.95</v>
      </c>
      <c r="L4">
        <v>16030.47</v>
      </c>
      <c r="M4">
        <v>15682.96</v>
      </c>
      <c r="N4">
        <v>14818.55</v>
      </c>
      <c r="O4">
        <v>14507.52</v>
      </c>
      <c r="P4">
        <v>13945.86</v>
      </c>
      <c r="Q4">
        <v>13735.12</v>
      </c>
      <c r="R4">
        <v>13377.16</v>
      </c>
      <c r="S4">
        <v>11440</v>
      </c>
      <c r="T4">
        <v>11690.02</v>
      </c>
      <c r="U4">
        <v>12490.91</v>
      </c>
      <c r="V4">
        <v>12289.260200000001</v>
      </c>
    </row>
    <row r="5" spans="1:27">
      <c r="A5" t="s">
        <v>35</v>
      </c>
      <c r="B5">
        <v>0</v>
      </c>
      <c r="C5">
        <v>0</v>
      </c>
      <c r="D5">
        <v>0</v>
      </c>
      <c r="E5">
        <v>0</v>
      </c>
      <c r="F5">
        <v>141.40162599999749</v>
      </c>
      <c r="G5">
        <v>364.00038973964547</v>
      </c>
      <c r="H5">
        <v>1936.4422544604581</v>
      </c>
      <c r="I5">
        <v>3622.7955118000018</v>
      </c>
      <c r="J5">
        <v>4248.7348555999997</v>
      </c>
      <c r="K5">
        <v>4914.3827956999812</v>
      </c>
      <c r="L5">
        <v>5570.2720349999954</v>
      </c>
      <c r="M5">
        <v>6399.9480479999902</v>
      </c>
      <c r="N5">
        <v>8015.4349259999835</v>
      </c>
      <c r="O5">
        <v>9365.1046519999745</v>
      </c>
      <c r="P5">
        <v>11121.139087999996</v>
      </c>
      <c r="Q5">
        <v>13730.144963699979</v>
      </c>
      <c r="R5">
        <v>15774.281725399991</v>
      </c>
      <c r="S5">
        <v>17203.864890000012</v>
      </c>
      <c r="T5">
        <v>21706.652194784918</v>
      </c>
      <c r="U5">
        <v>24213.718528666654</v>
      </c>
      <c r="V5">
        <v>27046.521972600225</v>
      </c>
      <c r="W5">
        <f>V5/L5</f>
        <v>4.8555118677610949</v>
      </c>
    </row>
    <row r="6" spans="1:27">
      <c r="A6" t="s">
        <v>34</v>
      </c>
      <c r="B6">
        <f t="shared" ref="B6:V6" si="0">SUM(B3:B5)</f>
        <v>19453.312999999998</v>
      </c>
      <c r="C6">
        <f t="shared" si="0"/>
        <v>23384.177</v>
      </c>
      <c r="D6">
        <f t="shared" si="0"/>
        <v>26132.879999999997</v>
      </c>
      <c r="E6">
        <f t="shared" si="0"/>
        <v>33133.702000000005</v>
      </c>
      <c r="F6">
        <f t="shared" si="0"/>
        <v>45325.231626000001</v>
      </c>
      <c r="G6">
        <f t="shared" si="0"/>
        <v>52749.420389739644</v>
      </c>
      <c r="H6">
        <f t="shared" si="0"/>
        <v>65665.352254460449</v>
      </c>
      <c r="I6">
        <f t="shared" si="0"/>
        <v>69485.861311799992</v>
      </c>
      <c r="J6">
        <f t="shared" si="0"/>
        <v>71645.0928556</v>
      </c>
      <c r="K6">
        <f t="shared" si="0"/>
        <v>73472.940795699978</v>
      </c>
      <c r="L6">
        <f t="shared" si="0"/>
        <v>74663.827034999995</v>
      </c>
      <c r="M6">
        <f t="shared" si="0"/>
        <v>76940.740047999978</v>
      </c>
      <c r="N6">
        <f t="shared" si="0"/>
        <v>79011.806525999986</v>
      </c>
      <c r="O6">
        <f t="shared" si="0"/>
        <v>81213.203132999974</v>
      </c>
      <c r="P6">
        <f t="shared" si="0"/>
        <v>83508.235317999992</v>
      </c>
      <c r="Q6">
        <f t="shared" si="0"/>
        <v>89649.64551669998</v>
      </c>
      <c r="R6">
        <f t="shared" si="0"/>
        <v>92764.635995400007</v>
      </c>
      <c r="S6">
        <f t="shared" si="0"/>
        <v>90386.965890000007</v>
      </c>
      <c r="T6">
        <f t="shared" si="0"/>
        <v>97714.71161478493</v>
      </c>
      <c r="U6">
        <f t="shared" si="0"/>
        <v>102576.86471266666</v>
      </c>
      <c r="V6">
        <f t="shared" si="0"/>
        <v>108141.50734860024</v>
      </c>
    </row>
    <row r="9" spans="1:27">
      <c r="AA9">
        <v>87.19</v>
      </c>
    </row>
    <row r="10" spans="1:27">
      <c r="AA10">
        <v>106.19</v>
      </c>
    </row>
    <row r="11" spans="1:27">
      <c r="AA11">
        <v>106.19</v>
      </c>
    </row>
    <row r="12" spans="1:27">
      <c r="AA12">
        <v>143.52000000000001</v>
      </c>
    </row>
    <row r="13" spans="1:27">
      <c r="AA13">
        <v>157.22</v>
      </c>
    </row>
    <row r="14" spans="1:27">
      <c r="AA14">
        <v>228</v>
      </c>
    </row>
    <row r="15" spans="1:27">
      <c r="AA15">
        <v>293.86</v>
      </c>
    </row>
    <row r="16" spans="1:27">
      <c r="AA16">
        <v>362.45</v>
      </c>
    </row>
    <row r="17" spans="27:27">
      <c r="AA17">
        <v>490.07</v>
      </c>
    </row>
    <row r="18" spans="27:27">
      <c r="AA18">
        <v>660.72</v>
      </c>
    </row>
    <row r="19" spans="27:27">
      <c r="AA19">
        <v>799.91</v>
      </c>
    </row>
    <row r="20" spans="27:27">
      <c r="AA20">
        <v>930.46</v>
      </c>
    </row>
    <row r="21" spans="27:27">
      <c r="AA21">
        <v>1089.3</v>
      </c>
    </row>
  </sheetData>
  <pageMargins left="0.7" right="0.7" top="0.75" bottom="0.75" header="0.3" footer="0.3"/>
  <pageSetup orientation="portrait" r:id="rId1"/>
  <headerFooter>
    <oddHeader>&amp;R&amp;"Calibri"&amp;12&amp;K000000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DF16-0E50-9F4C-90F4-E26DC8423C36}">
  <dimension ref="A1:C16"/>
  <sheetViews>
    <sheetView zoomScale="70" zoomScaleNormal="70" workbookViewId="0"/>
  </sheetViews>
  <sheetFormatPr baseColWidth="10" defaultColWidth="11" defaultRowHeight="16"/>
  <cols>
    <col min="1" max="1" width="40.6640625" customWidth="1"/>
    <col min="2" max="2" width="40.33203125" customWidth="1"/>
    <col min="3" max="3" width="43.1640625" customWidth="1"/>
    <col min="4" max="4" width="13.5" customWidth="1"/>
  </cols>
  <sheetData>
    <row r="1" spans="1:3" ht="16.25" customHeight="1">
      <c r="A1" t="s">
        <v>205</v>
      </c>
    </row>
    <row r="2" spans="1:3">
      <c r="A2" t="s">
        <v>33</v>
      </c>
      <c r="B2" t="s">
        <v>32</v>
      </c>
      <c r="C2" t="s">
        <v>31</v>
      </c>
    </row>
    <row r="3" spans="1:3">
      <c r="A3" t="s">
        <v>30</v>
      </c>
      <c r="B3" t="s">
        <v>29</v>
      </c>
      <c r="C3" t="s">
        <v>28</v>
      </c>
    </row>
    <row r="4" spans="1:3">
      <c r="A4" t="s">
        <v>27</v>
      </c>
      <c r="B4" t="s">
        <v>26</v>
      </c>
      <c r="C4" t="s">
        <v>25</v>
      </c>
    </row>
    <row r="5" spans="1:3">
      <c r="A5" t="s">
        <v>24</v>
      </c>
      <c r="B5" t="s">
        <v>23</v>
      </c>
      <c r="C5" t="s">
        <v>22</v>
      </c>
    </row>
    <row r="6" spans="1:3" ht="19" customHeight="1">
      <c r="A6" t="s">
        <v>21</v>
      </c>
      <c r="B6" t="s">
        <v>20</v>
      </c>
      <c r="C6" t="s">
        <v>19</v>
      </c>
    </row>
    <row r="7" spans="1:3" ht="21" customHeight="1">
      <c r="A7" t="s">
        <v>18</v>
      </c>
      <c r="B7" t="s">
        <v>17</v>
      </c>
      <c r="C7" t="s">
        <v>16</v>
      </c>
    </row>
    <row r="8" spans="1:3">
      <c r="A8" t="s">
        <v>15</v>
      </c>
      <c r="B8" t="s">
        <v>14</v>
      </c>
      <c r="C8" t="s">
        <v>13</v>
      </c>
    </row>
    <row r="9" spans="1:3" ht="19" customHeight="1">
      <c r="A9" t="s">
        <v>12</v>
      </c>
      <c r="B9" t="s">
        <v>11</v>
      </c>
      <c r="C9" t="s">
        <v>10</v>
      </c>
    </row>
    <row r="10" spans="1:3">
      <c r="A10" t="s">
        <v>9</v>
      </c>
    </row>
    <row r="11" spans="1:3" ht="35" customHeight="1">
      <c r="A11" t="s">
        <v>8</v>
      </c>
    </row>
    <row r="12" spans="1:3">
      <c r="A12" t="s">
        <v>7</v>
      </c>
    </row>
    <row r="13" spans="1:3">
      <c r="A13" t="s">
        <v>6</v>
      </c>
    </row>
    <row r="14" spans="1:3" ht="20" customHeight="1">
      <c r="A14" t="s">
        <v>5</v>
      </c>
    </row>
    <row r="15" spans="1:3">
      <c r="A15" t="s">
        <v>4</v>
      </c>
    </row>
    <row r="16" spans="1:3">
      <c r="A16" t="s">
        <v>3</v>
      </c>
    </row>
  </sheetData>
  <pageMargins left="0.7" right="0.7" top="0.75" bottom="0.75" header="0.3" footer="0.3"/>
  <pageSetup orientation="portrait" r:id="rId1"/>
  <headerFooter>
    <oddHeader>&amp;R&amp;"Calibri"&amp;12&amp;K000000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62E0-85A4-E54D-9B6A-67043733557C}">
  <dimension ref="A1:V37"/>
  <sheetViews>
    <sheetView zoomScale="40" zoomScaleNormal="40" workbookViewId="0"/>
  </sheetViews>
  <sheetFormatPr baseColWidth="10" defaultColWidth="10.83203125" defaultRowHeight="16"/>
  <cols>
    <col min="1" max="1" width="33" customWidth="1"/>
    <col min="2" max="2" width="14.5" customWidth="1"/>
    <col min="3" max="3" width="10.6640625" customWidth="1"/>
    <col min="4" max="4" width="11.6640625" customWidth="1"/>
    <col min="5" max="5" width="12.33203125" customWidth="1"/>
    <col min="6" max="6" width="12.1640625" customWidth="1"/>
    <col min="7" max="7" width="12.83203125" customWidth="1"/>
    <col min="8" max="8" width="12" customWidth="1"/>
    <col min="9" max="13" width="12.5" customWidth="1"/>
    <col min="14" max="15" width="14.33203125" customWidth="1"/>
    <col min="16" max="18" width="14" customWidth="1"/>
    <col min="19" max="19" width="12" customWidth="1"/>
    <col min="20" max="21" width="14.5" customWidth="1"/>
    <col min="22" max="22" width="14.1640625" customWidth="1"/>
    <col min="24" max="24" width="15.6640625" customWidth="1"/>
    <col min="26" max="26" width="10.33203125" customWidth="1"/>
    <col min="27" max="27" width="18.6640625" customWidth="1"/>
    <col min="28" max="28" width="10.6640625" customWidth="1"/>
    <col min="29" max="29" width="11.6640625" bestFit="1" customWidth="1"/>
    <col min="30" max="30" width="12.33203125" bestFit="1" customWidth="1"/>
    <col min="31" max="31" width="12.1640625" bestFit="1" customWidth="1"/>
    <col min="32" max="32" width="12.83203125" bestFit="1" customWidth="1"/>
    <col min="33" max="33" width="12" customWidth="1"/>
    <col min="34" max="38" width="12.5" customWidth="1"/>
    <col min="39" max="40" width="14.33203125" customWidth="1"/>
    <col min="41" max="42" width="14" customWidth="1"/>
    <col min="43" max="43" width="27.5" customWidth="1"/>
    <col min="44" max="46" width="14.5" customWidth="1"/>
    <col min="47" max="47" width="12.1640625" bestFit="1" customWidth="1"/>
    <col min="49" max="49" width="15.6640625" customWidth="1"/>
  </cols>
  <sheetData>
    <row r="1" spans="1:22" ht="18" customHeight="1">
      <c r="A1" t="s">
        <v>2</v>
      </c>
    </row>
    <row r="2" spans="1:22" ht="16.25" customHeight="1"/>
    <row r="3" spans="1:22" ht="16.25" customHeight="1">
      <c r="B3">
        <v>1982</v>
      </c>
      <c r="C3">
        <v>1986</v>
      </c>
      <c r="D3">
        <v>1992</v>
      </c>
      <c r="E3">
        <v>1996</v>
      </c>
      <c r="F3">
        <v>2000</v>
      </c>
      <c r="G3">
        <v>2005</v>
      </c>
      <c r="H3">
        <v>2009</v>
      </c>
      <c r="I3">
        <v>2010</v>
      </c>
      <c r="J3">
        <v>2011</v>
      </c>
      <c r="K3">
        <v>2012</v>
      </c>
      <c r="L3">
        <v>2013</v>
      </c>
      <c r="M3">
        <v>2014</v>
      </c>
      <c r="N3">
        <v>2015</v>
      </c>
      <c r="O3">
        <v>2016</v>
      </c>
      <c r="P3">
        <v>2017</v>
      </c>
      <c r="Q3">
        <v>2018</v>
      </c>
      <c r="R3">
        <v>2019</v>
      </c>
      <c r="S3">
        <v>2020</v>
      </c>
      <c r="T3">
        <v>2021</v>
      </c>
      <c r="U3">
        <v>2022</v>
      </c>
      <c r="V3">
        <v>2023</v>
      </c>
    </row>
    <row r="4" spans="1:22">
      <c r="A4" t="s">
        <v>58</v>
      </c>
      <c r="B4">
        <v>8843970</v>
      </c>
      <c r="C4">
        <v>9423980</v>
      </c>
      <c r="D4">
        <v>9792910</v>
      </c>
      <c r="E4">
        <v>10662550</v>
      </c>
      <c r="F4">
        <v>11621750</v>
      </c>
      <c r="G4">
        <v>12586770</v>
      </c>
      <c r="H4">
        <v>13417000</v>
      </c>
      <c r="I4">
        <v>13319250</v>
      </c>
      <c r="J4">
        <v>13320615</v>
      </c>
      <c r="K4">
        <v>13670179</v>
      </c>
      <c r="L4">
        <v>13819964</v>
      </c>
      <c r="M4">
        <v>13871129</v>
      </c>
      <c r="N4">
        <v>13971604</v>
      </c>
      <c r="O4">
        <v>14072079</v>
      </c>
      <c r="P4">
        <v>14248950.960951</v>
      </c>
      <c r="Q4">
        <v>14428046.025579194</v>
      </c>
      <c r="R4">
        <v>14609392.136074699</v>
      </c>
      <c r="S4">
        <v>14793017.585833021</v>
      </c>
      <c r="T4">
        <v>14978941</v>
      </c>
      <c r="U4">
        <v>15167211.309428999</v>
      </c>
      <c r="V4">
        <v>15357847.988377212</v>
      </c>
    </row>
    <row r="5" spans="1:22">
      <c r="A5" t="s">
        <v>57</v>
      </c>
      <c r="I5">
        <v>13075</v>
      </c>
      <c r="J5">
        <v>11746</v>
      </c>
      <c r="K5">
        <v>11381</v>
      </c>
      <c r="L5">
        <v>11686</v>
      </c>
      <c r="M5">
        <v>11413</v>
      </c>
      <c r="N5">
        <v>10723</v>
      </c>
      <c r="O5">
        <v>11446</v>
      </c>
      <c r="P5">
        <v>11894</v>
      </c>
      <c r="Q5">
        <f>(P5+R5)/2</f>
        <v>11392</v>
      </c>
      <c r="R5">
        <v>10890</v>
      </c>
      <c r="S5">
        <f>AVERAGE(O5:R5)</f>
        <v>11405.5</v>
      </c>
    </row>
    <row r="6" spans="1:22">
      <c r="A6" t="s">
        <v>56</v>
      </c>
      <c r="B6">
        <v>30000</v>
      </c>
      <c r="C6">
        <v>32400</v>
      </c>
      <c r="D6">
        <v>46000</v>
      </c>
      <c r="E6">
        <v>48000</v>
      </c>
      <c r="F6">
        <v>57100</v>
      </c>
      <c r="G6">
        <v>66300</v>
      </c>
      <c r="H6">
        <v>75100</v>
      </c>
      <c r="I6">
        <v>76700</v>
      </c>
      <c r="J6">
        <v>79300</v>
      </c>
      <c r="K6">
        <v>82400</v>
      </c>
      <c r="L6">
        <v>84500</v>
      </c>
      <c r="M6">
        <v>87200</v>
      </c>
      <c r="N6">
        <v>88700</v>
      </c>
      <c r="O6">
        <v>89100</v>
      </c>
      <c r="P6">
        <v>93000</v>
      </c>
      <c r="Q6">
        <v>95600</v>
      </c>
      <c r="R6">
        <v>97600</v>
      </c>
      <c r="S6">
        <v>103400</v>
      </c>
      <c r="T6">
        <v>102589.28571428571</v>
      </c>
      <c r="U6">
        <v>106430</v>
      </c>
      <c r="V6">
        <v>107978.13078000001</v>
      </c>
    </row>
    <row r="8" spans="1:22">
      <c r="A8" t="s">
        <v>42</v>
      </c>
      <c r="B8">
        <v>422.1</v>
      </c>
      <c r="C8">
        <v>543.9</v>
      </c>
      <c r="D8">
        <v>745.6</v>
      </c>
      <c r="E8">
        <v>867</v>
      </c>
      <c r="F8">
        <v>1088</v>
      </c>
      <c r="G8">
        <v>1435.8</v>
      </c>
      <c r="H8">
        <v>1680.7</v>
      </c>
      <c r="I8">
        <v>1758.4</v>
      </c>
      <c r="J8">
        <v>1857.6</v>
      </c>
      <c r="K8">
        <v>1869.7</v>
      </c>
      <c r="L8">
        <v>1942</v>
      </c>
      <c r="M8">
        <v>2033.5</v>
      </c>
      <c r="N8">
        <v>2112.9</v>
      </c>
      <c r="O8">
        <v>2183.4</v>
      </c>
      <c r="P8">
        <v>2316</v>
      </c>
      <c r="Q8">
        <v>2427.6</v>
      </c>
      <c r="R8">
        <v>2505.8000000000002</v>
      </c>
      <c r="S8">
        <v>2499.6</v>
      </c>
      <c r="T8">
        <v>2538.6999999999998</v>
      </c>
      <c r="U8">
        <v>2618.8465289999999</v>
      </c>
      <c r="V8">
        <v>2682.2448979999999</v>
      </c>
    </row>
    <row r="9" spans="1:22" ht="17" customHeight="1">
      <c r="A9" t="s">
        <v>41</v>
      </c>
      <c r="B9">
        <v>263.92672069217781</v>
      </c>
      <c r="C9">
        <v>429</v>
      </c>
      <c r="D9">
        <v>545</v>
      </c>
      <c r="E9">
        <v>731.74428724836002</v>
      </c>
      <c r="F9">
        <f>784+37</f>
        <v>821</v>
      </c>
      <c r="G9">
        <v>907</v>
      </c>
      <c r="H9">
        <v>917</v>
      </c>
      <c r="I9">
        <v>971</v>
      </c>
      <c r="J9">
        <v>907</v>
      </c>
      <c r="K9">
        <v>878</v>
      </c>
      <c r="L9">
        <v>752</v>
      </c>
      <c r="M9">
        <v>804</v>
      </c>
      <c r="N9">
        <v>763</v>
      </c>
      <c r="O9">
        <v>684</v>
      </c>
      <c r="P9">
        <v>755</v>
      </c>
      <c r="Q9">
        <f>(P9+R9)/2</f>
        <v>782.5</v>
      </c>
      <c r="R9">
        <v>810</v>
      </c>
      <c r="S9">
        <f>(R9+T9)/2</f>
        <v>800.5</v>
      </c>
      <c r="T9">
        <v>791</v>
      </c>
      <c r="U9">
        <f>AVERAGE(S9:T9)</f>
        <v>795.75</v>
      </c>
      <c r="V9">
        <f>(V6*0.74)/100</f>
        <v>799.03816777200007</v>
      </c>
    </row>
    <row r="10" spans="1:22">
      <c r="A10" t="s">
        <v>40</v>
      </c>
      <c r="B10">
        <v>291.04576338454336</v>
      </c>
      <c r="C10">
        <v>383.59589048363853</v>
      </c>
      <c r="D10">
        <v>576.53955770041796</v>
      </c>
      <c r="E10">
        <v>625.46013852221097</v>
      </c>
      <c r="F10">
        <v>755.6521177963732</v>
      </c>
      <c r="G10">
        <v>906.90463081473649</v>
      </c>
      <c r="H10">
        <v>1012.5959603488112</v>
      </c>
      <c r="I10">
        <v>1083.4694145691387</v>
      </c>
      <c r="J10">
        <v>1141.6139570132459</v>
      </c>
      <c r="K10">
        <v>1132.8308137003912</v>
      </c>
      <c r="L10">
        <v>1126.6310100373632</v>
      </c>
      <c r="M10">
        <v>1157.6563090142122</v>
      </c>
      <c r="N10">
        <v>1143.3189775490346</v>
      </c>
      <c r="O10">
        <v>1137.5717831032641</v>
      </c>
      <c r="P10">
        <v>1140.315006623098</v>
      </c>
      <c r="Q10">
        <v>1164.0465834672361</v>
      </c>
      <c r="R10">
        <v>1186.9284952212845</v>
      </c>
      <c r="S10">
        <v>1078.1534799348267</v>
      </c>
      <c r="T10">
        <v>1044.1364891147034</v>
      </c>
      <c r="U10">
        <v>1052.6697841332611</v>
      </c>
      <c r="V10">
        <v>1038.1613864567662</v>
      </c>
    </row>
    <row r="11" spans="1:22">
      <c r="A11" t="s">
        <v>38</v>
      </c>
      <c r="B11">
        <f t="shared" ref="B11:V11" si="0">SUM(B8:B10)</f>
        <v>977.07248407672114</v>
      </c>
      <c r="C11">
        <f t="shared" si="0"/>
        <v>1356.4958904836385</v>
      </c>
      <c r="D11">
        <f t="shared" si="0"/>
        <v>1867.1395577004178</v>
      </c>
      <c r="E11">
        <f t="shared" si="0"/>
        <v>2224.2044257705711</v>
      </c>
      <c r="F11">
        <f t="shared" si="0"/>
        <v>2664.6521177963732</v>
      </c>
      <c r="G11">
        <f t="shared" si="0"/>
        <v>3249.7046308147364</v>
      </c>
      <c r="H11">
        <f t="shared" si="0"/>
        <v>3610.2959603488111</v>
      </c>
      <c r="I11">
        <f t="shared" si="0"/>
        <v>3812.8694145691388</v>
      </c>
      <c r="J11">
        <f t="shared" si="0"/>
        <v>3906.2139570132458</v>
      </c>
      <c r="K11">
        <f t="shared" si="0"/>
        <v>3880.5308137003913</v>
      </c>
      <c r="L11">
        <f t="shared" si="0"/>
        <v>3820.631010037363</v>
      </c>
      <c r="M11">
        <f t="shared" si="0"/>
        <v>3995.1563090142122</v>
      </c>
      <c r="N11">
        <f t="shared" si="0"/>
        <v>4019.2189775490347</v>
      </c>
      <c r="O11">
        <f t="shared" si="0"/>
        <v>4004.971783103264</v>
      </c>
      <c r="P11">
        <f t="shared" si="0"/>
        <v>4211.3150066230983</v>
      </c>
      <c r="Q11">
        <f t="shared" si="0"/>
        <v>4374.1465834672363</v>
      </c>
      <c r="R11">
        <f t="shared" si="0"/>
        <v>4502.7284952212849</v>
      </c>
      <c r="S11">
        <f t="shared" si="0"/>
        <v>4378.2534799348268</v>
      </c>
      <c r="T11">
        <f t="shared" si="0"/>
        <v>4373.836489114703</v>
      </c>
      <c r="U11">
        <f t="shared" si="0"/>
        <v>4467.2663131332611</v>
      </c>
      <c r="V11">
        <f t="shared" si="0"/>
        <v>4519.4444522287667</v>
      </c>
    </row>
    <row r="13" spans="1:22">
      <c r="B13">
        <v>1982</v>
      </c>
      <c r="C13">
        <v>1986</v>
      </c>
      <c r="D13">
        <v>1992</v>
      </c>
      <c r="E13">
        <v>1996</v>
      </c>
      <c r="F13">
        <v>2000</v>
      </c>
      <c r="G13">
        <v>2005</v>
      </c>
      <c r="H13">
        <v>2009</v>
      </c>
      <c r="I13">
        <v>2010</v>
      </c>
      <c r="J13">
        <v>2011</v>
      </c>
      <c r="K13">
        <v>2012</v>
      </c>
      <c r="L13">
        <v>2013</v>
      </c>
      <c r="M13">
        <v>2014</v>
      </c>
      <c r="N13">
        <v>2015</v>
      </c>
      <c r="O13">
        <v>2016</v>
      </c>
      <c r="P13">
        <v>2017</v>
      </c>
      <c r="Q13">
        <v>2018</v>
      </c>
      <c r="R13">
        <v>2019</v>
      </c>
      <c r="S13">
        <v>2020</v>
      </c>
      <c r="T13">
        <v>2021</v>
      </c>
      <c r="U13">
        <v>2022</v>
      </c>
      <c r="V13">
        <v>2023</v>
      </c>
    </row>
    <row r="14" spans="1:22">
      <c r="A14" t="s">
        <v>55</v>
      </c>
      <c r="B14">
        <f t="shared" ref="B14:V14" si="1">B8/B6*100</f>
        <v>1.407</v>
      </c>
      <c r="C14">
        <f t="shared" si="1"/>
        <v>1.6787037037037038</v>
      </c>
      <c r="D14">
        <f t="shared" si="1"/>
        <v>1.6208695652173915</v>
      </c>
      <c r="E14">
        <f t="shared" si="1"/>
        <v>1.8062499999999999</v>
      </c>
      <c r="F14">
        <f t="shared" si="1"/>
        <v>1.9054290718038529</v>
      </c>
      <c r="G14">
        <f t="shared" si="1"/>
        <v>2.1656108597285066</v>
      </c>
      <c r="H14">
        <f t="shared" si="1"/>
        <v>2.2379494007989349</v>
      </c>
      <c r="I14">
        <f t="shared" si="1"/>
        <v>2.2925684485006519</v>
      </c>
      <c r="J14">
        <f t="shared" si="1"/>
        <v>2.3424968474148802</v>
      </c>
      <c r="K14">
        <f t="shared" si="1"/>
        <v>2.2690533980582526</v>
      </c>
      <c r="L14">
        <f t="shared" si="1"/>
        <v>2.298224852071006</v>
      </c>
      <c r="M14">
        <f t="shared" si="1"/>
        <v>2.3319954128440368</v>
      </c>
      <c r="N14">
        <f t="shared" si="1"/>
        <v>2.3820744081172496</v>
      </c>
      <c r="O14">
        <f t="shared" si="1"/>
        <v>2.4505050505050505</v>
      </c>
      <c r="P14">
        <f t="shared" si="1"/>
        <v>2.4903225806451612</v>
      </c>
      <c r="Q14">
        <f t="shared" si="1"/>
        <v>2.5393305439330542</v>
      </c>
      <c r="R14">
        <f t="shared" si="1"/>
        <v>2.5674180327868856</v>
      </c>
      <c r="S14">
        <f t="shared" si="1"/>
        <v>2.4174081237911023</v>
      </c>
      <c r="T14">
        <f t="shared" si="1"/>
        <v>2.4746248912097477</v>
      </c>
      <c r="U14">
        <f t="shared" si="1"/>
        <v>2.4606281396222869</v>
      </c>
      <c r="V14">
        <f t="shared" si="1"/>
        <v>2.484063095577139</v>
      </c>
    </row>
    <row r="15" spans="1:22">
      <c r="A15" t="s">
        <v>54</v>
      </c>
      <c r="B15">
        <f t="shared" ref="B15:V15" si="2">B9/B6*100</f>
        <v>0.87975573564059262</v>
      </c>
      <c r="C15">
        <f t="shared" si="2"/>
        <v>1.324074074074074</v>
      </c>
      <c r="D15">
        <f t="shared" si="2"/>
        <v>1.1847826086956523</v>
      </c>
      <c r="E15">
        <f t="shared" si="2"/>
        <v>1.52446726510075</v>
      </c>
      <c r="F15">
        <f t="shared" si="2"/>
        <v>1.437828371278459</v>
      </c>
      <c r="G15">
        <f t="shared" si="2"/>
        <v>1.3680241327300151</v>
      </c>
      <c r="H15">
        <f t="shared" si="2"/>
        <v>1.2210386151797603</v>
      </c>
      <c r="I15">
        <f t="shared" si="2"/>
        <v>1.2659713168187745</v>
      </c>
      <c r="J15">
        <f t="shared" si="2"/>
        <v>1.1437578814627996</v>
      </c>
      <c r="K15">
        <f t="shared" si="2"/>
        <v>1.0655339805825244</v>
      </c>
      <c r="L15">
        <f t="shared" si="2"/>
        <v>0.88994082840236688</v>
      </c>
      <c r="M15">
        <f t="shared" si="2"/>
        <v>0.92201834862385323</v>
      </c>
      <c r="N15">
        <f t="shared" si="2"/>
        <v>0.86020293122886138</v>
      </c>
      <c r="O15">
        <f t="shared" si="2"/>
        <v>0.76767676767676762</v>
      </c>
      <c r="P15">
        <f t="shared" si="2"/>
        <v>0.81182795698924726</v>
      </c>
      <c r="Q15">
        <f t="shared" si="2"/>
        <v>0.81851464435146437</v>
      </c>
      <c r="R15">
        <f t="shared" si="2"/>
        <v>0.82991803278688514</v>
      </c>
      <c r="S15">
        <f t="shared" si="2"/>
        <v>0.77417794970986464</v>
      </c>
      <c r="T15">
        <f t="shared" si="2"/>
        <v>0.77103568320278515</v>
      </c>
      <c r="U15">
        <f t="shared" si="2"/>
        <v>0.74767452785868649</v>
      </c>
      <c r="V15">
        <f t="shared" si="2"/>
        <v>0.74</v>
      </c>
    </row>
    <row r="16" spans="1:22">
      <c r="A16" t="s">
        <v>53</v>
      </c>
      <c r="B16">
        <f t="shared" ref="B16:V16" si="3">B10/B6*100</f>
        <v>0.97015254461514444</v>
      </c>
      <c r="C16">
        <f t="shared" si="3"/>
        <v>1.1839379335914768</v>
      </c>
      <c r="D16">
        <f t="shared" si="3"/>
        <v>1.2533468645661259</v>
      </c>
      <c r="E16">
        <f t="shared" si="3"/>
        <v>1.3030419552546062</v>
      </c>
      <c r="F16">
        <f t="shared" si="3"/>
        <v>1.3233837439516167</v>
      </c>
      <c r="G16">
        <f t="shared" si="3"/>
        <v>1.3678802878050325</v>
      </c>
      <c r="H16">
        <f t="shared" si="3"/>
        <v>1.3483301735669921</v>
      </c>
      <c r="I16">
        <f t="shared" si="3"/>
        <v>1.4126067986559827</v>
      </c>
      <c r="J16">
        <f t="shared" si="3"/>
        <v>1.4396140693735762</v>
      </c>
      <c r="K16">
        <f t="shared" si="3"/>
        <v>1.374794676820863</v>
      </c>
      <c r="L16">
        <f t="shared" si="3"/>
        <v>1.3332911361388915</v>
      </c>
      <c r="M16">
        <f t="shared" si="3"/>
        <v>1.3275875103373993</v>
      </c>
      <c r="N16">
        <f t="shared" si="3"/>
        <v>1.2889729171916962</v>
      </c>
      <c r="O16">
        <f t="shared" si="3"/>
        <v>1.2767360079722381</v>
      </c>
      <c r="P16">
        <f t="shared" si="3"/>
        <v>1.2261451684119333</v>
      </c>
      <c r="Q16">
        <f t="shared" si="3"/>
        <v>1.2176219492335105</v>
      </c>
      <c r="R16">
        <f t="shared" si="3"/>
        <v>1.2161152614972177</v>
      </c>
      <c r="S16">
        <f t="shared" si="3"/>
        <v>1.0427016246951903</v>
      </c>
      <c r="T16">
        <f t="shared" si="3"/>
        <v>1.0177831747680313</v>
      </c>
      <c r="U16">
        <f t="shared" si="3"/>
        <v>0.98907242707249943</v>
      </c>
      <c r="V16">
        <f t="shared" si="3"/>
        <v>0.961455230755909</v>
      </c>
    </row>
    <row r="17" spans="1:22">
      <c r="A17" t="s">
        <v>38</v>
      </c>
      <c r="B17">
        <f t="shared" ref="B17:V17" si="4">SUM(B14:B16)</f>
        <v>3.256908280255737</v>
      </c>
      <c r="C17">
        <f t="shared" si="4"/>
        <v>4.1867157113692546</v>
      </c>
      <c r="D17">
        <f t="shared" si="4"/>
        <v>4.0589990384791701</v>
      </c>
      <c r="E17">
        <f t="shared" si="4"/>
        <v>4.6337592203553566</v>
      </c>
      <c r="F17">
        <f t="shared" si="4"/>
        <v>4.6666411870339282</v>
      </c>
      <c r="G17">
        <f t="shared" si="4"/>
        <v>4.9015152802635544</v>
      </c>
      <c r="H17">
        <f t="shared" si="4"/>
        <v>4.807318189545688</v>
      </c>
      <c r="I17">
        <f t="shared" si="4"/>
        <v>4.9711465639754087</v>
      </c>
      <c r="J17">
        <f t="shared" si="4"/>
        <v>4.9258687982512557</v>
      </c>
      <c r="K17">
        <f t="shared" si="4"/>
        <v>4.7093820554616403</v>
      </c>
      <c r="L17">
        <f t="shared" si="4"/>
        <v>4.5214568166122646</v>
      </c>
      <c r="M17">
        <f t="shared" si="4"/>
        <v>4.5816012718052894</v>
      </c>
      <c r="N17">
        <f t="shared" si="4"/>
        <v>4.531250256537807</v>
      </c>
      <c r="O17">
        <f t="shared" si="4"/>
        <v>4.4949178261540563</v>
      </c>
      <c r="P17">
        <f t="shared" si="4"/>
        <v>4.5282957060463414</v>
      </c>
      <c r="Q17">
        <f t="shared" si="4"/>
        <v>4.5754671375180296</v>
      </c>
      <c r="R17">
        <f t="shared" si="4"/>
        <v>4.6134513270709885</v>
      </c>
      <c r="S17">
        <f t="shared" si="4"/>
        <v>4.234287698196157</v>
      </c>
      <c r="T17">
        <f t="shared" si="4"/>
        <v>4.2634437491805635</v>
      </c>
      <c r="U17">
        <f t="shared" si="4"/>
        <v>4.1973750945534727</v>
      </c>
      <c r="V17">
        <f t="shared" si="4"/>
        <v>4.1855183263330478</v>
      </c>
    </row>
    <row r="19" spans="1:22">
      <c r="B19">
        <v>1982</v>
      </c>
      <c r="C19">
        <v>1986</v>
      </c>
      <c r="D19">
        <v>1992</v>
      </c>
      <c r="E19">
        <v>1996</v>
      </c>
      <c r="F19">
        <v>2000</v>
      </c>
      <c r="G19">
        <v>2005</v>
      </c>
      <c r="H19">
        <v>2009</v>
      </c>
      <c r="I19">
        <v>2010</v>
      </c>
      <c r="J19">
        <v>2011</v>
      </c>
      <c r="K19">
        <v>2012</v>
      </c>
      <c r="L19">
        <v>2013</v>
      </c>
      <c r="M19">
        <v>2014</v>
      </c>
      <c r="N19">
        <v>2015</v>
      </c>
      <c r="O19">
        <v>2016</v>
      </c>
      <c r="P19">
        <v>2017</v>
      </c>
      <c r="Q19">
        <v>2018</v>
      </c>
      <c r="R19">
        <v>2019</v>
      </c>
      <c r="S19">
        <v>2020</v>
      </c>
      <c r="T19">
        <v>2021</v>
      </c>
      <c r="U19">
        <v>2022</v>
      </c>
      <c r="V19">
        <v>2023</v>
      </c>
    </row>
    <row r="20" spans="1:22">
      <c r="A20" t="s">
        <v>52</v>
      </c>
      <c r="B20">
        <v>375.84930749425877</v>
      </c>
      <c r="C20">
        <v>484.72089287116484</v>
      </c>
      <c r="D20">
        <v>651.28751310897383</v>
      </c>
      <c r="E20">
        <v>766.0456457414034</v>
      </c>
      <c r="F20">
        <v>974.55202529739495</v>
      </c>
      <c r="G20">
        <v>1302.7170592614309</v>
      </c>
      <c r="H20">
        <v>1536.9307594842364</v>
      </c>
      <c r="I20">
        <v>1606.1715186665915</v>
      </c>
      <c r="J20">
        <v>1694.8917148344876</v>
      </c>
      <c r="K20">
        <v>1703.7816403135614</v>
      </c>
      <c r="L20">
        <v>1775.619675999156</v>
      </c>
      <c r="M20">
        <v>1841.0181319775772</v>
      </c>
      <c r="N20">
        <v>1908.3707210711098</v>
      </c>
      <c r="O20">
        <v>1977.6750826938933</v>
      </c>
      <c r="P20">
        <v>2103.5361717275737</v>
      </c>
      <c r="Q20">
        <v>2209.3557920186054</v>
      </c>
      <c r="R20">
        <v>2276.1041877300681</v>
      </c>
      <c r="S20">
        <v>2265.9854136496024</v>
      </c>
      <c r="T20">
        <v>2303.9112995802825</v>
      </c>
      <c r="U20">
        <v>2371.5110235252441</v>
      </c>
      <c r="V20">
        <v>2420.006630673432</v>
      </c>
    </row>
    <row r="21" spans="1:22" ht="17" customHeight="1">
      <c r="A21" t="s">
        <v>51</v>
      </c>
      <c r="E21">
        <v>65</v>
      </c>
      <c r="F21">
        <v>171</v>
      </c>
      <c r="G21">
        <v>400</v>
      </c>
      <c r="H21">
        <v>619</v>
      </c>
      <c r="I21">
        <v>731</v>
      </c>
      <c r="J21">
        <v>807</v>
      </c>
      <c r="K21">
        <v>833</v>
      </c>
      <c r="L21">
        <v>947</v>
      </c>
      <c r="M21">
        <v>992</v>
      </c>
      <c r="N21">
        <v>1047</v>
      </c>
      <c r="O21">
        <v>1105</v>
      </c>
      <c r="P21">
        <v>1216</v>
      </c>
      <c r="Q21">
        <v>1279.5</v>
      </c>
      <c r="R21">
        <v>1343</v>
      </c>
      <c r="S21">
        <v>1325.5</v>
      </c>
      <c r="T21">
        <v>1308</v>
      </c>
      <c r="U21">
        <v>1375.443665</v>
      </c>
      <c r="V21">
        <v>1407.99</v>
      </c>
    </row>
    <row r="22" spans="1:22">
      <c r="A22" t="s">
        <v>50</v>
      </c>
      <c r="E22">
        <f t="shared" ref="E22:V22" si="5">E21/12</f>
        <v>5.416666666666667</v>
      </c>
      <c r="F22">
        <f t="shared" si="5"/>
        <v>14.25</v>
      </c>
      <c r="G22">
        <f t="shared" si="5"/>
        <v>33.333333333333336</v>
      </c>
      <c r="H22">
        <f t="shared" si="5"/>
        <v>51.583333333333336</v>
      </c>
      <c r="I22">
        <f t="shared" si="5"/>
        <v>60.916666666666664</v>
      </c>
      <c r="J22">
        <f t="shared" si="5"/>
        <v>67.25</v>
      </c>
      <c r="K22">
        <f t="shared" si="5"/>
        <v>69.416666666666671</v>
      </c>
      <c r="L22">
        <f t="shared" si="5"/>
        <v>78.916666666666671</v>
      </c>
      <c r="M22">
        <f t="shared" si="5"/>
        <v>82.666666666666671</v>
      </c>
      <c r="N22">
        <f t="shared" si="5"/>
        <v>87.25</v>
      </c>
      <c r="O22">
        <f t="shared" si="5"/>
        <v>92.083333333333329</v>
      </c>
      <c r="P22">
        <f t="shared" si="5"/>
        <v>101.33333333333333</v>
      </c>
      <c r="Q22">
        <f t="shared" si="5"/>
        <v>106.625</v>
      </c>
      <c r="R22">
        <f t="shared" si="5"/>
        <v>111.91666666666667</v>
      </c>
      <c r="S22">
        <f t="shared" si="5"/>
        <v>110.45833333333333</v>
      </c>
      <c r="T22">
        <f t="shared" si="5"/>
        <v>109</v>
      </c>
      <c r="U22">
        <f t="shared" si="5"/>
        <v>114.62030541666667</v>
      </c>
      <c r="V22">
        <f t="shared" si="5"/>
        <v>117.3325</v>
      </c>
    </row>
    <row r="23" spans="1:22">
      <c r="A23" t="s">
        <v>49</v>
      </c>
      <c r="E23">
        <v>8.1999999999999993</v>
      </c>
      <c r="F23">
        <v>89</v>
      </c>
      <c r="G23">
        <v>236</v>
      </c>
      <c r="H23">
        <v>344</v>
      </c>
      <c r="I23">
        <v>388</v>
      </c>
      <c r="J23">
        <v>415</v>
      </c>
      <c r="K23">
        <v>438</v>
      </c>
      <c r="L23">
        <v>488</v>
      </c>
      <c r="M23">
        <v>509</v>
      </c>
      <c r="N23">
        <v>558</v>
      </c>
      <c r="O23">
        <v>594</v>
      </c>
      <c r="P23">
        <v>650</v>
      </c>
      <c r="Q23">
        <f>(P23+R23)/2</f>
        <v>689</v>
      </c>
      <c r="R23">
        <v>728</v>
      </c>
      <c r="S23">
        <f>(R23+T23)/2</f>
        <v>807</v>
      </c>
      <c r="T23">
        <v>886</v>
      </c>
      <c r="U23">
        <v>884.4466494583861</v>
      </c>
      <c r="V23">
        <v>919.47469439999998</v>
      </c>
    </row>
    <row r="24" spans="1:22">
      <c r="A24" t="s">
        <v>48</v>
      </c>
      <c r="E24">
        <f t="shared" ref="E24:V24" si="6">E23/12</f>
        <v>0.68333333333333324</v>
      </c>
      <c r="F24">
        <f t="shared" si="6"/>
        <v>7.416666666666667</v>
      </c>
      <c r="G24">
        <f t="shared" si="6"/>
        <v>19.666666666666668</v>
      </c>
      <c r="H24">
        <f t="shared" si="6"/>
        <v>28.666666666666668</v>
      </c>
      <c r="I24">
        <f t="shared" si="6"/>
        <v>32.333333333333336</v>
      </c>
      <c r="J24">
        <f t="shared" si="6"/>
        <v>34.583333333333336</v>
      </c>
      <c r="K24">
        <f t="shared" si="6"/>
        <v>36.5</v>
      </c>
      <c r="L24">
        <f t="shared" si="6"/>
        <v>40.666666666666664</v>
      </c>
      <c r="M24">
        <f t="shared" si="6"/>
        <v>42.416666666666664</v>
      </c>
      <c r="N24">
        <f t="shared" si="6"/>
        <v>46.5</v>
      </c>
      <c r="O24">
        <f t="shared" si="6"/>
        <v>49.5</v>
      </c>
      <c r="P24">
        <f t="shared" si="6"/>
        <v>54.166666666666664</v>
      </c>
      <c r="Q24">
        <f t="shared" si="6"/>
        <v>57.416666666666664</v>
      </c>
      <c r="R24">
        <f t="shared" si="6"/>
        <v>60.666666666666664</v>
      </c>
      <c r="S24">
        <f t="shared" si="6"/>
        <v>67.25</v>
      </c>
      <c r="T24">
        <f t="shared" si="6"/>
        <v>73.833333333333329</v>
      </c>
      <c r="U24">
        <f t="shared" si="6"/>
        <v>73.703887454865509</v>
      </c>
      <c r="V24">
        <f t="shared" si="6"/>
        <v>76.622891199999998</v>
      </c>
    </row>
    <row r="26" spans="1:22">
      <c r="A26" t="s">
        <v>47</v>
      </c>
      <c r="B26">
        <f t="shared" ref="B26:V26" si="7">B20/B6*100</f>
        <v>1.2528310249808625</v>
      </c>
      <c r="C26">
        <f t="shared" si="7"/>
        <v>1.4960521384912495</v>
      </c>
      <c r="D26">
        <f t="shared" si="7"/>
        <v>1.4158424198021169</v>
      </c>
      <c r="E26">
        <f t="shared" si="7"/>
        <v>1.5959284286279236</v>
      </c>
      <c r="F26">
        <f t="shared" si="7"/>
        <v>1.7067461038483274</v>
      </c>
      <c r="G26">
        <f t="shared" si="7"/>
        <v>1.9648824423249334</v>
      </c>
      <c r="H26">
        <f t="shared" si="7"/>
        <v>2.0465123295395959</v>
      </c>
      <c r="I26">
        <f t="shared" si="7"/>
        <v>2.0940958522380591</v>
      </c>
      <c r="J26">
        <f t="shared" si="7"/>
        <v>2.1373161599426074</v>
      </c>
      <c r="K26">
        <f t="shared" si="7"/>
        <v>2.0676961654290791</v>
      </c>
      <c r="L26">
        <f t="shared" si="7"/>
        <v>2.1013250603540308</v>
      </c>
      <c r="M26">
        <f t="shared" si="7"/>
        <v>2.1112593256623593</v>
      </c>
      <c r="N26">
        <f t="shared" si="7"/>
        <v>2.1514889752774629</v>
      </c>
      <c r="O26">
        <f t="shared" si="7"/>
        <v>2.2196128874230006</v>
      </c>
      <c r="P26">
        <f t="shared" si="7"/>
        <v>2.2618668513199718</v>
      </c>
      <c r="Q26">
        <f t="shared" si="7"/>
        <v>2.3110416234504241</v>
      </c>
      <c r="R26">
        <f t="shared" si="7"/>
        <v>2.3320739628381846</v>
      </c>
      <c r="S26">
        <f t="shared" si="7"/>
        <v>2.191475254980273</v>
      </c>
      <c r="T26">
        <f t="shared" si="7"/>
        <v>2.2457621022888743</v>
      </c>
      <c r="U26">
        <f t="shared" si="7"/>
        <v>2.228235482030672</v>
      </c>
      <c r="V26">
        <f t="shared" si="7"/>
        <v>2.2412007072099378</v>
      </c>
    </row>
    <row r="27" spans="1:22">
      <c r="A27" t="s">
        <v>46</v>
      </c>
      <c r="E27">
        <f t="shared" ref="E27:V27" si="8">E21/E6*100</f>
        <v>0.13541666666666669</v>
      </c>
      <c r="F27">
        <f t="shared" si="8"/>
        <v>0.29947460595446584</v>
      </c>
      <c r="G27">
        <f t="shared" si="8"/>
        <v>0.60331825037707398</v>
      </c>
      <c r="H27">
        <f t="shared" si="8"/>
        <v>0.82423435419440738</v>
      </c>
      <c r="I27">
        <f t="shared" si="8"/>
        <v>0.95306388526727515</v>
      </c>
      <c r="J27">
        <f t="shared" si="8"/>
        <v>1.0176544766708702</v>
      </c>
      <c r="K27">
        <f t="shared" si="8"/>
        <v>1.0109223300970873</v>
      </c>
      <c r="L27">
        <f t="shared" si="8"/>
        <v>1.1207100591715975</v>
      </c>
      <c r="M27">
        <f t="shared" si="8"/>
        <v>1.1376146788990826</v>
      </c>
      <c r="N27">
        <f t="shared" si="8"/>
        <v>1.1803833145434048</v>
      </c>
      <c r="O27">
        <f t="shared" si="8"/>
        <v>1.2401795735129069</v>
      </c>
      <c r="P27">
        <f t="shared" si="8"/>
        <v>1.3075268817204302</v>
      </c>
      <c r="Q27">
        <f t="shared" si="8"/>
        <v>1.3383891213389121</v>
      </c>
      <c r="R27">
        <f t="shared" si="8"/>
        <v>1.3760245901639343</v>
      </c>
      <c r="S27">
        <f t="shared" si="8"/>
        <v>1.2819148936170213</v>
      </c>
      <c r="T27">
        <f t="shared" si="8"/>
        <v>1.2749869451697129</v>
      </c>
      <c r="U27">
        <f t="shared" si="8"/>
        <v>1.2923458282439162</v>
      </c>
      <c r="V27">
        <f t="shared" si="8"/>
        <v>1.3039584866205072</v>
      </c>
    </row>
    <row r="28" spans="1:22">
      <c r="A28" t="s">
        <v>45</v>
      </c>
      <c r="E28">
        <f t="shared" ref="E28:V28" si="9">E23/E6*100</f>
        <v>1.7083333333333332E-2</v>
      </c>
      <c r="F28">
        <f t="shared" si="9"/>
        <v>0.15586690017513136</v>
      </c>
      <c r="G28">
        <f t="shared" si="9"/>
        <v>0.35595776772247356</v>
      </c>
      <c r="H28">
        <f t="shared" si="9"/>
        <v>0.45805592543275631</v>
      </c>
      <c r="I28">
        <f t="shared" si="9"/>
        <v>0.50586701434159065</v>
      </c>
      <c r="J28">
        <f t="shared" si="9"/>
        <v>0.52332912988650693</v>
      </c>
      <c r="K28">
        <f t="shared" si="9"/>
        <v>0.53155339805825241</v>
      </c>
      <c r="L28">
        <f t="shared" si="9"/>
        <v>0.57751479289940821</v>
      </c>
      <c r="M28">
        <f t="shared" si="9"/>
        <v>0.58371559633027514</v>
      </c>
      <c r="N28">
        <f t="shared" si="9"/>
        <v>0.62908680947012396</v>
      </c>
      <c r="O28">
        <f t="shared" si="9"/>
        <v>0.66666666666666674</v>
      </c>
      <c r="P28">
        <f t="shared" si="9"/>
        <v>0.69892473118279574</v>
      </c>
      <c r="Q28">
        <f t="shared" si="9"/>
        <v>0.72071129707112969</v>
      </c>
      <c r="R28">
        <f t="shared" si="9"/>
        <v>0.74590163934426224</v>
      </c>
      <c r="S28">
        <f t="shared" si="9"/>
        <v>0.78046421663442944</v>
      </c>
      <c r="T28">
        <f t="shared" si="9"/>
        <v>0.86363794604003474</v>
      </c>
      <c r="U28">
        <f t="shared" si="9"/>
        <v>0.83101254294690041</v>
      </c>
      <c r="V28">
        <f t="shared" si="9"/>
        <v>0.8515378880501121</v>
      </c>
    </row>
    <row r="30" spans="1:22" ht="25.5" customHeight="1">
      <c r="A30" t="s">
        <v>44</v>
      </c>
    </row>
    <row r="31" spans="1:22" ht="14" customHeight="1"/>
    <row r="32" spans="1:22" ht="30.5" customHeight="1">
      <c r="A32" t="s">
        <v>43</v>
      </c>
    </row>
    <row r="36" spans="1:1"/>
    <row r="37" spans="1:1" ht="17" customHeight="1"/>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5FD-0B18-0140-8E82-38A3A3558036}">
  <dimension ref="A1:R48"/>
  <sheetViews>
    <sheetView zoomScale="40" zoomScaleNormal="40" workbookViewId="0"/>
  </sheetViews>
  <sheetFormatPr baseColWidth="10" defaultColWidth="11" defaultRowHeight="16"/>
  <cols>
    <col min="1" max="1" width="27.83203125" customWidth="1"/>
    <col min="2" max="2" width="10" customWidth="1"/>
    <col min="3" max="4" width="10.1640625" customWidth="1"/>
    <col min="5" max="5" width="17.1640625" hidden="1" customWidth="1"/>
    <col min="6" max="6" width="13.1640625" hidden="1" customWidth="1"/>
    <col min="7" max="7" width="12" hidden="1" customWidth="1"/>
    <col min="8" max="8" width="11.33203125" hidden="1" customWidth="1"/>
    <col min="9" max="9" width="10" hidden="1" customWidth="1"/>
    <col min="10" max="10" width="15.83203125" hidden="1" customWidth="1"/>
    <col min="11" max="11" width="14" hidden="1" customWidth="1"/>
    <col min="12" max="12" width="11.33203125" hidden="1" customWidth="1"/>
    <col min="13" max="13" width="10.33203125" hidden="1" customWidth="1"/>
    <col min="14" max="14" width="19" hidden="1" customWidth="1"/>
    <col min="15" max="15" width="19" customWidth="1"/>
    <col min="16" max="16" width="13.5" customWidth="1"/>
    <col min="17" max="17" width="10" bestFit="1" customWidth="1"/>
    <col min="18" max="18" width="10.5" customWidth="1"/>
    <col min="19" max="19" width="14.33203125" customWidth="1"/>
    <col min="20" max="21" width="13.1640625" customWidth="1"/>
    <col min="22" max="22" width="34.1640625" bestFit="1" customWidth="1"/>
    <col min="23" max="23" width="31" bestFit="1" customWidth="1"/>
    <col min="24" max="24" width="34.1640625" bestFit="1" customWidth="1"/>
    <col min="25" max="25" width="31" bestFit="1" customWidth="1"/>
    <col min="26" max="26" width="34.1640625" bestFit="1" customWidth="1"/>
    <col min="27" max="27" width="31" bestFit="1" customWidth="1"/>
    <col min="28" max="28" width="34.1640625" bestFit="1" customWidth="1"/>
    <col min="29" max="29" width="31" bestFit="1" customWidth="1"/>
    <col min="30" max="30" width="38.83203125" bestFit="1" customWidth="1"/>
    <col min="31" max="31" width="35.6640625" bestFit="1" customWidth="1"/>
  </cols>
  <sheetData>
    <row r="1" spans="1:18" ht="22" customHeight="1">
      <c r="A1" t="s">
        <v>515</v>
      </c>
    </row>
    <row r="2" spans="1:18">
      <c r="B2" t="s">
        <v>74</v>
      </c>
      <c r="C2" t="s">
        <v>75</v>
      </c>
      <c r="D2" t="s">
        <v>73</v>
      </c>
      <c r="E2" t="s">
        <v>72</v>
      </c>
      <c r="F2" t="s">
        <v>71</v>
      </c>
      <c r="G2" t="s">
        <v>70</v>
      </c>
      <c r="H2" t="s">
        <v>548</v>
      </c>
      <c r="I2" t="s">
        <v>497</v>
      </c>
      <c r="J2" t="s">
        <v>67</v>
      </c>
      <c r="K2" t="s">
        <v>76</v>
      </c>
      <c r="L2" t="s">
        <v>17</v>
      </c>
      <c r="M2" t="s">
        <v>10</v>
      </c>
      <c r="N2" t="s">
        <v>12</v>
      </c>
      <c r="O2" t="s">
        <v>64</v>
      </c>
      <c r="P2" t="s">
        <v>39</v>
      </c>
      <c r="Q2" t="s">
        <v>112</v>
      </c>
    </row>
    <row r="3" spans="1:18">
      <c r="A3" t="s">
        <v>113</v>
      </c>
      <c r="B3">
        <v>5841</v>
      </c>
      <c r="C3">
        <v>10005</v>
      </c>
      <c r="D3">
        <v>4047.71</v>
      </c>
      <c r="E3">
        <v>2074.3000000000002</v>
      </c>
      <c r="F3">
        <v>569.79999999999995</v>
      </c>
      <c r="G3">
        <v>1379</v>
      </c>
      <c r="H3">
        <v>631.56679999999994</v>
      </c>
      <c r="J3">
        <v>221.88</v>
      </c>
      <c r="M3">
        <v>4.7155634852766886</v>
      </c>
      <c r="N3">
        <v>136.13999999999999</v>
      </c>
      <c r="P3">
        <f>SUM(B3:O3)</f>
        <v>24911.112363485274</v>
      </c>
      <c r="Q3">
        <f t="shared" ref="Q3:Q41" si="0">(P3/P$41)*100</f>
        <v>23.035672127064487</v>
      </c>
      <c r="R3">
        <f>SUMSQ(Q3)</f>
        <v>530.64219034561575</v>
      </c>
    </row>
    <row r="4" spans="1:18">
      <c r="A4" t="s">
        <v>121</v>
      </c>
      <c r="B4">
        <v>2000.35</v>
      </c>
      <c r="C4">
        <v>10222</v>
      </c>
      <c r="D4">
        <v>4052.58</v>
      </c>
      <c r="E4">
        <v>2366.9</v>
      </c>
      <c r="F4">
        <v>193.8</v>
      </c>
      <c r="G4">
        <v>796.7</v>
      </c>
      <c r="H4">
        <v>365.21499999999997</v>
      </c>
      <c r="J4">
        <v>136.41999999999999</v>
      </c>
      <c r="N4">
        <v>59.68</v>
      </c>
      <c r="P4">
        <f t="shared" ref="P4:P39" si="1">SUM(B4:O4)</f>
        <v>20193.645</v>
      </c>
      <c r="Q4">
        <f t="shared" si="0"/>
        <v>18.673360646559797</v>
      </c>
      <c r="R4">
        <f t="shared" ref="R4:R41" si="2">SUMSQ(Q4)</f>
        <v>348.69439783648812</v>
      </c>
    </row>
    <row r="5" spans="1:18">
      <c r="A5" t="s">
        <v>156</v>
      </c>
      <c r="B5">
        <v>4853.277</v>
      </c>
      <c r="C5">
        <v>9217</v>
      </c>
      <c r="D5">
        <v>2326.7600000000002</v>
      </c>
      <c r="E5">
        <v>839.84299999999996</v>
      </c>
      <c r="P5">
        <f t="shared" si="1"/>
        <v>17236.88</v>
      </c>
      <c r="Q5">
        <f t="shared" si="0"/>
        <v>15.939196547303553</v>
      </c>
      <c r="R5">
        <f t="shared" si="2"/>
        <v>254.05798657357349</v>
      </c>
    </row>
    <row r="6" spans="1:18">
      <c r="A6" t="s">
        <v>179</v>
      </c>
      <c r="H6">
        <v>288.58000000000015</v>
      </c>
      <c r="I6">
        <v>223.77</v>
      </c>
      <c r="K6">
        <v>168.06</v>
      </c>
      <c r="N6">
        <v>8223.59</v>
      </c>
      <c r="O6">
        <v>234.42</v>
      </c>
      <c r="P6">
        <f t="shared" si="1"/>
        <v>9138.42</v>
      </c>
      <c r="Q6">
        <f t="shared" si="0"/>
        <v>8.4504314302710082</v>
      </c>
      <c r="R6">
        <f t="shared" si="2"/>
        <v>71.409791357712123</v>
      </c>
    </row>
    <row r="7" spans="1:18">
      <c r="A7" t="s">
        <v>123</v>
      </c>
      <c r="B7">
        <v>278.3</v>
      </c>
      <c r="C7">
        <v>2033.5</v>
      </c>
      <c r="D7">
        <v>1285.7</v>
      </c>
      <c r="E7">
        <v>802.6</v>
      </c>
      <c r="F7">
        <v>182.2</v>
      </c>
      <c r="G7">
        <v>204.04</v>
      </c>
      <c r="H7">
        <v>68.400000000000006</v>
      </c>
      <c r="L7">
        <v>150.76579519000001</v>
      </c>
      <c r="M7">
        <v>37.164000000000001</v>
      </c>
      <c r="N7">
        <v>73.63</v>
      </c>
      <c r="P7">
        <f t="shared" si="1"/>
        <v>5116.2997951899997</v>
      </c>
      <c r="Q7">
        <f t="shared" si="0"/>
        <v>4.7311176982413476</v>
      </c>
      <c r="R7">
        <f t="shared" si="2"/>
        <v>22.383474674612508</v>
      </c>
    </row>
    <row r="8" spans="1:18">
      <c r="A8" t="s">
        <v>157</v>
      </c>
      <c r="N8">
        <v>4194.87</v>
      </c>
      <c r="P8">
        <f t="shared" si="1"/>
        <v>4194.87</v>
      </c>
      <c r="Q8">
        <f t="shared" si="0"/>
        <v>3.8790580093605835</v>
      </c>
      <c r="R8">
        <f t="shared" si="2"/>
        <v>15.047091039984492</v>
      </c>
    </row>
    <row r="9" spans="1:18">
      <c r="A9" t="s">
        <v>159</v>
      </c>
      <c r="H9">
        <v>45.58</v>
      </c>
      <c r="K9">
        <v>99.13</v>
      </c>
      <c r="N9">
        <v>2375.04</v>
      </c>
      <c r="P9">
        <f t="shared" si="1"/>
        <v>2519.75</v>
      </c>
      <c r="Q9">
        <f t="shared" si="0"/>
        <v>2.3300498988255489</v>
      </c>
      <c r="R9">
        <f t="shared" si="2"/>
        <v>5.4291325310169505</v>
      </c>
    </row>
    <row r="10" spans="1:18">
      <c r="A10" t="s">
        <v>115</v>
      </c>
      <c r="F10">
        <v>1014.89</v>
      </c>
      <c r="G10">
        <v>160.6</v>
      </c>
      <c r="H10">
        <v>25.55</v>
      </c>
      <c r="J10">
        <v>375</v>
      </c>
      <c r="N10">
        <v>73.099999999999994</v>
      </c>
      <c r="P10">
        <f t="shared" si="1"/>
        <v>1649.1399999999999</v>
      </c>
      <c r="Q10">
        <f t="shared" si="0"/>
        <v>1.5249840222836255</v>
      </c>
      <c r="R10">
        <f t="shared" si="2"/>
        <v>2.3255762682203454</v>
      </c>
    </row>
    <row r="11" spans="1:18">
      <c r="A11" t="s">
        <v>140</v>
      </c>
      <c r="B11">
        <v>184.52</v>
      </c>
      <c r="D11">
        <v>840</v>
      </c>
      <c r="E11">
        <v>465.39</v>
      </c>
      <c r="G11">
        <v>4.4800000000000004</v>
      </c>
      <c r="J11">
        <v>83.65</v>
      </c>
      <c r="P11">
        <f t="shared" si="1"/>
        <v>1578.04</v>
      </c>
      <c r="Q11">
        <f t="shared" si="0"/>
        <v>1.4592368061683376</v>
      </c>
      <c r="R11">
        <f t="shared" si="2"/>
        <v>2.1293720564763707</v>
      </c>
    </row>
    <row r="12" spans="1:18">
      <c r="A12" t="s">
        <v>161</v>
      </c>
      <c r="H12">
        <v>1522.098761</v>
      </c>
      <c r="P12">
        <f t="shared" si="1"/>
        <v>1522.098761</v>
      </c>
      <c r="Q12">
        <f t="shared" si="0"/>
        <v>1.4075071193850752</v>
      </c>
      <c r="R12">
        <f t="shared" si="2"/>
        <v>1.9810762911196724</v>
      </c>
    </row>
    <row r="13" spans="1:18">
      <c r="A13" t="s">
        <v>190</v>
      </c>
      <c r="F13">
        <v>298.39999999999998</v>
      </c>
      <c r="G13">
        <v>614.91</v>
      </c>
      <c r="H13">
        <v>146</v>
      </c>
      <c r="J13">
        <v>76.25</v>
      </c>
      <c r="N13">
        <v>218.83</v>
      </c>
      <c r="P13">
        <f t="shared" si="1"/>
        <v>1354.3899999999999</v>
      </c>
      <c r="Q13">
        <f t="shared" si="0"/>
        <v>1.2524243605398691</v>
      </c>
      <c r="R13">
        <f t="shared" si="2"/>
        <v>1.5685667788736999</v>
      </c>
    </row>
    <row r="14" spans="1:18">
      <c r="A14" t="s">
        <v>118</v>
      </c>
      <c r="B14">
        <v>266.39999999999998</v>
      </c>
      <c r="C14">
        <v>640.70000000000005</v>
      </c>
      <c r="D14">
        <v>307.39999999999998</v>
      </c>
      <c r="E14">
        <v>96</v>
      </c>
      <c r="P14">
        <f t="shared" si="1"/>
        <v>1310.5</v>
      </c>
      <c r="Q14">
        <f t="shared" si="0"/>
        <v>1.2118386317733434</v>
      </c>
      <c r="R14">
        <f t="shared" si="2"/>
        <v>1.468552869458289</v>
      </c>
    </row>
    <row r="15" spans="1:18">
      <c r="A15" t="s">
        <v>162</v>
      </c>
      <c r="H15">
        <v>134.69999999999999</v>
      </c>
      <c r="I15">
        <v>628.88</v>
      </c>
      <c r="K15">
        <v>236.43</v>
      </c>
      <c r="O15">
        <v>298.19660849221447</v>
      </c>
      <c r="P15">
        <f t="shared" si="1"/>
        <v>1298.2066084922144</v>
      </c>
      <c r="Q15">
        <f t="shared" si="0"/>
        <v>1.2004707517697959</v>
      </c>
      <c r="R15">
        <f t="shared" si="2"/>
        <v>1.4411300258547388</v>
      </c>
    </row>
    <row r="16" spans="1:18">
      <c r="A16" t="s">
        <v>191</v>
      </c>
      <c r="B16">
        <v>110.47</v>
      </c>
      <c r="C16">
        <v>226.05</v>
      </c>
      <c r="D16">
        <v>369.79</v>
      </c>
      <c r="E16">
        <v>252.05</v>
      </c>
      <c r="P16">
        <f t="shared" si="1"/>
        <v>958.3599999999999</v>
      </c>
      <c r="Q16">
        <f t="shared" si="0"/>
        <v>0.88620959263357579</v>
      </c>
      <c r="R16">
        <f t="shared" si="2"/>
        <v>0.78536744207576836</v>
      </c>
    </row>
    <row r="17" spans="1:18">
      <c r="A17" t="s">
        <v>160</v>
      </c>
      <c r="I17">
        <v>519.98</v>
      </c>
      <c r="N17">
        <v>418.86</v>
      </c>
      <c r="P17">
        <f t="shared" si="1"/>
        <v>938.84</v>
      </c>
      <c r="Q17">
        <f t="shared" si="0"/>
        <v>0.868159161430054</v>
      </c>
      <c r="R17">
        <f t="shared" si="2"/>
        <v>0.7537003295749346</v>
      </c>
    </row>
    <row r="18" spans="1:18">
      <c r="A18" t="s">
        <v>166</v>
      </c>
      <c r="K18">
        <v>798.57</v>
      </c>
      <c r="P18">
        <f t="shared" si="1"/>
        <v>798.57</v>
      </c>
      <c r="Q18">
        <f t="shared" si="0"/>
        <v>0.73844942859613794</v>
      </c>
      <c r="R18">
        <f t="shared" si="2"/>
        <v>0.54530755859396263</v>
      </c>
    </row>
    <row r="19" spans="1:18">
      <c r="A19" t="s">
        <v>165</v>
      </c>
      <c r="I19">
        <v>455.51</v>
      </c>
      <c r="K19">
        <v>219.17</v>
      </c>
      <c r="P19">
        <f t="shared" si="1"/>
        <v>674.68</v>
      </c>
      <c r="Q19">
        <f t="shared" si="0"/>
        <v>0.6238865227659971</v>
      </c>
      <c r="R19">
        <f t="shared" si="2"/>
        <v>0.38923439328904702</v>
      </c>
    </row>
    <row r="20" spans="1:18">
      <c r="A20" t="s">
        <v>192</v>
      </c>
      <c r="L20">
        <v>405.24</v>
      </c>
      <c r="M20">
        <v>1.8584357011958073</v>
      </c>
      <c r="N20">
        <v>138.35789400000002</v>
      </c>
      <c r="P20">
        <f t="shared" si="1"/>
        <v>545.45632970119584</v>
      </c>
      <c r="Q20">
        <f t="shared" si="0"/>
        <v>0.5043914935346866</v>
      </c>
      <c r="R20">
        <f t="shared" si="2"/>
        <v>0.25441077875015178</v>
      </c>
    </row>
    <row r="21" spans="1:18">
      <c r="A21" t="s">
        <v>158</v>
      </c>
      <c r="H21">
        <v>541.77800000000002</v>
      </c>
      <c r="P21">
        <f t="shared" si="1"/>
        <v>541.77800000000002</v>
      </c>
      <c r="Q21">
        <f t="shared" si="0"/>
        <v>0.50099008793964017</v>
      </c>
      <c r="R21">
        <f t="shared" si="2"/>
        <v>0.25099106821376838</v>
      </c>
    </row>
    <row r="22" spans="1:18">
      <c r="A22" t="s">
        <v>168</v>
      </c>
      <c r="K22">
        <v>465.39</v>
      </c>
      <c r="N22">
        <v>58.9</v>
      </c>
      <c r="P22">
        <f t="shared" si="1"/>
        <v>524.29</v>
      </c>
      <c r="Q22">
        <f t="shared" si="0"/>
        <v>0.48481867703353387</v>
      </c>
      <c r="R22">
        <f t="shared" si="2"/>
        <v>0.23504914960054601</v>
      </c>
    </row>
    <row r="23" spans="1:18">
      <c r="A23" t="s">
        <v>167</v>
      </c>
      <c r="J23">
        <v>467.59500000000003</v>
      </c>
      <c r="P23">
        <f t="shared" si="1"/>
        <v>467.59500000000003</v>
      </c>
      <c r="Q23">
        <f t="shared" si="0"/>
        <v>0.43239197636326326</v>
      </c>
      <c r="R23">
        <f t="shared" si="2"/>
        <v>0.18696282122332883</v>
      </c>
    </row>
    <row r="24" spans="1:18">
      <c r="A24" t="s">
        <v>193</v>
      </c>
      <c r="N24">
        <v>454.99</v>
      </c>
      <c r="P24">
        <f t="shared" si="1"/>
        <v>454.99</v>
      </c>
      <c r="Q24">
        <f t="shared" si="0"/>
        <v>0.4207359474021774</v>
      </c>
      <c r="R24">
        <f t="shared" si="2"/>
        <v>0.17701873743640778</v>
      </c>
    </row>
    <row r="25" spans="1:18">
      <c r="A25" t="s">
        <v>194</v>
      </c>
      <c r="D25">
        <v>420</v>
      </c>
      <c r="N25">
        <v>94.7</v>
      </c>
      <c r="P25">
        <f t="shared" si="1"/>
        <v>514.70000000000005</v>
      </c>
      <c r="Q25">
        <f t="shared" si="0"/>
        <v>0.47595066293303312</v>
      </c>
      <c r="R25">
        <f t="shared" si="2"/>
        <v>0.2265290335463937</v>
      </c>
    </row>
    <row r="26" spans="1:18">
      <c r="A26" t="s">
        <v>195</v>
      </c>
      <c r="K26">
        <v>414.81</v>
      </c>
      <c r="P26">
        <f t="shared" si="1"/>
        <v>414.81</v>
      </c>
      <c r="Q26">
        <f t="shared" si="0"/>
        <v>0.38358091022197677</v>
      </c>
      <c r="R26">
        <f t="shared" si="2"/>
        <v>0.1471343146867202</v>
      </c>
    </row>
    <row r="27" spans="1:18">
      <c r="A27" t="s">
        <v>169</v>
      </c>
      <c r="I27">
        <v>326.05</v>
      </c>
      <c r="P27">
        <f t="shared" si="1"/>
        <v>326.05</v>
      </c>
      <c r="Q27">
        <f t="shared" si="0"/>
        <v>0.30150323226989589</v>
      </c>
      <c r="R27">
        <f t="shared" si="2"/>
        <v>9.0904199069194794E-2</v>
      </c>
    </row>
    <row r="28" spans="1:18">
      <c r="A28" t="s">
        <v>488</v>
      </c>
      <c r="I28">
        <v>324.97000000000003</v>
      </c>
      <c r="P28">
        <f t="shared" si="1"/>
        <v>324.97000000000003</v>
      </c>
      <c r="Q28">
        <f t="shared" si="0"/>
        <v>0.30050454037953711</v>
      </c>
      <c r="R28">
        <f t="shared" si="2"/>
        <v>9.0302978788716848E-2</v>
      </c>
    </row>
    <row r="29" spans="1:18">
      <c r="A29" t="s">
        <v>425</v>
      </c>
      <c r="D29">
        <v>289.52999999999997</v>
      </c>
      <c r="P29">
        <f t="shared" si="1"/>
        <v>289.52999999999997</v>
      </c>
      <c r="Q29">
        <f t="shared" si="0"/>
        <v>0.26773265094035559</v>
      </c>
      <c r="R29">
        <f t="shared" si="2"/>
        <v>7.1680772379550284E-2</v>
      </c>
    </row>
    <row r="30" spans="1:18">
      <c r="A30" t="s">
        <v>496</v>
      </c>
      <c r="I30">
        <v>278.08999999999997</v>
      </c>
      <c r="P30">
        <f t="shared" si="1"/>
        <v>278.08999999999997</v>
      </c>
      <c r="Q30">
        <f t="shared" si="0"/>
        <v>0.25715391462025866</v>
      </c>
      <c r="R30">
        <f t="shared" si="2"/>
        <v>6.6128135804523286E-2</v>
      </c>
    </row>
    <row r="31" spans="1:18">
      <c r="A31" t="s">
        <v>495</v>
      </c>
      <c r="B31">
        <v>267.10000000000002</v>
      </c>
      <c r="P31">
        <f t="shared" si="1"/>
        <v>267.10000000000002</v>
      </c>
      <c r="Q31">
        <f t="shared" si="0"/>
        <v>0.2469912999211446</v>
      </c>
      <c r="R31">
        <f t="shared" si="2"/>
        <v>6.1004702236736805E-2</v>
      </c>
    </row>
    <row r="32" spans="1:18">
      <c r="A32" t="s">
        <v>494</v>
      </c>
      <c r="I32">
        <v>265.73</v>
      </c>
      <c r="P32">
        <f t="shared" si="1"/>
        <v>265.73</v>
      </c>
      <c r="Q32">
        <f t="shared" si="0"/>
        <v>0.24572444076393021</v>
      </c>
      <c r="R32">
        <f t="shared" si="2"/>
        <v>6.0380500788746246E-2</v>
      </c>
    </row>
    <row r="33" spans="1:18">
      <c r="A33" t="s">
        <v>493</v>
      </c>
      <c r="L33">
        <v>253.10441416259999</v>
      </c>
      <c r="P33">
        <f t="shared" si="1"/>
        <v>253.10441416259999</v>
      </c>
      <c r="Q33">
        <f t="shared" si="0"/>
        <v>0.23404937577611507</v>
      </c>
      <c r="R33">
        <f t="shared" si="2"/>
        <v>5.4779110301189114E-2</v>
      </c>
    </row>
    <row r="34" spans="1:18">
      <c r="A34" t="s">
        <v>424</v>
      </c>
      <c r="D34">
        <v>251.78</v>
      </c>
      <c r="P34">
        <f t="shared" si="1"/>
        <v>251.78</v>
      </c>
      <c r="Q34">
        <f t="shared" si="0"/>
        <v>0.23282467051346234</v>
      </c>
      <c r="R34">
        <f t="shared" si="2"/>
        <v>5.4207327199702303E-2</v>
      </c>
    </row>
    <row r="35" spans="1:18">
      <c r="A35" t="s">
        <v>492</v>
      </c>
      <c r="H35">
        <v>251.32</v>
      </c>
      <c r="P35">
        <f t="shared" si="1"/>
        <v>251.32</v>
      </c>
      <c r="Q35">
        <f t="shared" si="0"/>
        <v>0.23239930174534651</v>
      </c>
      <c r="R35">
        <f t="shared" si="2"/>
        <v>5.4009435451724618E-2</v>
      </c>
    </row>
    <row r="36" spans="1:18">
      <c r="A36" t="s">
        <v>449</v>
      </c>
      <c r="L36">
        <v>193.98</v>
      </c>
      <c r="M36">
        <v>3.3608159647788098</v>
      </c>
      <c r="N36">
        <v>31.454999999999998</v>
      </c>
      <c r="P36">
        <f t="shared" si="1"/>
        <v>228.7958159647788</v>
      </c>
      <c r="Q36">
        <f t="shared" si="0"/>
        <v>0.21157085736300893</v>
      </c>
      <c r="R36">
        <f t="shared" si="2"/>
        <v>4.4762227685318672E-2</v>
      </c>
    </row>
    <row r="37" spans="1:18">
      <c r="A37" t="s">
        <v>361</v>
      </c>
      <c r="B37">
        <v>23.680175999999999</v>
      </c>
      <c r="C37">
        <v>133.71199999999999</v>
      </c>
      <c r="D37">
        <v>61.807823999999997</v>
      </c>
      <c r="P37">
        <f t="shared" si="1"/>
        <v>219.2</v>
      </c>
      <c r="Q37">
        <f t="shared" si="0"/>
        <v>0.20269746515430509</v>
      </c>
      <c r="R37">
        <f t="shared" si="2"/>
        <v>4.1086262379980726E-2</v>
      </c>
    </row>
    <row r="38" spans="1:18">
      <c r="A38" t="s">
        <v>445</v>
      </c>
      <c r="N38">
        <v>198.32</v>
      </c>
      <c r="P38">
        <f t="shared" si="1"/>
        <v>198.32</v>
      </c>
      <c r="Q38">
        <f t="shared" si="0"/>
        <v>0.1833894219407016</v>
      </c>
      <c r="R38">
        <f t="shared" si="2"/>
        <v>3.3631680079744687E-2</v>
      </c>
    </row>
    <row r="39" spans="1:18">
      <c r="A39" t="s">
        <v>491</v>
      </c>
      <c r="K39">
        <v>189.61</v>
      </c>
      <c r="P39">
        <f t="shared" si="1"/>
        <v>189.61</v>
      </c>
      <c r="Q39">
        <f t="shared" si="0"/>
        <v>0.17533515678790054</v>
      </c>
      <c r="R39">
        <f t="shared" si="2"/>
        <v>3.0742417205837664E-2</v>
      </c>
    </row>
    <row r="40" spans="1:18">
      <c r="A40" t="s">
        <v>343</v>
      </c>
      <c r="P40">
        <f>P41-SUM(P3,P4,P5,P6,P7,P8,P9:P39)</f>
        <v>5940.4387996041769</v>
      </c>
      <c r="Q40">
        <f t="shared" si="0"/>
        <v>5.4932111614235852</v>
      </c>
      <c r="R40">
        <f t="shared" si="2"/>
        <v>30.175368863988655</v>
      </c>
    </row>
    <row r="41" spans="1:18">
      <c r="A41" t="s">
        <v>490</v>
      </c>
      <c r="B41">
        <v>13354.793175999999</v>
      </c>
      <c r="C41">
        <v>32477.962</v>
      </c>
      <c r="D41">
        <v>15949</v>
      </c>
      <c r="E41">
        <v>7023.97</v>
      </c>
      <c r="F41">
        <v>2404.3799999999997</v>
      </c>
      <c r="G41">
        <v>3833.65</v>
      </c>
      <c r="H41">
        <v>4075.1</v>
      </c>
      <c r="I41">
        <v>4332.1270000000004</v>
      </c>
      <c r="J41">
        <v>1999.48</v>
      </c>
      <c r="K41">
        <v>2999.7148000000002</v>
      </c>
      <c r="L41">
        <v>1689.5629316002808</v>
      </c>
      <c r="M41">
        <v>917.73098000000005</v>
      </c>
      <c r="N41">
        <v>16551.37</v>
      </c>
      <c r="O41">
        <v>532.62</v>
      </c>
      <c r="P41">
        <f>SUM(B41:O41)</f>
        <v>108141.46088760025</v>
      </c>
      <c r="Q41">
        <f t="shared" si="0"/>
        <v>100</v>
      </c>
      <c r="R41">
        <f t="shared" si="2"/>
        <v>10000</v>
      </c>
    </row>
    <row r="42" spans="1:18">
      <c r="A42" t="s">
        <v>142</v>
      </c>
      <c r="Q42">
        <f>Q3</f>
        <v>23.035672127064487</v>
      </c>
    </row>
    <row r="43" spans="1:18">
      <c r="A43" t="s">
        <v>143</v>
      </c>
      <c r="Q43">
        <f>SUM(Q3:Q6)</f>
        <v>66.09866075119885</v>
      </c>
    </row>
    <row r="44" spans="1:18">
      <c r="A44" t="s">
        <v>144</v>
      </c>
      <c r="Q44">
        <f>SUM(Q3:Q13)</f>
        <v>82.683038666003227</v>
      </c>
    </row>
    <row r="45" spans="1:18">
      <c r="A45" t="s">
        <v>145</v>
      </c>
      <c r="Q45">
        <f>Q3+Q4+Q7</f>
        <v>46.440150471865635</v>
      </c>
    </row>
    <row r="46" spans="1:18">
      <c r="A46" t="s">
        <v>489</v>
      </c>
      <c r="Q46">
        <f>SUM(Q6,Q8,Q9,Q12,Q15,Q17)</f>
        <v>18.135676371042067</v>
      </c>
    </row>
    <row r="47" spans="1:18">
      <c r="A47" t="s">
        <v>146</v>
      </c>
      <c r="Q47">
        <f>SUMSQ(Q3:Q39)</f>
        <v>1263.2836640253688</v>
      </c>
    </row>
    <row r="48" spans="1:18">
      <c r="A48" t="s">
        <v>147</v>
      </c>
      <c r="Q48">
        <v>2502.1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97B1-2912-4A45-895F-31AC58660BA0}">
  <dimension ref="A1:C17"/>
  <sheetViews>
    <sheetView zoomScale="55" zoomScaleNormal="55" workbookViewId="0"/>
  </sheetViews>
  <sheetFormatPr baseColWidth="10" defaultColWidth="11" defaultRowHeight="16"/>
  <cols>
    <col min="1" max="1" width="19" customWidth="1"/>
    <col min="2" max="2" width="31.1640625" customWidth="1"/>
    <col min="3" max="3" width="23.6640625" customWidth="1"/>
  </cols>
  <sheetData>
    <row r="1" spans="1:3" ht="17.5" customHeight="1">
      <c r="A1" t="s">
        <v>561</v>
      </c>
    </row>
    <row r="2" spans="1:3" ht="25.5" customHeight="1">
      <c r="A2" t="s">
        <v>518</v>
      </c>
      <c r="B2" t="s">
        <v>517</v>
      </c>
      <c r="C2" t="s">
        <v>516</v>
      </c>
    </row>
    <row r="3" spans="1:3" ht="34.25" customHeight="1">
      <c r="A3" t="s">
        <v>519</v>
      </c>
      <c r="B3" t="s">
        <v>520</v>
      </c>
      <c r="C3" t="s">
        <v>521</v>
      </c>
    </row>
    <row r="4" spans="1:3" ht="34.25" customHeight="1">
      <c r="A4" t="s">
        <v>522</v>
      </c>
      <c r="B4" t="s">
        <v>523</v>
      </c>
      <c r="C4" t="s">
        <v>524</v>
      </c>
    </row>
    <row r="5" spans="1:3">
      <c r="A5" t="s">
        <v>546</v>
      </c>
      <c r="B5" t="s">
        <v>525</v>
      </c>
      <c r="C5" t="s">
        <v>526</v>
      </c>
    </row>
    <row r="6" spans="1:3">
      <c r="A6" t="s">
        <v>527</v>
      </c>
      <c r="B6" t="s">
        <v>547</v>
      </c>
      <c r="C6" t="s">
        <v>545</v>
      </c>
    </row>
    <row r="7" spans="1:3" ht="34.5" customHeight="1">
      <c r="A7" t="s">
        <v>528</v>
      </c>
      <c r="B7" t="s">
        <v>549</v>
      </c>
      <c r="C7" t="s">
        <v>529</v>
      </c>
    </row>
    <row r="8" spans="1:3">
      <c r="A8" t="s">
        <v>530</v>
      </c>
      <c r="B8" t="s">
        <v>531</v>
      </c>
      <c r="C8" t="s">
        <v>532</v>
      </c>
    </row>
    <row r="9" spans="1:3">
      <c r="A9" t="s">
        <v>533</v>
      </c>
      <c r="B9" t="s">
        <v>550</v>
      </c>
      <c r="C9" t="s">
        <v>534</v>
      </c>
    </row>
    <row r="10" spans="1:3">
      <c r="A10" t="s">
        <v>543</v>
      </c>
      <c r="B10" t="s">
        <v>535</v>
      </c>
      <c r="C10" t="s">
        <v>536</v>
      </c>
    </row>
    <row r="11" spans="1:3">
      <c r="C11" t="s">
        <v>537</v>
      </c>
    </row>
    <row r="12" spans="1:3">
      <c r="C12" t="s">
        <v>544</v>
      </c>
    </row>
    <row r="13" spans="1:3">
      <c r="C13" t="s">
        <v>538</v>
      </c>
    </row>
    <row r="14" spans="1:3">
      <c r="C14" t="s">
        <v>539</v>
      </c>
    </row>
    <row r="15" spans="1:3" ht="28.25" customHeight="1">
      <c r="C15" t="s">
        <v>540</v>
      </c>
    </row>
    <row r="16" spans="1:3">
      <c r="C16" t="s">
        <v>541</v>
      </c>
    </row>
    <row r="17" spans="3:3">
      <c r="C17" t="s">
        <v>542</v>
      </c>
    </row>
  </sheetData>
  <pageMargins left="0.7" right="0.7" top="0.75" bottom="0.75" header="0.3" footer="0.3"/>
  <pageSetup orientation="portrait" horizontalDpi="4294967292" verticalDpi="4294967292" r:id="rId1"/>
  <headerFooter>
    <oddHeader>&amp;R&amp;"Calibri"&amp;12&amp;K000000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15D0-57BD-E442-91AC-917CEAE99FB8}">
  <dimension ref="A1:B13"/>
  <sheetViews>
    <sheetView zoomScale="70" zoomScaleNormal="70" workbookViewId="0"/>
  </sheetViews>
  <sheetFormatPr baseColWidth="10" defaultColWidth="10.6640625" defaultRowHeight="16"/>
  <cols>
    <col min="1" max="1" width="31.6640625" customWidth="1"/>
    <col min="2" max="2" width="20.83203125" customWidth="1"/>
  </cols>
  <sheetData>
    <row r="1" spans="1:2" ht="20" customHeight="1">
      <c r="A1" t="s">
        <v>562</v>
      </c>
    </row>
    <row r="2" spans="1:2">
      <c r="A2" t="s">
        <v>61</v>
      </c>
      <c r="B2">
        <v>1404.3254930000001</v>
      </c>
    </row>
    <row r="3" spans="1:2">
      <c r="A3" t="s">
        <v>82</v>
      </c>
      <c r="B3">
        <v>177.768</v>
      </c>
    </row>
    <row r="4" spans="1:2">
      <c r="A4" t="s">
        <v>79</v>
      </c>
      <c r="B4">
        <v>106.574456</v>
      </c>
    </row>
    <row r="5" spans="1:2">
      <c r="A5" t="s">
        <v>59</v>
      </c>
      <c r="B5">
        <v>108.088435</v>
      </c>
    </row>
    <row r="6" spans="1:2">
      <c r="A6" t="s">
        <v>17</v>
      </c>
      <c r="B6">
        <v>112.226</v>
      </c>
    </row>
    <row r="7" spans="1:2">
      <c r="A7" t="s">
        <v>60</v>
      </c>
      <c r="B7">
        <v>114.7</v>
      </c>
    </row>
    <row r="8" spans="1:2">
      <c r="A8" t="s">
        <v>83</v>
      </c>
      <c r="B8">
        <v>199.88386754873284</v>
      </c>
    </row>
    <row r="9" spans="1:2">
      <c r="A9" t="s">
        <v>81</v>
      </c>
      <c r="B9">
        <v>37.380000000000003</v>
      </c>
    </row>
    <row r="10" spans="1:2">
      <c r="A10" t="s">
        <v>62</v>
      </c>
      <c r="B10">
        <f>SUM(B2:B9)</f>
        <v>2260.9462515487335</v>
      </c>
    </row>
    <row r="11" spans="1:2">
      <c r="A11" t="s">
        <v>77</v>
      </c>
      <c r="B11">
        <v>86430</v>
      </c>
    </row>
    <row r="12" spans="1:2">
      <c r="A12" t="s">
        <v>80</v>
      </c>
      <c r="B12">
        <f>B10/B11</f>
        <v>2.6159276310872771E-2</v>
      </c>
    </row>
    <row r="13" spans="1:2">
      <c r="A13" t="s">
        <v>866</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C4596-916C-C343-9A70-E259F9D041E7}">
  <dimension ref="A1:I34"/>
  <sheetViews>
    <sheetView zoomScale="40" zoomScaleNormal="40" workbookViewId="0"/>
  </sheetViews>
  <sheetFormatPr baseColWidth="10" defaultColWidth="10.6640625" defaultRowHeight="16"/>
  <sheetData>
    <row r="1" spans="1:9">
      <c r="A1" t="s">
        <v>563</v>
      </c>
    </row>
    <row r="2" spans="1:9">
      <c r="B2" t="s">
        <v>154</v>
      </c>
      <c r="C2" t="s">
        <v>71</v>
      </c>
      <c r="D2" t="s">
        <v>70</v>
      </c>
      <c r="E2" t="s">
        <v>67</v>
      </c>
      <c r="F2" t="s">
        <v>17</v>
      </c>
      <c r="G2" t="s">
        <v>10</v>
      </c>
    </row>
    <row r="3" spans="1:9">
      <c r="A3" t="s">
        <v>115</v>
      </c>
      <c r="C3">
        <v>810.91</v>
      </c>
      <c r="E3">
        <v>243</v>
      </c>
      <c r="H3">
        <f t="shared" ref="H3:H28" si="0">SUM(B3:G3)</f>
        <v>1053.9099999999999</v>
      </c>
      <c r="I3">
        <f>(H3/$H$28)*100</f>
        <v>17.56627041399101</v>
      </c>
    </row>
    <row r="4" spans="1:9">
      <c r="A4" t="s">
        <v>117</v>
      </c>
      <c r="F4">
        <v>548.5</v>
      </c>
      <c r="H4">
        <f t="shared" si="0"/>
        <v>548.5</v>
      </c>
      <c r="I4">
        <f>(H4/$H$28)*100</f>
        <v>9.1422411041493774</v>
      </c>
    </row>
    <row r="5" spans="1:9">
      <c r="A5" t="s">
        <v>153</v>
      </c>
      <c r="F5">
        <v>390.61200000000002</v>
      </c>
      <c r="H5">
        <f t="shared" si="0"/>
        <v>390.61200000000002</v>
      </c>
      <c r="I5">
        <f>(H5/$H$28)*100</f>
        <v>6.5106090832707322</v>
      </c>
    </row>
    <row r="6" spans="1:9">
      <c r="A6" t="s">
        <v>119</v>
      </c>
      <c r="B6">
        <v>47.4</v>
      </c>
      <c r="C6">
        <v>34.750699999999995</v>
      </c>
      <c r="E6">
        <v>17.349300000000003</v>
      </c>
      <c r="F6">
        <v>153.69999999999999</v>
      </c>
      <c r="G6">
        <v>125.9</v>
      </c>
      <c r="H6">
        <f t="shared" si="0"/>
        <v>379.1</v>
      </c>
      <c r="I6">
        <f>(H6/'Figure 9  Leading Mediacos'!$I$28)*100</f>
        <v>1.9487683151964914</v>
      </c>
    </row>
    <row r="7" spans="1:9">
      <c r="A7" t="s">
        <v>120</v>
      </c>
      <c r="F7">
        <v>315.47031579968257</v>
      </c>
      <c r="H7">
        <f t="shared" si="0"/>
        <v>315.47031579968257</v>
      </c>
      <c r="I7">
        <f>(H7/'Figure 9  Leading Mediacos'!$I$28)*100</f>
        <v>1.6216791237548205</v>
      </c>
    </row>
    <row r="8" spans="1:9">
      <c r="A8" t="s">
        <v>121</v>
      </c>
      <c r="B8">
        <v>181.4</v>
      </c>
      <c r="C8">
        <v>15.7</v>
      </c>
      <c r="D8">
        <v>93.1</v>
      </c>
      <c r="E8">
        <v>23</v>
      </c>
      <c r="H8">
        <f t="shared" si="0"/>
        <v>313.2</v>
      </c>
      <c r="I8">
        <f>(H8/'Figure 9  Leading Mediacos'!$I$28)*100</f>
        <v>1.6100085368492247</v>
      </c>
    </row>
    <row r="9" spans="1:9">
      <c r="A9" t="s">
        <v>123</v>
      </c>
      <c r="F9">
        <v>150.73050000000001</v>
      </c>
      <c r="G9">
        <v>36</v>
      </c>
      <c r="H9">
        <f t="shared" si="0"/>
        <v>186.73050000000001</v>
      </c>
      <c r="I9">
        <f>(H9/'Figure 9  Leading Mediacos'!$I$28)*100</f>
        <v>0.95989048240780384</v>
      </c>
    </row>
    <row r="10" spans="1:9">
      <c r="A10" t="s">
        <v>124</v>
      </c>
      <c r="C10">
        <v>147.744</v>
      </c>
      <c r="H10">
        <f t="shared" si="0"/>
        <v>147.744</v>
      </c>
      <c r="I10">
        <f>(H10/'Figure 9  Leading Mediacos'!$I$28)*100</f>
        <v>0.75947988910680675</v>
      </c>
    </row>
    <row r="11" spans="1:9">
      <c r="A11" t="s">
        <v>125</v>
      </c>
      <c r="F11">
        <v>127.02000000000001</v>
      </c>
      <c r="H11">
        <f t="shared" si="0"/>
        <v>127.02000000000001</v>
      </c>
      <c r="I11">
        <f>(H11/'Figure 9  Leading Mediacos'!$I$28)*100</f>
        <v>0.6529479066110746</v>
      </c>
    </row>
    <row r="12" spans="1:9">
      <c r="A12" t="s">
        <v>127</v>
      </c>
      <c r="E12">
        <v>22.8</v>
      </c>
      <c r="G12">
        <v>102</v>
      </c>
      <c r="H12">
        <f t="shared" si="0"/>
        <v>124.8</v>
      </c>
      <c r="I12">
        <f>(H12/'Figure 9  Leading Mediacos'!$I$28)*100</f>
        <v>0.64153596870620455</v>
      </c>
    </row>
    <row r="13" spans="1:9">
      <c r="A13" t="s">
        <v>128</v>
      </c>
      <c r="B13">
        <v>20.9</v>
      </c>
      <c r="C13">
        <v>69.900000000000006</v>
      </c>
      <c r="E13">
        <v>24.2</v>
      </c>
      <c r="H13">
        <f t="shared" si="0"/>
        <v>115.00000000000001</v>
      </c>
      <c r="I13">
        <f>(H13/'Figure 9  Leading Mediacos'!$I$28)*100</f>
        <v>0.59115894552254422</v>
      </c>
    </row>
    <row r="14" spans="1:9">
      <c r="A14" t="s">
        <v>129</v>
      </c>
      <c r="C14">
        <v>73.900000000000006</v>
      </c>
      <c r="E14">
        <v>30.2</v>
      </c>
      <c r="H14">
        <f t="shared" si="0"/>
        <v>104.10000000000001</v>
      </c>
      <c r="I14">
        <f>(H14/'Figure 9  Leading Mediacos'!$I$28)*100</f>
        <v>0.53512735851214666</v>
      </c>
    </row>
    <row r="15" spans="1:9">
      <c r="A15" t="s">
        <v>148</v>
      </c>
      <c r="C15">
        <v>89.3</v>
      </c>
      <c r="H15">
        <f t="shared" si="0"/>
        <v>89.3</v>
      </c>
      <c r="I15">
        <f>(H15/'Figure 9  Leading Mediacos'!$I$28)*100</f>
        <v>0.45904777247967998</v>
      </c>
    </row>
    <row r="16" spans="1:9">
      <c r="A16" t="s">
        <v>130</v>
      </c>
      <c r="C16">
        <v>84.8</v>
      </c>
      <c r="H16">
        <f t="shared" si="0"/>
        <v>84.8</v>
      </c>
      <c r="I16">
        <f>(H16/'Figure 9  Leading Mediacos'!$I$28)*100</f>
        <v>0.43591546591575431</v>
      </c>
    </row>
    <row r="17" spans="1:9">
      <c r="A17" t="s">
        <v>149</v>
      </c>
      <c r="C17">
        <v>58.4</v>
      </c>
      <c r="E17">
        <v>23.9</v>
      </c>
      <c r="H17">
        <f t="shared" si="0"/>
        <v>82.3</v>
      </c>
      <c r="I17">
        <f>(H17/'Figure 9  Leading Mediacos'!$I$28)*100</f>
        <v>0.42306418449135119</v>
      </c>
    </row>
    <row r="18" spans="1:9">
      <c r="A18" t="s">
        <v>131</v>
      </c>
      <c r="E18">
        <v>80</v>
      </c>
      <c r="H18">
        <f t="shared" si="0"/>
        <v>80</v>
      </c>
      <c r="I18">
        <f>(H18/'Figure 9  Leading Mediacos'!$I$28)*100</f>
        <v>0.41124100558090027</v>
      </c>
    </row>
    <row r="19" spans="1:9">
      <c r="A19" t="s">
        <v>132</v>
      </c>
      <c r="B19">
        <v>18.899999999999999</v>
      </c>
      <c r="C19">
        <v>55.4</v>
      </c>
      <c r="H19">
        <f t="shared" si="0"/>
        <v>74.3</v>
      </c>
      <c r="I19">
        <f>(H19/'Figure 9  Leading Mediacos'!$I$28)*100</f>
        <v>0.38194008393326112</v>
      </c>
    </row>
    <row r="20" spans="1:9">
      <c r="A20" t="s">
        <v>133</v>
      </c>
      <c r="F20">
        <v>70.542604772483742</v>
      </c>
      <c r="H20">
        <f t="shared" si="0"/>
        <v>70.542604772483742</v>
      </c>
      <c r="I20">
        <f>(H20/'Figure 9  Leading Mediacos'!$I$28)*100</f>
        <v>0.3626251465366529</v>
      </c>
    </row>
    <row r="21" spans="1:9">
      <c r="A21" t="s">
        <v>134</v>
      </c>
      <c r="F21">
        <v>56.745600000000003</v>
      </c>
      <c r="H21">
        <f t="shared" si="0"/>
        <v>56.745600000000003</v>
      </c>
      <c r="I21">
        <f>(H21/'Figure 9  Leading Mediacos'!$I$28)*100</f>
        <v>0.29170147007864422</v>
      </c>
    </row>
    <row r="22" spans="1:9">
      <c r="A22" t="s">
        <v>135</v>
      </c>
      <c r="G22">
        <v>48.7</v>
      </c>
      <c r="H22">
        <f t="shared" si="0"/>
        <v>48.7</v>
      </c>
      <c r="I22">
        <f>(H22/'Figure 9  Leading Mediacos'!$I$28)*100</f>
        <v>0.25034296214737306</v>
      </c>
    </row>
    <row r="23" spans="1:9">
      <c r="A23" t="s">
        <v>136</v>
      </c>
      <c r="F23">
        <v>46.080049144761816</v>
      </c>
      <c r="H23">
        <f t="shared" si="0"/>
        <v>46.080049144761816</v>
      </c>
      <c r="I23">
        <f>(H23/'Figure 9  Leading Mediacos'!$I$28)*100</f>
        <v>0.23687507184386442</v>
      </c>
    </row>
    <row r="24" spans="1:9">
      <c r="A24" t="s">
        <v>137</v>
      </c>
      <c r="F24">
        <v>42.559199999999997</v>
      </c>
      <c r="H24">
        <f t="shared" si="0"/>
        <v>42.559199999999997</v>
      </c>
      <c r="I24">
        <f>(H24/'Figure 9  Leading Mediacos'!$I$28)*100</f>
        <v>0.21877610255898314</v>
      </c>
    </row>
    <row r="25" spans="1:9">
      <c r="A25" t="s">
        <v>138</v>
      </c>
      <c r="B25">
        <v>35</v>
      </c>
      <c r="E25">
        <v>5.0999999999999996</v>
      </c>
      <c r="H25">
        <f t="shared" si="0"/>
        <v>40.1</v>
      </c>
      <c r="I25">
        <f>(H25/'Figure 9  Leading Mediacos'!$I$28)*100</f>
        <v>0.20613455404742631</v>
      </c>
    </row>
    <row r="26" spans="1:9">
      <c r="A26" t="s">
        <v>139</v>
      </c>
      <c r="F26">
        <v>38.125949999999996</v>
      </c>
      <c r="H26">
        <f t="shared" si="0"/>
        <v>38.125949999999996</v>
      </c>
      <c r="I26">
        <f>(H26/'Figure 9  Leading Mediacos'!$I$28)*100</f>
        <v>0.19598692520908906</v>
      </c>
    </row>
    <row r="27" spans="1:9">
      <c r="A27" t="s">
        <v>150</v>
      </c>
      <c r="B27">
        <v>30.7</v>
      </c>
      <c r="H27">
        <f t="shared" si="0"/>
        <v>30.7</v>
      </c>
      <c r="I27">
        <f>(H27/'Figure 9  Leading Mediacos'!$I$28)*100</f>
        <v>0.1578137358916705</v>
      </c>
    </row>
    <row r="28" spans="1:9">
      <c r="A28" t="s">
        <v>141</v>
      </c>
      <c r="B28">
        <v>716.3</v>
      </c>
      <c r="C28">
        <v>1459.3229999999999</v>
      </c>
      <c r="D28">
        <v>93.8</v>
      </c>
      <c r="E28">
        <v>769.2</v>
      </c>
      <c r="F28">
        <v>2190</v>
      </c>
      <c r="G28">
        <v>771</v>
      </c>
      <c r="H28">
        <f t="shared" si="0"/>
        <v>5999.6229999999996</v>
      </c>
      <c r="I28">
        <f>(H28/'Figure 9  Leading Mediacos'!$I$28)*100</f>
        <v>30.841137445328719</v>
      </c>
    </row>
    <row r="29" spans="1:9">
      <c r="A29" t="s">
        <v>142</v>
      </c>
      <c r="C29">
        <f>C3/C28</f>
        <v>0.5556754741753539</v>
      </c>
      <c r="E29">
        <f>E3/E28</f>
        <v>0.3159126365054602</v>
      </c>
      <c r="I29">
        <f>SUM(I3)</f>
        <v>17.56627041399101</v>
      </c>
    </row>
    <row r="30" spans="1:9">
      <c r="A30" t="s">
        <v>143</v>
      </c>
      <c r="I30">
        <f>SUM(I3:I6)</f>
        <v>35.167888916607609</v>
      </c>
    </row>
    <row r="31" spans="1:9">
      <c r="A31" t="s">
        <v>144</v>
      </c>
      <c r="I31">
        <f>SUM(I3:I12)</f>
        <v>41.413430824043544</v>
      </c>
    </row>
    <row r="32" spans="1:9">
      <c r="A32" t="s">
        <v>145</v>
      </c>
      <c r="I32">
        <f>SUM((I6,I8,I13,I19,I25))</f>
        <v>4.7380104355489481</v>
      </c>
    </row>
    <row r="33" spans="1:9">
      <c r="A33" t="s">
        <v>146</v>
      </c>
      <c r="I33">
        <f>SUMSQ(I3:I27)</f>
        <v>447.9178333890963</v>
      </c>
    </row>
    <row r="34" spans="1:9">
      <c r="A34" t="s">
        <v>147</v>
      </c>
      <c r="I34">
        <v>2001.0029252671377</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7EE59-B19A-D945-81F0-E7D48B3A304B}">
  <sheetPr>
    <pageSetUpPr fitToPage="1"/>
  </sheetPr>
  <dimension ref="A1:K70"/>
  <sheetViews>
    <sheetView zoomScale="40" zoomScaleNormal="40" workbookViewId="0"/>
  </sheetViews>
  <sheetFormatPr baseColWidth="10" defaultColWidth="10.6640625" defaultRowHeight="16"/>
  <sheetData>
    <row r="1" spans="1:11">
      <c r="A1" t="s">
        <v>884</v>
      </c>
    </row>
    <row r="2" spans="1:11">
      <c r="B2" t="s">
        <v>74</v>
      </c>
      <c r="C2" t="s">
        <v>154</v>
      </c>
      <c r="D2" t="s">
        <v>71</v>
      </c>
      <c r="E2" t="s">
        <v>70</v>
      </c>
      <c r="F2" t="s">
        <v>67</v>
      </c>
      <c r="G2" t="s">
        <v>17</v>
      </c>
      <c r="H2" t="s">
        <v>10</v>
      </c>
      <c r="I2" t="s">
        <v>39</v>
      </c>
      <c r="J2" t="s">
        <v>112</v>
      </c>
    </row>
    <row r="3" spans="1:11">
      <c r="A3" t="s">
        <v>113</v>
      </c>
      <c r="B3">
        <v>8874.7000000000007</v>
      </c>
      <c r="I3">
        <v>8874.7000000000007</v>
      </c>
      <c r="J3">
        <f t="shared" ref="J3:J28" si="0">(I3/$I$28)*100</f>
        <v>45.6205069028602</v>
      </c>
      <c r="K3">
        <f>SUMSQ(J3)</f>
        <v>2081.2306500739151</v>
      </c>
    </row>
    <row r="4" spans="1:11">
      <c r="A4" t="s">
        <v>114</v>
      </c>
      <c r="B4">
        <v>1482.3</v>
      </c>
      <c r="I4">
        <v>1482.3</v>
      </c>
      <c r="J4">
        <f t="shared" si="0"/>
        <v>7.6197817821571059</v>
      </c>
      <c r="K4">
        <f t="shared" ref="K4:K27" si="1">SUMSQ(J4)</f>
        <v>58.061074407693319</v>
      </c>
    </row>
    <row r="5" spans="1:11">
      <c r="A5" t="s">
        <v>115</v>
      </c>
      <c r="D5">
        <v>810.91</v>
      </c>
      <c r="F5">
        <v>243</v>
      </c>
      <c r="I5">
        <v>1053.9099999999999</v>
      </c>
      <c r="J5">
        <f t="shared" si="0"/>
        <v>5.4176376023970825</v>
      </c>
      <c r="K5">
        <f t="shared" si="1"/>
        <v>29.350797190906807</v>
      </c>
    </row>
    <row r="6" spans="1:11">
      <c r="A6" t="s">
        <v>116</v>
      </c>
      <c r="B6">
        <v>971.2</v>
      </c>
      <c r="I6">
        <v>971.2</v>
      </c>
      <c r="J6">
        <f t="shared" si="0"/>
        <v>4.9924658077521302</v>
      </c>
      <c r="K6">
        <f t="shared" si="1"/>
        <v>24.924714841574129</v>
      </c>
    </row>
    <row r="7" spans="1:11">
      <c r="A7" t="s">
        <v>117</v>
      </c>
      <c r="G7">
        <v>548.5</v>
      </c>
      <c r="I7">
        <v>548.5</v>
      </c>
      <c r="J7">
        <f t="shared" si="0"/>
        <v>2.8195711445140477</v>
      </c>
      <c r="K7">
        <f t="shared" si="1"/>
        <v>7.9499814389762564</v>
      </c>
    </row>
    <row r="8" spans="1:11">
      <c r="A8" t="s">
        <v>153</v>
      </c>
      <c r="G8">
        <v>390.61200000000002</v>
      </c>
      <c r="I8">
        <v>390.61200000000002</v>
      </c>
      <c r="J8">
        <f t="shared" si="0"/>
        <v>2.0079458958995833</v>
      </c>
      <c r="K8">
        <f t="shared" si="1"/>
        <v>4.0318467208599804</v>
      </c>
    </row>
    <row r="9" spans="1:11">
      <c r="A9" t="s">
        <v>118</v>
      </c>
      <c r="B9">
        <v>382.7</v>
      </c>
      <c r="I9">
        <v>382.7</v>
      </c>
      <c r="J9">
        <f t="shared" si="0"/>
        <v>1.9672741604476316</v>
      </c>
      <c r="K9">
        <f t="shared" si="1"/>
        <v>3.8701676223649337</v>
      </c>
    </row>
    <row r="10" spans="1:11">
      <c r="A10" t="s">
        <v>119</v>
      </c>
      <c r="C10">
        <v>47.4</v>
      </c>
      <c r="D10">
        <v>34.750699999999995</v>
      </c>
      <c r="F10">
        <v>17.349300000000003</v>
      </c>
      <c r="G10">
        <v>153.69999999999999</v>
      </c>
      <c r="H10">
        <v>125.9</v>
      </c>
      <c r="I10">
        <v>379.1</v>
      </c>
      <c r="J10">
        <f t="shared" si="0"/>
        <v>1.9487683151964914</v>
      </c>
      <c r="K10">
        <f t="shared" si="1"/>
        <v>3.7976979463137717</v>
      </c>
    </row>
    <row r="11" spans="1:11">
      <c r="A11" t="s">
        <v>120</v>
      </c>
      <c r="G11">
        <v>315.47031579968257</v>
      </c>
      <c r="I11">
        <v>315.47031579968257</v>
      </c>
      <c r="J11">
        <f t="shared" si="0"/>
        <v>1.6216791237548205</v>
      </c>
      <c r="K11">
        <f t="shared" si="1"/>
        <v>2.6298431804222022</v>
      </c>
    </row>
    <row r="12" spans="1:11">
      <c r="A12" t="s">
        <v>121</v>
      </c>
      <c r="C12">
        <v>181.4</v>
      </c>
      <c r="D12">
        <v>15.7</v>
      </c>
      <c r="E12">
        <v>93.1</v>
      </c>
      <c r="F12">
        <v>23</v>
      </c>
      <c r="I12">
        <v>313.2</v>
      </c>
      <c r="J12">
        <f t="shared" si="0"/>
        <v>1.6100085368492247</v>
      </c>
      <c r="K12">
        <f t="shared" si="1"/>
        <v>2.5921274887273813</v>
      </c>
    </row>
    <row r="13" spans="1:11">
      <c r="A13" t="s">
        <v>151</v>
      </c>
      <c r="B13">
        <v>282.2</v>
      </c>
      <c r="I13">
        <v>282.2</v>
      </c>
      <c r="J13">
        <f t="shared" si="0"/>
        <v>1.4506526471866259</v>
      </c>
      <c r="K13">
        <f t="shared" si="1"/>
        <v>2.1043931027895653</v>
      </c>
    </row>
    <row r="14" spans="1:11">
      <c r="A14" t="s">
        <v>152</v>
      </c>
      <c r="B14">
        <v>272.60000000000002</v>
      </c>
      <c r="I14">
        <v>272.60000000000002</v>
      </c>
      <c r="J14">
        <f t="shared" si="0"/>
        <v>1.4013037265169179</v>
      </c>
      <c r="K14">
        <f t="shared" si="1"/>
        <v>1.9636521339502011</v>
      </c>
    </row>
    <row r="15" spans="1:11">
      <c r="A15" t="s">
        <v>122</v>
      </c>
      <c r="B15">
        <v>229.6</v>
      </c>
      <c r="I15">
        <v>229.6</v>
      </c>
      <c r="J15">
        <f t="shared" si="0"/>
        <v>1.1802616860171837</v>
      </c>
      <c r="K15">
        <f t="shared" si="1"/>
        <v>1.3930176474801252</v>
      </c>
    </row>
    <row r="16" spans="1:11">
      <c r="A16" t="s">
        <v>123</v>
      </c>
      <c r="G16">
        <v>150.73050000000001</v>
      </c>
      <c r="H16">
        <v>36</v>
      </c>
      <c r="I16">
        <v>186.73050000000001</v>
      </c>
      <c r="J16">
        <f t="shared" si="0"/>
        <v>0.95989048240780384</v>
      </c>
      <c r="K16">
        <f t="shared" si="1"/>
        <v>0.92138973821708636</v>
      </c>
    </row>
    <row r="17" spans="1:11">
      <c r="A17" t="s">
        <v>124</v>
      </c>
      <c r="D17">
        <v>147.744</v>
      </c>
      <c r="I17">
        <v>147.744</v>
      </c>
      <c r="J17">
        <f t="shared" si="0"/>
        <v>0.75947988910680675</v>
      </c>
      <c r="K17">
        <f t="shared" si="1"/>
        <v>0.57680970195768744</v>
      </c>
    </row>
    <row r="18" spans="1:11">
      <c r="A18" t="s">
        <v>125</v>
      </c>
      <c r="G18">
        <v>127.02000000000001</v>
      </c>
      <c r="I18">
        <v>127.02000000000001</v>
      </c>
      <c r="J18">
        <f t="shared" si="0"/>
        <v>0.6529479066110746</v>
      </c>
      <c r="K18">
        <f t="shared" si="1"/>
        <v>0.4263409687477846</v>
      </c>
    </row>
    <row r="19" spans="1:11">
      <c r="A19" t="s">
        <v>126</v>
      </c>
      <c r="B19">
        <v>127</v>
      </c>
      <c r="I19">
        <v>127</v>
      </c>
      <c r="J19">
        <f t="shared" si="0"/>
        <v>0.65284509635967924</v>
      </c>
      <c r="K19">
        <f t="shared" si="1"/>
        <v>0.42620671984087888</v>
      </c>
    </row>
    <row r="20" spans="1:11">
      <c r="A20" t="s">
        <v>127</v>
      </c>
      <c r="F20">
        <v>22.8</v>
      </c>
      <c r="H20">
        <v>102</v>
      </c>
      <c r="I20">
        <v>124.8</v>
      </c>
      <c r="J20">
        <f t="shared" si="0"/>
        <v>0.64153596870620455</v>
      </c>
      <c r="K20">
        <f t="shared" si="1"/>
        <v>0.41156839914380827</v>
      </c>
    </row>
    <row r="21" spans="1:11">
      <c r="A21" t="s">
        <v>128</v>
      </c>
      <c r="C21">
        <v>20.9</v>
      </c>
      <c r="D21">
        <v>69.900000000000006</v>
      </c>
      <c r="F21">
        <v>24.2</v>
      </c>
      <c r="I21">
        <v>115.00000000000001</v>
      </c>
      <c r="J21">
        <f t="shared" si="0"/>
        <v>0.59115894552254422</v>
      </c>
      <c r="K21">
        <f t="shared" si="1"/>
        <v>0.34946889887132643</v>
      </c>
    </row>
    <row r="22" spans="1:11">
      <c r="A22" t="s">
        <v>129</v>
      </c>
      <c r="D22">
        <v>73.900000000000006</v>
      </c>
      <c r="F22">
        <v>30.2</v>
      </c>
      <c r="I22">
        <v>104.10000000000001</v>
      </c>
      <c r="J22">
        <f t="shared" si="0"/>
        <v>0.53512735851214666</v>
      </c>
      <c r="K22">
        <f t="shared" si="1"/>
        <v>0.28636128982818754</v>
      </c>
    </row>
    <row r="23" spans="1:11">
      <c r="A23" t="s">
        <v>148</v>
      </c>
      <c r="D23">
        <v>89.3</v>
      </c>
      <c r="I23">
        <v>89.3</v>
      </c>
      <c r="J23">
        <f t="shared" si="0"/>
        <v>0.45904777247967998</v>
      </c>
      <c r="K23">
        <f t="shared" si="1"/>
        <v>0.21072485741855604</v>
      </c>
    </row>
    <row r="24" spans="1:11">
      <c r="A24" t="s">
        <v>130</v>
      </c>
      <c r="D24">
        <v>84.8</v>
      </c>
      <c r="I24">
        <v>84.8</v>
      </c>
      <c r="J24">
        <f t="shared" si="0"/>
        <v>0.43591546591575431</v>
      </c>
      <c r="K24">
        <f t="shared" si="1"/>
        <v>0.19002229342454915</v>
      </c>
    </row>
    <row r="25" spans="1:11">
      <c r="A25" t="s">
        <v>149</v>
      </c>
      <c r="D25">
        <v>58.4</v>
      </c>
      <c r="F25">
        <v>23.9</v>
      </c>
      <c r="I25">
        <v>82.3</v>
      </c>
      <c r="J25">
        <f t="shared" si="0"/>
        <v>0.42306418449135119</v>
      </c>
      <c r="K25">
        <f t="shared" si="1"/>
        <v>0.17898330419933203</v>
      </c>
    </row>
    <row r="26" spans="1:11">
      <c r="A26" t="s">
        <v>131</v>
      </c>
      <c r="F26">
        <v>80</v>
      </c>
      <c r="I26">
        <v>80</v>
      </c>
      <c r="J26">
        <f t="shared" si="0"/>
        <v>0.41124100558090027</v>
      </c>
      <c r="K26">
        <f t="shared" si="1"/>
        <v>0.16911916467119004</v>
      </c>
    </row>
    <row r="27" spans="1:11">
      <c r="A27" t="s">
        <v>132</v>
      </c>
      <c r="C27">
        <v>18.899999999999999</v>
      </c>
      <c r="D27">
        <v>55.4</v>
      </c>
      <c r="I27">
        <v>74.3</v>
      </c>
      <c r="J27">
        <f t="shared" si="0"/>
        <v>0.38194008393326112</v>
      </c>
      <c r="K27">
        <f t="shared" si="1"/>
        <v>0.14587822771494655</v>
      </c>
    </row>
    <row r="28" spans="1:11">
      <c r="A28" t="s">
        <v>141</v>
      </c>
      <c r="B28">
        <v>12787</v>
      </c>
      <c r="C28">
        <v>716.3</v>
      </c>
      <c r="D28">
        <v>1459.3229999999999</v>
      </c>
      <c r="E28">
        <v>93.8</v>
      </c>
      <c r="F28">
        <v>769.2</v>
      </c>
      <c r="G28">
        <v>2190</v>
      </c>
      <c r="H28">
        <v>771</v>
      </c>
      <c r="I28">
        <v>19453.312999999998</v>
      </c>
      <c r="J28">
        <f t="shared" si="0"/>
        <v>100</v>
      </c>
      <c r="K28">
        <f t="shared" ref="K28" si="2">SUMSQ(J28)</f>
        <v>10000</v>
      </c>
    </row>
    <row r="29" spans="1:11">
      <c r="A29" t="s">
        <v>142</v>
      </c>
      <c r="J29">
        <f>SUM(J3)</f>
        <v>45.6205069028602</v>
      </c>
    </row>
    <row r="30" spans="1:11">
      <c r="A30" t="s">
        <v>143</v>
      </c>
      <c r="C30">
        <f>C10+C12+C21+C27</f>
        <v>268.60000000000002</v>
      </c>
      <c r="I30">
        <f>I10+I12+I21+I27</f>
        <v>881.59999999999991</v>
      </c>
      <c r="J30">
        <f>SUM(J3:J6)</f>
        <v>63.650392095166517</v>
      </c>
    </row>
    <row r="31" spans="1:11">
      <c r="A31" t="s">
        <v>144</v>
      </c>
      <c r="C31">
        <f>C30/C28</f>
        <v>0.37498254921122443</v>
      </c>
      <c r="I31">
        <f>I30/I28</f>
        <v>4.5318758815015209E-2</v>
      </c>
      <c r="J31">
        <f>SUM(J3:J12)</f>
        <v>75.625639271828305</v>
      </c>
    </row>
    <row r="32" spans="1:11">
      <c r="A32" t="s">
        <v>145</v>
      </c>
      <c r="J32">
        <f>SUM(J10,J12,J21,J27)</f>
        <v>4.5318758815015219</v>
      </c>
    </row>
    <row r="33" spans="1:10">
      <c r="A33" t="s">
        <v>146</v>
      </c>
      <c r="J33">
        <f>SUMSQ(J3:J27)</f>
        <v>2228.192837360009</v>
      </c>
    </row>
    <row r="34" spans="1:10">
      <c r="A34" t="s">
        <v>147</v>
      </c>
      <c r="J34">
        <v>3924.5</v>
      </c>
    </row>
    <row r="70" spans="10:10">
      <c r="J70">
        <f>SUMSQ('Figure 8 Leading BC&amp;Pubs'!I28)</f>
        <v>951.17575892165735</v>
      </c>
    </row>
  </sheetData>
  <pageMargins left="0.7" right="0.7" top="0.75" bottom="0.75" header="0.3" footer="0.3"/>
  <pageSetup scale="96" orientation="landscape" horizontalDpi="0" verticalDpi="0"/>
  <headerFooter>
    <oddHeader>&amp;R&amp;"Calibri"&amp;12&amp;K000000 Unclassified / Non classifié&amp;1#_x000D_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2A007-3B1D-5945-A71A-B84AE3220B33}">
  <dimension ref="A1:D16"/>
  <sheetViews>
    <sheetView zoomScale="70" zoomScaleNormal="70" workbookViewId="0"/>
  </sheetViews>
  <sheetFormatPr baseColWidth="10" defaultColWidth="10.6640625" defaultRowHeight="16"/>
  <cols>
    <col min="1" max="1" width="28.5" customWidth="1"/>
    <col min="2" max="2" width="14.6640625" customWidth="1"/>
    <col min="3" max="3" width="13.83203125" customWidth="1"/>
    <col min="4" max="4" width="13.1640625" customWidth="1"/>
  </cols>
  <sheetData>
    <row r="1" spans="1:4" ht="17" customHeight="1">
      <c r="A1" t="s">
        <v>564</v>
      </c>
    </row>
    <row r="2" spans="1:4" ht="21" customHeight="1">
      <c r="B2">
        <v>1969</v>
      </c>
      <c r="C2">
        <v>1984</v>
      </c>
      <c r="D2">
        <v>1996</v>
      </c>
    </row>
    <row r="3" spans="1:4" ht="15" customHeight="1">
      <c r="A3" t="s">
        <v>74</v>
      </c>
      <c r="B3">
        <v>1404.3</v>
      </c>
      <c r="C3">
        <v>12787</v>
      </c>
      <c r="D3">
        <v>17900</v>
      </c>
    </row>
    <row r="4" spans="1:4">
      <c r="A4" t="s">
        <v>81</v>
      </c>
      <c r="B4">
        <v>37.4</v>
      </c>
      <c r="C4">
        <v>716.3</v>
      </c>
      <c r="D4">
        <v>2677.4</v>
      </c>
    </row>
    <row r="5" spans="1:4">
      <c r="A5" t="s">
        <v>75</v>
      </c>
      <c r="D5">
        <v>2190.2999999999997</v>
      </c>
    </row>
    <row r="6" spans="1:4">
      <c r="A6" t="s">
        <v>73</v>
      </c>
      <c r="D6">
        <v>239</v>
      </c>
    </row>
    <row r="7" spans="1:4">
      <c r="A7" t="s">
        <v>71</v>
      </c>
      <c r="B7">
        <v>245.52500000000001</v>
      </c>
      <c r="C7">
        <v>1459.3229999999999</v>
      </c>
      <c r="D7">
        <v>2471.192</v>
      </c>
    </row>
    <row r="8" spans="1:4">
      <c r="A8" t="s">
        <v>70</v>
      </c>
      <c r="C8">
        <v>93.8</v>
      </c>
      <c r="D8">
        <v>664.48</v>
      </c>
    </row>
    <row r="9" spans="1:4">
      <c r="A9" t="s">
        <v>67</v>
      </c>
      <c r="B9">
        <v>146.875</v>
      </c>
      <c r="C9">
        <v>769.2</v>
      </c>
      <c r="D9">
        <v>1043.4000000000001</v>
      </c>
    </row>
    <row r="10" spans="1:4">
      <c r="A10" t="s">
        <v>17</v>
      </c>
      <c r="B10">
        <v>112.2</v>
      </c>
      <c r="C10">
        <v>2190</v>
      </c>
      <c r="D10">
        <v>3310</v>
      </c>
    </row>
    <row r="11" spans="1:4">
      <c r="A11" t="s">
        <v>10</v>
      </c>
      <c r="B11">
        <v>114.7</v>
      </c>
      <c r="C11">
        <v>771</v>
      </c>
      <c r="D11">
        <v>1011.2</v>
      </c>
    </row>
    <row r="12" spans="1:4">
      <c r="A12" t="s">
        <v>76</v>
      </c>
      <c r="B12">
        <v>199.98</v>
      </c>
      <c r="C12">
        <v>666.69</v>
      </c>
      <c r="D12">
        <v>1626.73</v>
      </c>
    </row>
    <row r="13" spans="1:4">
      <c r="A13" t="s">
        <v>39</v>
      </c>
      <c r="B13">
        <f>SUM(B3:B12)</f>
        <v>2260.98</v>
      </c>
      <c r="C13">
        <f>SUM(C3:C12)</f>
        <v>19453.312999999998</v>
      </c>
      <c r="D13">
        <f>SUM(D3:D12)</f>
        <v>33133.702000000005</v>
      </c>
    </row>
    <row r="14" spans="1:4">
      <c r="A14" t="s">
        <v>78</v>
      </c>
      <c r="B14">
        <v>86430</v>
      </c>
      <c r="C14">
        <v>461986</v>
      </c>
      <c r="D14">
        <v>859834</v>
      </c>
    </row>
    <row r="15" spans="1:4">
      <c r="A15" t="s">
        <v>80</v>
      </c>
      <c r="B15">
        <f>B13/B14</f>
        <v>2.6159666782367235E-2</v>
      </c>
      <c r="C15">
        <f>C13/C14</f>
        <v>4.2108014095665232E-2</v>
      </c>
      <c r="D15">
        <f>D13/D14</f>
        <v>3.8534998616011937E-2</v>
      </c>
    </row>
    <row r="16" spans="1:4" ht="23" customHeight="1"/>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5EC27-60AA-BD44-965E-6073EF2DAC92}">
  <dimension ref="A1:A30"/>
  <sheetViews>
    <sheetView zoomScale="40" zoomScaleNormal="40" workbookViewId="0"/>
  </sheetViews>
  <sheetFormatPr baseColWidth="10" defaultColWidth="11" defaultRowHeight="16"/>
  <cols>
    <col min="1" max="1" width="104.6640625" customWidth="1"/>
    <col min="2" max="2" width="15.83203125" customWidth="1"/>
  </cols>
  <sheetData>
    <row r="1" spans="1:1">
      <c r="A1" t="s">
        <v>565</v>
      </c>
    </row>
    <row r="2" spans="1:1" ht="30" customHeight="1">
      <c r="A2" t="s">
        <v>111</v>
      </c>
    </row>
    <row r="3" spans="1:1" ht="30" customHeight="1">
      <c r="A3" t="s">
        <v>110</v>
      </c>
    </row>
    <row r="4" spans="1:1" ht="30" customHeight="1">
      <c r="A4" t="s">
        <v>382</v>
      </c>
    </row>
    <row r="5" spans="1:1" ht="30" customHeight="1">
      <c r="A5" t="s">
        <v>109</v>
      </c>
    </row>
    <row r="6" spans="1:1" ht="30" customHeight="1">
      <c r="A6" t="s">
        <v>108</v>
      </c>
    </row>
    <row r="7" spans="1:1" ht="30" customHeight="1">
      <c r="A7" t="s">
        <v>107</v>
      </c>
    </row>
    <row r="8" spans="1:1" ht="30" customHeight="1">
      <c r="A8" t="s">
        <v>106</v>
      </c>
    </row>
    <row r="9" spans="1:1" ht="30" customHeight="1">
      <c r="A9" t="s">
        <v>105</v>
      </c>
    </row>
    <row r="10" spans="1:1" ht="30" customHeight="1">
      <c r="A10" t="s">
        <v>104</v>
      </c>
    </row>
    <row r="11" spans="1:1" ht="30" customHeight="1">
      <c r="A11" t="s">
        <v>103</v>
      </c>
    </row>
    <row r="12" spans="1:1" ht="30" customHeight="1">
      <c r="A12" t="s">
        <v>102</v>
      </c>
    </row>
    <row r="13" spans="1:1" ht="30" customHeight="1">
      <c r="A13" t="s">
        <v>101</v>
      </c>
    </row>
    <row r="14" spans="1:1" ht="30" customHeight="1">
      <c r="A14" t="s">
        <v>100</v>
      </c>
    </row>
    <row r="15" spans="1:1" ht="30" customHeight="1">
      <c r="A15" t="s">
        <v>99</v>
      </c>
    </row>
    <row r="16" spans="1:1" ht="30" customHeight="1">
      <c r="A16" t="s">
        <v>98</v>
      </c>
    </row>
    <row r="17" spans="1:1" ht="30" customHeight="1">
      <c r="A17" t="s">
        <v>97</v>
      </c>
    </row>
    <row r="18" spans="1:1" ht="30" customHeight="1">
      <c r="A18" t="s">
        <v>96</v>
      </c>
    </row>
    <row r="19" spans="1:1" ht="30" customHeight="1">
      <c r="A19" t="s">
        <v>95</v>
      </c>
    </row>
    <row r="20" spans="1:1" ht="30" customHeight="1">
      <c r="A20" t="s">
        <v>94</v>
      </c>
    </row>
    <row r="21" spans="1:1" ht="30" customHeight="1">
      <c r="A21" t="s">
        <v>93</v>
      </c>
    </row>
    <row r="22" spans="1:1" ht="30" customHeight="1">
      <c r="A22" t="s">
        <v>92</v>
      </c>
    </row>
    <row r="23" spans="1:1" ht="30" customHeight="1">
      <c r="A23" t="s">
        <v>91</v>
      </c>
    </row>
    <row r="24" spans="1:1" ht="30" customHeight="1">
      <c r="A24" t="s">
        <v>90</v>
      </c>
    </row>
    <row r="25" spans="1:1" ht="30" customHeight="1">
      <c r="A25" t="s">
        <v>89</v>
      </c>
    </row>
    <row r="26" spans="1:1" ht="30" customHeight="1">
      <c r="A26" t="s">
        <v>88</v>
      </c>
    </row>
    <row r="27" spans="1:1" ht="30" customHeight="1">
      <c r="A27" t="s">
        <v>87</v>
      </c>
    </row>
    <row r="28" spans="1:1" ht="30" customHeight="1">
      <c r="A28" t="s">
        <v>86</v>
      </c>
    </row>
    <row r="29" spans="1:1" ht="30" customHeight="1">
      <c r="A29" t="s">
        <v>85</v>
      </c>
    </row>
    <row r="30" spans="1:1" ht="30" customHeight="1">
      <c r="A30" t="s">
        <v>84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C5F9-D1F4-6E4F-8DA2-E37ACD8EBF79}">
  <dimension ref="A1:G66"/>
  <sheetViews>
    <sheetView zoomScale="55" zoomScaleNormal="55" workbookViewId="0">
      <selection sqref="A1:F1"/>
    </sheetView>
  </sheetViews>
  <sheetFormatPr baseColWidth="10" defaultColWidth="10.6640625" defaultRowHeight="18"/>
  <cols>
    <col min="1" max="1" width="23" style="2" customWidth="1"/>
    <col min="2" max="2" width="13" style="2" customWidth="1"/>
    <col min="3" max="3" width="6.33203125" style="2" customWidth="1"/>
    <col min="4" max="4" width="21" style="2" customWidth="1"/>
    <col min="5" max="5" width="14.33203125" style="2" customWidth="1"/>
    <col min="6" max="6" width="12" style="2" customWidth="1"/>
    <col min="7" max="7" width="10.83203125" style="2"/>
    <col min="8" max="16384" width="10.6640625" style="3"/>
  </cols>
  <sheetData>
    <row r="1" spans="1:7">
      <c r="A1" s="44" t="s">
        <v>566</v>
      </c>
      <c r="B1" s="45"/>
      <c r="C1" s="45"/>
      <c r="D1" s="45"/>
      <c r="E1" s="45"/>
      <c r="F1" s="45"/>
    </row>
    <row r="2" spans="1:7" ht="38">
      <c r="B2" s="35" t="s">
        <v>155</v>
      </c>
      <c r="C2" s="36"/>
      <c r="D2" s="4"/>
      <c r="E2" s="35" t="s">
        <v>155</v>
      </c>
      <c r="F2" s="5"/>
      <c r="G2" s="5"/>
    </row>
    <row r="3" spans="1:7">
      <c r="A3" s="6" t="s">
        <v>113</v>
      </c>
      <c r="B3" s="7">
        <v>23.035672127064487</v>
      </c>
      <c r="C3" s="8"/>
      <c r="D3" s="9" t="s">
        <v>370</v>
      </c>
      <c r="E3" s="10">
        <v>12.0641134041983</v>
      </c>
    </row>
    <row r="4" spans="1:7">
      <c r="A4" s="6" t="s">
        <v>121</v>
      </c>
      <c r="B4" s="11">
        <v>18.673360646559797</v>
      </c>
      <c r="C4" s="8"/>
      <c r="D4" s="9" t="s">
        <v>178</v>
      </c>
      <c r="E4" s="10">
        <v>10.118347639588668</v>
      </c>
    </row>
    <row r="5" spans="1:7">
      <c r="A5" s="6" t="s">
        <v>156</v>
      </c>
      <c r="B5" s="12">
        <v>15.939196547303553</v>
      </c>
      <c r="C5" s="8"/>
      <c r="D5" s="13" t="s">
        <v>179</v>
      </c>
      <c r="E5" s="10">
        <v>8.2787984498961986</v>
      </c>
    </row>
    <row r="6" spans="1:7">
      <c r="A6" s="6" t="s">
        <v>179</v>
      </c>
      <c r="B6" s="14">
        <v>8.4504314302710082</v>
      </c>
      <c r="C6" s="8"/>
      <c r="D6" s="13" t="s">
        <v>157</v>
      </c>
      <c r="E6" s="10">
        <v>7.4421252655077001</v>
      </c>
    </row>
    <row r="7" spans="1:7">
      <c r="A7" s="6" t="s">
        <v>123</v>
      </c>
      <c r="B7" s="7">
        <v>4.7311176982413476</v>
      </c>
      <c r="C7" s="8"/>
      <c r="D7" s="15" t="s">
        <v>180</v>
      </c>
      <c r="E7" s="10">
        <v>6.7368297955044492</v>
      </c>
    </row>
    <row r="8" spans="1:7">
      <c r="A8" s="6" t="s">
        <v>157</v>
      </c>
      <c r="B8" s="12">
        <v>3.8790580093605835</v>
      </c>
      <c r="C8" s="8"/>
      <c r="D8" s="16" t="s">
        <v>181</v>
      </c>
      <c r="E8" s="17">
        <v>6.6575286747968239</v>
      </c>
    </row>
    <row r="9" spans="1:7">
      <c r="A9" s="6" t="s">
        <v>159</v>
      </c>
      <c r="B9" s="12">
        <v>2.3300498988255489</v>
      </c>
      <c r="C9" s="8"/>
      <c r="D9" s="18" t="s">
        <v>183</v>
      </c>
      <c r="E9" s="10">
        <v>3.8875962921813549</v>
      </c>
    </row>
    <row r="10" spans="1:7">
      <c r="A10" s="6" t="s">
        <v>115</v>
      </c>
      <c r="B10" s="12">
        <v>1.5249840222836255</v>
      </c>
      <c r="C10" s="8"/>
      <c r="D10" s="16" t="s">
        <v>182</v>
      </c>
      <c r="E10" s="17">
        <v>3.755539488218766</v>
      </c>
    </row>
    <row r="11" spans="1:7">
      <c r="A11" s="6" t="s">
        <v>140</v>
      </c>
      <c r="B11" s="12">
        <v>1.4592368061683376</v>
      </c>
      <c r="C11" s="8"/>
      <c r="D11" s="9" t="s">
        <v>159</v>
      </c>
      <c r="E11" s="10">
        <v>3.3185401214349723</v>
      </c>
    </row>
    <row r="12" spans="1:7">
      <c r="A12" s="6" t="s">
        <v>161</v>
      </c>
      <c r="B12" s="7">
        <v>1.4075071193850752</v>
      </c>
      <c r="C12" s="8"/>
      <c r="D12" s="19" t="s">
        <v>372</v>
      </c>
      <c r="E12" s="10">
        <v>2.4426425489338235</v>
      </c>
    </row>
    <row r="13" spans="1:7">
      <c r="A13" s="6" t="s">
        <v>190</v>
      </c>
      <c r="B13" s="12">
        <v>1.2524243605398691</v>
      </c>
      <c r="C13" s="8"/>
      <c r="D13" s="20" t="s">
        <v>371</v>
      </c>
      <c r="E13" s="10">
        <v>1.8748844840333547</v>
      </c>
    </row>
    <row r="14" spans="1:7">
      <c r="A14" s="6" t="s">
        <v>118</v>
      </c>
      <c r="B14" s="12">
        <v>1.2118386317733434</v>
      </c>
      <c r="C14" s="8"/>
      <c r="D14" s="18" t="s">
        <v>184</v>
      </c>
      <c r="E14" s="10">
        <v>1.7829322727509656</v>
      </c>
    </row>
    <row r="15" spans="1:7">
      <c r="A15" s="6" t="s">
        <v>162</v>
      </c>
      <c r="B15" s="12">
        <v>1.2004707517697959</v>
      </c>
      <c r="C15" s="8"/>
      <c r="D15" s="9" t="s">
        <v>373</v>
      </c>
      <c r="E15" s="10">
        <v>1.7235154172444331</v>
      </c>
    </row>
    <row r="16" spans="1:7">
      <c r="A16" s="6" t="s">
        <v>191</v>
      </c>
      <c r="B16" s="12">
        <v>0.88620959263357579</v>
      </c>
      <c r="C16" s="8"/>
      <c r="D16" s="16" t="s">
        <v>163</v>
      </c>
      <c r="E16" s="17">
        <v>1.5304180371833409</v>
      </c>
    </row>
    <row r="17" spans="1:5">
      <c r="A17" s="6" t="s">
        <v>160</v>
      </c>
      <c r="B17" s="12">
        <v>0.868159161430054</v>
      </c>
      <c r="C17" s="8"/>
      <c r="D17" s="13" t="s">
        <v>186</v>
      </c>
      <c r="E17" s="10">
        <v>1.2484800691083342</v>
      </c>
    </row>
    <row r="18" spans="1:5">
      <c r="A18" s="6" t="s">
        <v>166</v>
      </c>
      <c r="B18" s="12">
        <v>0.73844942859613794</v>
      </c>
      <c r="C18" s="8"/>
      <c r="D18" s="18" t="s">
        <v>161</v>
      </c>
      <c r="E18" s="10">
        <v>1.1965366814631868</v>
      </c>
    </row>
    <row r="19" spans="1:5">
      <c r="A19" s="6" t="s">
        <v>165</v>
      </c>
      <c r="B19" s="12">
        <v>0.6238865227659971</v>
      </c>
      <c r="C19" s="8"/>
      <c r="D19" s="18" t="s">
        <v>164</v>
      </c>
      <c r="E19" s="10">
        <v>1.1856207518212898</v>
      </c>
    </row>
    <row r="20" spans="1:5">
      <c r="A20" s="6" t="s">
        <v>192</v>
      </c>
      <c r="B20" s="12">
        <v>0.5043914935346866</v>
      </c>
      <c r="C20" s="8"/>
      <c r="D20" s="9" t="s">
        <v>185</v>
      </c>
      <c r="E20" s="10">
        <v>0.80724596937046555</v>
      </c>
    </row>
    <row r="21" spans="1:5">
      <c r="A21" s="6" t="s">
        <v>158</v>
      </c>
      <c r="B21" s="12">
        <v>0.50099008793964017</v>
      </c>
      <c r="C21" s="8"/>
      <c r="D21" s="13" t="s">
        <v>165</v>
      </c>
      <c r="E21" s="10">
        <v>0.7848482021055555</v>
      </c>
    </row>
    <row r="22" spans="1:5">
      <c r="A22" s="6" t="s">
        <v>168</v>
      </c>
      <c r="B22" s="12">
        <v>0.48481867703353387</v>
      </c>
      <c r="C22" s="8"/>
      <c r="D22" s="9" t="s">
        <v>187</v>
      </c>
      <c r="E22" s="10">
        <v>0.71718998513864696</v>
      </c>
    </row>
    <row r="23" spans="1:5">
      <c r="A23" s="6" t="s">
        <v>167</v>
      </c>
      <c r="B23" s="21">
        <v>0.43239197636326326</v>
      </c>
      <c r="C23" s="8"/>
      <c r="D23" s="9" t="s">
        <v>162</v>
      </c>
      <c r="E23" s="10">
        <v>0.69597975400641732</v>
      </c>
    </row>
    <row r="24" spans="1:5">
      <c r="A24" s="6" t="s">
        <v>193</v>
      </c>
      <c r="B24" s="21">
        <v>0.4207359474021774</v>
      </c>
      <c r="C24" s="8"/>
      <c r="D24" s="9" t="s">
        <v>188</v>
      </c>
      <c r="E24" s="10">
        <v>0.63324928961353455</v>
      </c>
    </row>
    <row r="25" spans="1:5">
      <c r="A25" s="6" t="s">
        <v>194</v>
      </c>
      <c r="B25" s="21">
        <v>0.47595066293303312</v>
      </c>
      <c r="C25" s="8"/>
      <c r="D25" s="9" t="s">
        <v>374</v>
      </c>
      <c r="E25" s="10">
        <v>0.42721699435945576</v>
      </c>
    </row>
    <row r="26" spans="1:5">
      <c r="A26" s="6" t="s">
        <v>195</v>
      </c>
      <c r="B26" s="21">
        <v>0.38358091022197677</v>
      </c>
      <c r="C26" s="8"/>
      <c r="D26" s="22" t="s">
        <v>189</v>
      </c>
      <c r="E26" s="10">
        <v>0.37532758562943019</v>
      </c>
    </row>
    <row r="27" spans="1:5">
      <c r="A27" s="6" t="s">
        <v>169</v>
      </c>
      <c r="B27" s="21">
        <v>0.30150323226989589</v>
      </c>
      <c r="C27" s="8"/>
      <c r="D27" s="9" t="s">
        <v>375</v>
      </c>
      <c r="E27" s="10">
        <v>0.37326942183349426</v>
      </c>
    </row>
    <row r="28" spans="1:5">
      <c r="A28" s="6"/>
      <c r="B28" s="21"/>
      <c r="C28" s="8"/>
    </row>
    <row r="29" spans="1:5" ht="38">
      <c r="A29" s="37" t="s">
        <v>170</v>
      </c>
      <c r="B29" s="23">
        <v>108141.46088760025</v>
      </c>
      <c r="C29" s="24"/>
      <c r="D29" s="38" t="s">
        <v>171</v>
      </c>
      <c r="E29" s="9">
        <v>1550260.871511</v>
      </c>
    </row>
    <row r="30" spans="1:5">
      <c r="A30" s="6" t="s">
        <v>196</v>
      </c>
      <c r="B30" s="26">
        <v>23.035672127064487</v>
      </c>
      <c r="C30" s="24"/>
      <c r="D30" s="6" t="s">
        <v>172</v>
      </c>
      <c r="E30" s="27">
        <f>E3</f>
        <v>12.0641134041983</v>
      </c>
    </row>
    <row r="31" spans="1:5">
      <c r="A31" s="6" t="s">
        <v>197</v>
      </c>
      <c r="B31" s="26">
        <v>66.09866075119885</v>
      </c>
      <c r="C31" s="24"/>
      <c r="D31" s="6" t="s">
        <v>173</v>
      </c>
      <c r="E31" s="27">
        <f>SUM(E3,E4,E5,E6)</f>
        <v>37.903384759190864</v>
      </c>
    </row>
    <row r="32" spans="1:5">
      <c r="A32" s="6" t="s">
        <v>198</v>
      </c>
      <c r="B32" s="26">
        <v>82.683038666003227</v>
      </c>
      <c r="C32" s="24"/>
      <c r="D32" s="6" t="s">
        <v>174</v>
      </c>
      <c r="E32" s="27">
        <f>SUM(E31,E7,E8,E9,E10,E11,E12)</f>
        <v>64.702061680261053</v>
      </c>
    </row>
    <row r="33" spans="1:7">
      <c r="A33" s="6" t="s">
        <v>199</v>
      </c>
      <c r="B33" s="26">
        <v>46.440150471865635</v>
      </c>
      <c r="C33" s="24"/>
      <c r="D33" s="6" t="s">
        <v>175</v>
      </c>
      <c r="E33" s="27">
        <f>E8+E10+E16</f>
        <v>11.943486200198929</v>
      </c>
    </row>
    <row r="34" spans="1:7">
      <c r="A34" s="6" t="s">
        <v>176</v>
      </c>
      <c r="B34" s="24">
        <v>18.14</v>
      </c>
      <c r="C34" s="24"/>
      <c r="D34" s="6" t="s">
        <v>176</v>
      </c>
      <c r="E34" s="27">
        <v>18.322265798041446</v>
      </c>
    </row>
    <row r="35" spans="1:7">
      <c r="A35" s="6" t="s">
        <v>200</v>
      </c>
      <c r="B35" s="28">
        <v>1263.2836640253688</v>
      </c>
      <c r="C35" s="24"/>
      <c r="D35" s="6" t="s">
        <v>201</v>
      </c>
      <c r="E35" s="27">
        <v>524.15</v>
      </c>
    </row>
    <row r="36" spans="1:7">
      <c r="A36" s="24" t="s">
        <v>202</v>
      </c>
      <c r="B36" s="6">
        <v>2500.5</v>
      </c>
      <c r="C36" s="24"/>
      <c r="D36" s="24" t="s">
        <v>203</v>
      </c>
      <c r="E36" s="24">
        <v>630.87</v>
      </c>
    </row>
    <row r="38" spans="1:7">
      <c r="A38" s="30"/>
      <c r="B38" s="31"/>
      <c r="C38" s="30"/>
    </row>
    <row r="39" spans="1:7">
      <c r="A39" s="3"/>
      <c r="B39" s="32"/>
      <c r="C39" s="33"/>
    </row>
    <row r="40" spans="1:7" ht="16">
      <c r="A40" s="6"/>
      <c r="B40" s="3"/>
      <c r="C40" s="3"/>
      <c r="D40" s="3"/>
      <c r="E40" s="3"/>
      <c r="F40" s="3"/>
      <c r="G40" s="3"/>
    </row>
    <row r="41" spans="1:7" ht="16">
      <c r="A41" s="6"/>
      <c r="B41" s="3"/>
      <c r="C41" s="3"/>
      <c r="D41" s="3"/>
      <c r="E41" s="3"/>
      <c r="F41" s="3"/>
      <c r="G41" s="3"/>
    </row>
    <row r="42" spans="1:7" ht="16">
      <c r="A42" s="6"/>
      <c r="B42" s="3"/>
      <c r="C42" s="3"/>
      <c r="D42" s="3"/>
      <c r="E42" s="3"/>
      <c r="F42" s="3"/>
      <c r="G42" s="3"/>
    </row>
    <row r="43" spans="1:7" ht="16">
      <c r="A43" s="34"/>
      <c r="B43" s="3"/>
      <c r="C43" s="3"/>
      <c r="D43" s="3"/>
      <c r="E43" s="3"/>
      <c r="F43" s="3"/>
      <c r="G43" s="3"/>
    </row>
    <row r="44" spans="1:7" ht="16">
      <c r="A44" s="6"/>
      <c r="B44" s="3"/>
      <c r="C44" s="3"/>
      <c r="D44" s="3"/>
      <c r="E44" s="3"/>
      <c r="F44" s="3"/>
      <c r="G44" s="3"/>
    </row>
    <row r="45" spans="1:7" ht="16">
      <c r="A45" s="6"/>
      <c r="B45" s="3"/>
      <c r="C45" s="3"/>
      <c r="D45" s="3"/>
      <c r="E45" s="3"/>
      <c r="F45" s="3"/>
      <c r="G45" s="3"/>
    </row>
    <row r="46" spans="1:7" ht="16">
      <c r="A46" s="29"/>
      <c r="B46" s="3"/>
      <c r="C46" s="3"/>
      <c r="D46" s="3"/>
      <c r="E46" s="3"/>
      <c r="F46" s="3"/>
      <c r="G46" s="3"/>
    </row>
    <row r="47" spans="1:7" ht="16">
      <c r="A47" s="29"/>
      <c r="B47" s="3"/>
      <c r="C47" s="3"/>
      <c r="D47" s="3"/>
      <c r="E47" s="3"/>
      <c r="F47" s="3"/>
      <c r="G47" s="3"/>
    </row>
    <row r="48" spans="1:7" ht="16">
      <c r="A48" s="29"/>
      <c r="B48" s="3"/>
      <c r="C48" s="3"/>
      <c r="D48" s="3"/>
      <c r="E48" s="3"/>
      <c r="F48" s="3"/>
      <c r="G48" s="3"/>
    </row>
    <row r="49" spans="1:7" ht="16">
      <c r="A49" s="29"/>
      <c r="B49" s="3"/>
      <c r="C49" s="3"/>
      <c r="D49" s="3"/>
      <c r="E49" s="3"/>
      <c r="F49" s="3"/>
      <c r="G49" s="3"/>
    </row>
    <row r="50" spans="1:7" ht="16">
      <c r="A50" s="29"/>
      <c r="B50" s="3"/>
      <c r="C50" s="3"/>
      <c r="D50" s="3"/>
      <c r="E50" s="3"/>
      <c r="F50" s="3"/>
      <c r="G50" s="3"/>
    </row>
    <row r="51" spans="1:7" ht="16">
      <c r="A51" s="6"/>
      <c r="B51" s="3"/>
      <c r="C51" s="3"/>
      <c r="D51" s="3"/>
      <c r="E51" s="3"/>
      <c r="F51" s="3"/>
      <c r="G51" s="3"/>
    </row>
    <row r="52" spans="1:7" ht="16">
      <c r="A52" s="25"/>
      <c r="B52" s="3"/>
      <c r="C52" s="3"/>
      <c r="D52" s="3"/>
      <c r="E52" s="3"/>
      <c r="F52" s="3"/>
      <c r="G52" s="3"/>
    </row>
    <row r="53" spans="1:7" ht="16">
      <c r="A53" s="6"/>
      <c r="B53" s="3"/>
      <c r="C53" s="3"/>
      <c r="D53" s="3"/>
      <c r="E53" s="3"/>
      <c r="F53" s="3"/>
      <c r="G53" s="3"/>
    </row>
    <row r="54" spans="1:7" ht="16">
      <c r="A54" s="6"/>
      <c r="B54" s="3"/>
      <c r="C54" s="3"/>
      <c r="D54" s="3"/>
      <c r="E54" s="3"/>
      <c r="F54" s="3"/>
      <c r="G54" s="3"/>
    </row>
    <row r="55" spans="1:7" ht="16">
      <c r="A55" s="6"/>
      <c r="B55" s="3"/>
      <c r="C55" s="3"/>
      <c r="D55" s="3"/>
      <c r="E55" s="3"/>
      <c r="F55" s="3"/>
      <c r="G55" s="3"/>
    </row>
    <row r="56" spans="1:7" ht="16">
      <c r="A56" s="6"/>
      <c r="B56" s="3"/>
      <c r="C56" s="3"/>
      <c r="D56" s="3"/>
      <c r="E56" s="3"/>
      <c r="F56" s="3"/>
      <c r="G56" s="3"/>
    </row>
    <row r="57" spans="1:7" ht="16">
      <c r="A57" s="6"/>
      <c r="B57" s="3"/>
      <c r="C57" s="3"/>
      <c r="D57" s="3"/>
      <c r="E57" s="3"/>
      <c r="F57" s="3"/>
      <c r="G57" s="3"/>
    </row>
    <row r="58" spans="1:7" ht="16">
      <c r="A58" s="6"/>
      <c r="B58" s="3"/>
      <c r="C58" s="3"/>
      <c r="D58" s="3"/>
      <c r="E58" s="3"/>
      <c r="F58" s="3"/>
      <c r="G58" s="3"/>
    </row>
    <row r="59" spans="1:7" ht="16">
      <c r="A59" s="3"/>
      <c r="B59" s="3"/>
      <c r="C59" s="3"/>
      <c r="D59" s="3"/>
      <c r="E59" s="3"/>
      <c r="F59" s="3"/>
      <c r="G59" s="3"/>
    </row>
    <row r="60" spans="1:7" ht="16">
      <c r="A60" s="3"/>
      <c r="B60" s="3"/>
      <c r="C60" s="3"/>
      <c r="D60" s="3"/>
      <c r="E60" s="3"/>
      <c r="F60" s="3"/>
      <c r="G60" s="3"/>
    </row>
    <row r="61" spans="1:7" ht="16">
      <c r="A61" s="3"/>
      <c r="B61" s="3"/>
      <c r="C61" s="3"/>
      <c r="D61" s="3"/>
      <c r="E61" s="3"/>
      <c r="F61" s="3"/>
      <c r="G61" s="3"/>
    </row>
    <row r="62" spans="1:7">
      <c r="B62" s="3"/>
      <c r="C62" s="3"/>
      <c r="D62" s="3"/>
      <c r="E62" s="3"/>
      <c r="F62" s="3"/>
      <c r="G62" s="3"/>
    </row>
    <row r="63" spans="1:7">
      <c r="B63" s="3"/>
      <c r="C63" s="3"/>
      <c r="D63" s="3"/>
      <c r="E63" s="3"/>
      <c r="F63" s="3"/>
      <c r="G63" s="3"/>
    </row>
    <row r="64" spans="1:7">
      <c r="B64" s="3"/>
      <c r="C64" s="3"/>
      <c r="D64" s="3"/>
      <c r="E64" s="3"/>
      <c r="F64" s="3"/>
      <c r="G64" s="3"/>
    </row>
    <row r="65" spans="2:7">
      <c r="B65" s="3"/>
      <c r="C65" s="3"/>
      <c r="D65" s="3"/>
      <c r="E65" s="3"/>
      <c r="F65" s="3"/>
      <c r="G65" s="3"/>
    </row>
    <row r="66" spans="2:7">
      <c r="B66" s="3"/>
      <c r="C66" s="3"/>
      <c r="D66" s="3"/>
      <c r="E66" s="3"/>
      <c r="F66" s="3"/>
      <c r="G66" s="3"/>
    </row>
  </sheetData>
  <mergeCells count="1">
    <mergeCell ref="A1:F1"/>
  </mergeCells>
  <pageMargins left="0.7" right="0.7" top="0.75" bottom="0.75" header="0.3" footer="0.3"/>
  <pageSetup orientation="portrait" horizontalDpi="0" verticalDpi="0"/>
  <headerFooter>
    <oddHeader>&amp;R&amp;"Calibri"&amp;12&amp;K000000 Unclassified / Non classifié&amp;1#_x000D_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E55D-6574-454F-9C51-BCE23CDE98F4}">
  <dimension ref="A1:C6"/>
  <sheetViews>
    <sheetView zoomScale="55" zoomScaleNormal="55" workbookViewId="0"/>
  </sheetViews>
  <sheetFormatPr baseColWidth="10" defaultColWidth="10.6640625" defaultRowHeight="16"/>
  <cols>
    <col min="1" max="1" width="13.33203125" customWidth="1"/>
    <col min="2" max="2" width="14.5" customWidth="1"/>
    <col min="3" max="3" width="15.1640625" customWidth="1"/>
    <col min="4" max="4" width="14.1640625" customWidth="1"/>
    <col min="5" max="5" width="21.83203125" customWidth="1"/>
    <col min="6" max="7" width="21.1640625" customWidth="1"/>
  </cols>
  <sheetData>
    <row r="1" spans="1:3" ht="20.5" customHeight="1">
      <c r="A1" t="s">
        <v>567</v>
      </c>
    </row>
    <row r="2" spans="1:3">
      <c r="B2" t="s">
        <v>204</v>
      </c>
      <c r="C2" t="s">
        <v>177</v>
      </c>
    </row>
    <row r="3" spans="1:3">
      <c r="A3" t="s">
        <v>123</v>
      </c>
      <c r="B3">
        <v>0.86001606163436262</v>
      </c>
      <c r="C3">
        <v>0.13998393836563733</v>
      </c>
    </row>
    <row r="4" spans="1:3">
      <c r="A4" t="s">
        <v>113</v>
      </c>
      <c r="B4">
        <v>0.88185584326618527</v>
      </c>
      <c r="C4">
        <v>0.11814415673381481</v>
      </c>
    </row>
    <row r="5" spans="1:3">
      <c r="A5" t="s">
        <v>121</v>
      </c>
      <c r="B5">
        <v>0.92315329897103771</v>
      </c>
      <c r="C5">
        <v>7.6846701028962336E-2</v>
      </c>
    </row>
    <row r="6" spans="1:3">
      <c r="A6" t="s">
        <v>140</v>
      </c>
      <c r="B6">
        <v>0.94415223948695848</v>
      </c>
      <c r="C6">
        <v>5.5847760513041501E-2</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BD6D-E133-6A46-A790-9CCE578C3B40}">
  <dimension ref="A1:V4"/>
  <sheetViews>
    <sheetView zoomScale="70" zoomScaleNormal="70" workbookViewId="0"/>
  </sheetViews>
  <sheetFormatPr baseColWidth="10" defaultColWidth="10.6640625" defaultRowHeight="16"/>
  <cols>
    <col min="8" max="8" width="13.83203125" customWidth="1"/>
    <col min="10" max="10" width="14" customWidth="1"/>
  </cols>
  <sheetData>
    <row r="1" spans="1:22" ht="18" customHeight="1">
      <c r="A1" t="s">
        <v>568</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368</v>
      </c>
      <c r="C3">
        <v>2.195501684750333</v>
      </c>
      <c r="D3">
        <v>3.3972879287248943</v>
      </c>
      <c r="E3">
        <v>8.710735231113695</v>
      </c>
      <c r="F3">
        <v>45.451284551588842</v>
      </c>
      <c r="G3">
        <v>49.233900235721322</v>
      </c>
      <c r="H3">
        <v>26.5</v>
      </c>
      <c r="I3">
        <v>29.15</v>
      </c>
      <c r="J3">
        <v>57.91025102828862</v>
      </c>
      <c r="K3">
        <v>56.668096645192676</v>
      </c>
      <c r="L3">
        <v>57.470069308462143</v>
      </c>
      <c r="M3">
        <v>59.656321499830156</v>
      </c>
      <c r="N3">
        <v>55.626060709714473</v>
      </c>
      <c r="O3">
        <v>55.590073913693452</v>
      </c>
      <c r="P3">
        <v>55.505776251294748</v>
      </c>
      <c r="Q3">
        <v>54.539811715559175</v>
      </c>
      <c r="R3">
        <v>53.062454919185043</v>
      </c>
      <c r="S3">
        <v>52.723335871485709</v>
      </c>
      <c r="T3">
        <v>49.803142811335356</v>
      </c>
      <c r="U3">
        <v>48.480984654045692</v>
      </c>
      <c r="V3">
        <v>45.977008114935302</v>
      </c>
    </row>
    <row r="4" spans="1:22">
      <c r="A4" t="s">
        <v>579</v>
      </c>
      <c r="H4">
        <v>1.2182984976611595</v>
      </c>
      <c r="I4">
        <v>1.4610166454504323</v>
      </c>
      <c r="J4">
        <v>2.3998678579146984</v>
      </c>
      <c r="K4">
        <v>2.7949365231155774</v>
      </c>
      <c r="L4">
        <v>3.2364309865908543</v>
      </c>
      <c r="M4">
        <v>4.8469687555844159</v>
      </c>
      <c r="N4">
        <v>6.0272738081892552</v>
      </c>
      <c r="O4">
        <v>7.21</v>
      </c>
      <c r="P4">
        <v>9.1004684442083601</v>
      </c>
      <c r="Q4">
        <v>9.7762019350692437</v>
      </c>
      <c r="R4">
        <v>11.600661843203529</v>
      </c>
      <c r="S4">
        <v>13.358566569933938</v>
      </c>
      <c r="T4">
        <v>16.004657525511643</v>
      </c>
      <c r="U4">
        <v>16.562019254697631</v>
      </c>
      <c r="V4">
        <v>18.875861004753826</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03A6-270F-0B48-B7B5-35A7219A82EE}">
  <dimension ref="A1:V18"/>
  <sheetViews>
    <sheetView zoomScale="40" zoomScaleNormal="40" workbookViewId="0"/>
  </sheetViews>
  <sheetFormatPr baseColWidth="10" defaultColWidth="11" defaultRowHeight="16"/>
  <cols>
    <col min="1" max="1" width="27.83203125" customWidth="1"/>
    <col min="2" max="3" width="11.5" customWidth="1"/>
    <col min="4" max="7" width="11.1640625" customWidth="1"/>
    <col min="8" max="10" width="11.5" customWidth="1"/>
    <col min="11" max="19" width="11.1640625" customWidth="1"/>
    <col min="20" max="20" width="13.83203125" bestFit="1" customWidth="1"/>
    <col min="21" max="21" width="12.6640625" bestFit="1" customWidth="1"/>
    <col min="22" max="22" width="13" customWidth="1"/>
  </cols>
  <sheetData>
    <row r="1" spans="1:22" ht="21" customHeight="1">
      <c r="A1" t="s">
        <v>569</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75</v>
      </c>
      <c r="C3">
        <v>565.20000000000005</v>
      </c>
      <c r="D3">
        <v>1035.3</v>
      </c>
      <c r="E3">
        <v>2190.2999999999997</v>
      </c>
      <c r="F3">
        <v>5406.2000000000007</v>
      </c>
      <c r="G3">
        <v>9196.5999999999985</v>
      </c>
      <c r="H3">
        <v>16233.1</v>
      </c>
      <c r="I3">
        <v>17939.355799999998</v>
      </c>
      <c r="J3">
        <v>19127.948</v>
      </c>
      <c r="K3">
        <v>20249.807999999997</v>
      </c>
      <c r="L3">
        <v>20944.484999999997</v>
      </c>
      <c r="M3">
        <v>22001.232</v>
      </c>
      <c r="N3">
        <v>23231.750000000004</v>
      </c>
      <c r="O3">
        <v>24186.746999999999</v>
      </c>
      <c r="P3">
        <v>25612.71</v>
      </c>
      <c r="Q3">
        <v>28639.210999999996</v>
      </c>
      <c r="R3">
        <v>29091.99</v>
      </c>
      <c r="S3">
        <v>28055.82</v>
      </c>
      <c r="T3">
        <v>29318.240000000002</v>
      </c>
      <c r="U3">
        <v>30866.38</v>
      </c>
      <c r="V3">
        <v>32477.962</v>
      </c>
    </row>
    <row r="4" spans="1:22">
      <c r="A4" t="s">
        <v>74</v>
      </c>
      <c r="B4">
        <v>12787</v>
      </c>
      <c r="C4">
        <v>14007</v>
      </c>
      <c r="D4">
        <v>14700</v>
      </c>
      <c r="E4">
        <v>17900</v>
      </c>
      <c r="F4">
        <v>21200</v>
      </c>
      <c r="G4">
        <v>19800</v>
      </c>
      <c r="H4">
        <v>18000</v>
      </c>
      <c r="I4">
        <v>16900</v>
      </c>
      <c r="J4">
        <v>16400</v>
      </c>
      <c r="K4">
        <v>15900</v>
      </c>
      <c r="L4">
        <v>15600</v>
      </c>
      <c r="M4">
        <v>15500</v>
      </c>
      <c r="N4">
        <v>14761.071599999999</v>
      </c>
      <c r="O4">
        <v>14174.731480999997</v>
      </c>
      <c r="P4">
        <v>13247.426229999999</v>
      </c>
      <c r="Q4">
        <v>13355.369553000002</v>
      </c>
      <c r="R4">
        <v>13327.004270000001</v>
      </c>
      <c r="S4">
        <v>12251.840999999999</v>
      </c>
      <c r="T4">
        <v>12629.709419999999</v>
      </c>
      <c r="U4">
        <v>12335.876184000001</v>
      </c>
      <c r="V4">
        <v>13354.793175999999</v>
      </c>
    </row>
    <row r="5" spans="1:22">
      <c r="A5" t="s">
        <v>73</v>
      </c>
      <c r="E5">
        <v>239</v>
      </c>
      <c r="F5">
        <v>1800</v>
      </c>
      <c r="G5">
        <v>4200</v>
      </c>
      <c r="H5">
        <v>6200</v>
      </c>
      <c r="I5">
        <v>6426</v>
      </c>
      <c r="J5">
        <v>6791</v>
      </c>
      <c r="K5">
        <v>7196</v>
      </c>
      <c r="L5">
        <v>7724.7</v>
      </c>
      <c r="M5">
        <v>8414.2000000000007</v>
      </c>
      <c r="N5">
        <v>9249</v>
      </c>
      <c r="O5">
        <v>10200</v>
      </c>
      <c r="P5">
        <v>11000</v>
      </c>
      <c r="Q5">
        <v>11765.4</v>
      </c>
      <c r="R5">
        <v>12830</v>
      </c>
      <c r="S5">
        <v>13336</v>
      </c>
      <c r="T5">
        <v>14531</v>
      </c>
      <c r="U5">
        <v>15248.49</v>
      </c>
      <c r="V5">
        <v>15949</v>
      </c>
    </row>
    <row r="6" spans="1:22">
      <c r="A6" t="s">
        <v>72</v>
      </c>
      <c r="B6">
        <v>716.3</v>
      </c>
      <c r="C6">
        <v>1242.9000000000001</v>
      </c>
      <c r="D6">
        <v>1651.4</v>
      </c>
      <c r="E6">
        <v>2677.4</v>
      </c>
      <c r="F6">
        <v>4218.5</v>
      </c>
      <c r="G6">
        <v>5039.3999999999996</v>
      </c>
      <c r="H6">
        <v>6953.5</v>
      </c>
      <c r="I6">
        <v>8129.9</v>
      </c>
      <c r="J6">
        <v>8459.1</v>
      </c>
      <c r="K6">
        <v>8560.7999999999993</v>
      </c>
      <c r="L6">
        <v>8793.9</v>
      </c>
      <c r="M6">
        <v>8942.4</v>
      </c>
      <c r="N6">
        <v>8936</v>
      </c>
      <c r="O6">
        <v>8779.1</v>
      </c>
      <c r="P6">
        <v>8581.1</v>
      </c>
      <c r="Q6">
        <v>8424.4</v>
      </c>
      <c r="R6">
        <v>8364.2000000000007</v>
      </c>
      <c r="S6">
        <v>8099.44</v>
      </c>
      <c r="T6">
        <v>7839.09</v>
      </c>
      <c r="U6">
        <v>7421.49</v>
      </c>
      <c r="V6">
        <v>7023.97</v>
      </c>
    </row>
    <row r="7" spans="1:22">
      <c r="A7" t="s">
        <v>71</v>
      </c>
      <c r="B7">
        <v>1459.3229999999999</v>
      </c>
      <c r="C7">
        <v>1956.7870000000003</v>
      </c>
      <c r="D7">
        <v>2346.9160000000002</v>
      </c>
      <c r="E7">
        <v>2471.192</v>
      </c>
      <c r="F7">
        <v>2989.9110000000001</v>
      </c>
      <c r="G7">
        <v>2927.9520000000002</v>
      </c>
      <c r="H7">
        <v>3187.317</v>
      </c>
      <c r="I7">
        <v>3354.5639999999999</v>
      </c>
      <c r="J7">
        <v>3359.634</v>
      </c>
      <c r="K7">
        <v>3272.2000000000003</v>
      </c>
      <c r="L7">
        <v>3113.12</v>
      </c>
      <c r="M7">
        <v>3067.53</v>
      </c>
      <c r="N7">
        <v>2742.82</v>
      </c>
      <c r="O7">
        <v>2756.17</v>
      </c>
      <c r="P7">
        <v>2559.31</v>
      </c>
      <c r="Q7">
        <v>2623.1</v>
      </c>
      <c r="R7">
        <v>2564.12</v>
      </c>
      <c r="S7">
        <v>2315.7900000000004</v>
      </c>
      <c r="T7">
        <v>2526.6999999999998</v>
      </c>
      <c r="U7">
        <v>2571.4299999999998</v>
      </c>
      <c r="V7">
        <v>2404.3799999999997</v>
      </c>
    </row>
    <row r="8" spans="1:22">
      <c r="A8" t="s">
        <v>70</v>
      </c>
      <c r="B8">
        <v>93.8</v>
      </c>
      <c r="C8">
        <v>142.4</v>
      </c>
      <c r="D8">
        <v>395.18400000000003</v>
      </c>
      <c r="E8">
        <v>664.48</v>
      </c>
      <c r="F8">
        <v>1270.431</v>
      </c>
      <c r="G8">
        <v>2065.201</v>
      </c>
      <c r="H8">
        <v>2931.1410000000001</v>
      </c>
      <c r="I8">
        <v>3474.62</v>
      </c>
      <c r="J8">
        <v>3748.0920000000001</v>
      </c>
      <c r="K8">
        <v>3967.587</v>
      </c>
      <c r="L8">
        <v>4090.9940000000001</v>
      </c>
      <c r="M8">
        <v>4235.6000000000004</v>
      </c>
      <c r="N8">
        <v>4254.6000000000004</v>
      </c>
      <c r="O8">
        <v>4415.6000000000004</v>
      </c>
      <c r="P8">
        <v>4365</v>
      </c>
      <c r="Q8">
        <v>4247.16</v>
      </c>
      <c r="R8">
        <v>4233.1289999999999</v>
      </c>
      <c r="S8">
        <v>3929.1</v>
      </c>
      <c r="T8">
        <v>3960</v>
      </c>
      <c r="U8">
        <v>4091.87</v>
      </c>
      <c r="V8">
        <v>3833.65</v>
      </c>
    </row>
    <row r="9" spans="1:22">
      <c r="A9" t="s">
        <v>69</v>
      </c>
      <c r="J9">
        <v>82.91</v>
      </c>
      <c r="K9">
        <v>182.95</v>
      </c>
      <c r="L9">
        <v>290.95999999999998</v>
      </c>
      <c r="M9">
        <v>436.87000000000012</v>
      </c>
      <c r="N9">
        <v>609.26</v>
      </c>
      <c r="O9">
        <v>821.13999999999987</v>
      </c>
      <c r="P9">
        <v>975.87900000000025</v>
      </c>
      <c r="Q9">
        <v>1367.5788237000002</v>
      </c>
      <c r="R9">
        <v>2026.2137554000003</v>
      </c>
      <c r="S9">
        <v>2573.9805299999998</v>
      </c>
      <c r="T9">
        <v>3095.6100381182669</v>
      </c>
      <c r="U9">
        <v>3652.1248820000001</v>
      </c>
      <c r="V9">
        <v>4075.1464609999994</v>
      </c>
    </row>
    <row r="10" spans="1:22">
      <c r="A10" t="s">
        <v>12</v>
      </c>
      <c r="F10">
        <v>141.4</v>
      </c>
      <c r="G10">
        <v>364</v>
      </c>
      <c r="H10">
        <v>1609</v>
      </c>
      <c r="I10">
        <v>2279</v>
      </c>
      <c r="J10">
        <v>2674</v>
      </c>
      <c r="K10">
        <v>3085</v>
      </c>
      <c r="L10">
        <v>3418</v>
      </c>
      <c r="M10">
        <v>3793</v>
      </c>
      <c r="N10">
        <v>4604</v>
      </c>
      <c r="O10">
        <v>5485</v>
      </c>
      <c r="P10">
        <v>6771</v>
      </c>
      <c r="Q10">
        <v>7592</v>
      </c>
      <c r="R10">
        <v>8760</v>
      </c>
      <c r="S10">
        <v>9624</v>
      </c>
      <c r="T10">
        <v>12869.49</v>
      </c>
      <c r="U10">
        <v>14391</v>
      </c>
      <c r="V10">
        <v>16551.37</v>
      </c>
    </row>
    <row r="11" spans="1:22">
      <c r="A11" t="s">
        <v>68</v>
      </c>
      <c r="I11">
        <v>915.26551180000001</v>
      </c>
      <c r="J11">
        <v>989.33585559999995</v>
      </c>
      <c r="K11">
        <v>1124.9397956999999</v>
      </c>
      <c r="L11">
        <v>1303.0980349999998</v>
      </c>
      <c r="M11">
        <v>1563.8880479999998</v>
      </c>
      <c r="N11">
        <v>2076.2889260000002</v>
      </c>
      <c r="O11">
        <v>2244.3016520000006</v>
      </c>
      <c r="P11">
        <v>2371.4710879999998</v>
      </c>
      <c r="Q11">
        <v>3507.25614</v>
      </c>
      <c r="R11">
        <v>3592.8869699999996</v>
      </c>
      <c r="S11">
        <v>3488.2343600000004</v>
      </c>
      <c r="T11">
        <v>3932.5196900000001</v>
      </c>
      <c r="U11">
        <v>4294.6438799999996</v>
      </c>
      <c r="V11">
        <v>4332.1270000000004</v>
      </c>
    </row>
    <row r="12" spans="1:22">
      <c r="A12" t="s">
        <v>67</v>
      </c>
      <c r="B12">
        <v>769.2</v>
      </c>
      <c r="C12">
        <v>894.9</v>
      </c>
      <c r="D12">
        <v>985.9</v>
      </c>
      <c r="E12">
        <v>1043.4000000000001</v>
      </c>
      <c r="F12">
        <v>1256.2</v>
      </c>
      <c r="G12">
        <v>1513.8999999999999</v>
      </c>
      <c r="H12">
        <v>2078.64</v>
      </c>
      <c r="I12">
        <v>2211.9900000000002</v>
      </c>
      <c r="J12">
        <v>2301.3000000000002</v>
      </c>
      <c r="K12">
        <v>2295.7400000000002</v>
      </c>
      <c r="L12">
        <v>2261.13</v>
      </c>
      <c r="M12">
        <v>2169.7999999999997</v>
      </c>
      <c r="N12">
        <v>2175.66</v>
      </c>
      <c r="O12">
        <v>2119.19</v>
      </c>
      <c r="P12">
        <v>2257.0700000000002</v>
      </c>
      <c r="Q12">
        <v>2327.8199999999997</v>
      </c>
      <c r="R12">
        <v>2301.9100000000003</v>
      </c>
      <c r="S12">
        <v>2009.3899999999999</v>
      </c>
      <c r="T12">
        <v>1936.6100000000001</v>
      </c>
      <c r="U12">
        <v>2000.16</v>
      </c>
      <c r="V12">
        <v>1999.48</v>
      </c>
    </row>
    <row r="13" spans="1:22">
      <c r="A13" t="s">
        <v>66</v>
      </c>
      <c r="B13">
        <v>666.69</v>
      </c>
      <c r="C13">
        <v>874.99</v>
      </c>
      <c r="D13">
        <v>1234.28</v>
      </c>
      <c r="E13">
        <v>1626.73</v>
      </c>
      <c r="F13">
        <v>1742.6289999999999</v>
      </c>
      <c r="G13">
        <v>1478.049</v>
      </c>
      <c r="H13">
        <v>1242.7420000000002</v>
      </c>
      <c r="I13">
        <v>1179.6779999999999</v>
      </c>
      <c r="J13">
        <v>1146.9880000000001</v>
      </c>
      <c r="K13">
        <v>1135.96</v>
      </c>
      <c r="L13">
        <v>1131.453</v>
      </c>
      <c r="M13">
        <v>1123.405</v>
      </c>
      <c r="N13">
        <v>1145.72</v>
      </c>
      <c r="O13">
        <v>1195.8579999999999</v>
      </c>
      <c r="P13">
        <v>1221.26</v>
      </c>
      <c r="Q13">
        <v>1218.8000000000002</v>
      </c>
      <c r="R13">
        <v>1288.51</v>
      </c>
      <c r="S13">
        <v>655.97</v>
      </c>
      <c r="T13">
        <v>849.18</v>
      </c>
      <c r="U13">
        <v>1510.0173</v>
      </c>
      <c r="V13">
        <v>1822.7048</v>
      </c>
    </row>
    <row r="14" spans="1:22">
      <c r="A14" t="s">
        <v>65</v>
      </c>
      <c r="B14">
        <v>0</v>
      </c>
      <c r="C14">
        <v>0</v>
      </c>
      <c r="D14">
        <v>0</v>
      </c>
      <c r="E14">
        <v>0</v>
      </c>
      <c r="F14">
        <v>0</v>
      </c>
      <c r="G14">
        <v>0</v>
      </c>
      <c r="H14">
        <v>146.69</v>
      </c>
      <c r="I14">
        <v>182.82</v>
      </c>
      <c r="J14">
        <v>209.72000000000003</v>
      </c>
      <c r="K14">
        <v>232.98000000000002</v>
      </c>
      <c r="L14">
        <v>273.58</v>
      </c>
      <c r="M14">
        <v>280.41999999999996</v>
      </c>
      <c r="N14">
        <v>354.67</v>
      </c>
      <c r="O14">
        <v>421.75</v>
      </c>
      <c r="P14">
        <v>518.16999999999996</v>
      </c>
      <c r="Q14">
        <v>698.02</v>
      </c>
      <c r="R14">
        <v>814.75</v>
      </c>
      <c r="S14">
        <v>896.01</v>
      </c>
      <c r="T14">
        <v>1025.98</v>
      </c>
      <c r="U14">
        <v>1093.8</v>
      </c>
      <c r="V14">
        <v>1177.01</v>
      </c>
    </row>
    <row r="15" spans="1:22">
      <c r="A15" t="s">
        <v>64</v>
      </c>
      <c r="J15">
        <v>3.2</v>
      </c>
      <c r="K15">
        <v>11.2</v>
      </c>
      <c r="L15">
        <v>23.14</v>
      </c>
      <c r="M15">
        <v>51.39</v>
      </c>
      <c r="N15">
        <v>89.009999999999991</v>
      </c>
      <c r="O15">
        <v>117.91</v>
      </c>
      <c r="P15">
        <v>183.62</v>
      </c>
      <c r="Q15">
        <v>240.29000000000002</v>
      </c>
      <c r="R15">
        <v>305.43</v>
      </c>
      <c r="S15">
        <v>376.64000000000004</v>
      </c>
      <c r="T15">
        <v>508.05</v>
      </c>
      <c r="U15">
        <v>444.75</v>
      </c>
      <c r="V15">
        <v>532.62</v>
      </c>
    </row>
    <row r="16" spans="1:22">
      <c r="A16" t="s">
        <v>17</v>
      </c>
      <c r="B16">
        <v>2190</v>
      </c>
      <c r="C16">
        <v>2925</v>
      </c>
      <c r="D16">
        <v>2790</v>
      </c>
      <c r="E16">
        <v>3310</v>
      </c>
      <c r="F16">
        <v>3999.960626</v>
      </c>
      <c r="G16">
        <v>4317.2183897396471</v>
      </c>
      <c r="H16">
        <v>4688.822254460445</v>
      </c>
      <c r="I16">
        <v>4358.1679999999997</v>
      </c>
      <c r="J16">
        <v>4263.8649999999998</v>
      </c>
      <c r="K16">
        <v>4335.7759999999998</v>
      </c>
      <c r="L16">
        <v>3726.8670000000002</v>
      </c>
      <c r="M16">
        <v>3581.105</v>
      </c>
      <c r="N16">
        <v>3190.556</v>
      </c>
      <c r="O16">
        <v>2846.3050000000003</v>
      </c>
      <c r="P16">
        <v>2529.5190000000002</v>
      </c>
      <c r="Q16">
        <v>2396.09</v>
      </c>
      <c r="R16">
        <v>2088.7919999999999</v>
      </c>
      <c r="S16">
        <v>1695.5</v>
      </c>
      <c r="T16">
        <v>1709.7324666666666</v>
      </c>
      <c r="U16">
        <v>1708.1324666666667</v>
      </c>
      <c r="V16">
        <v>1689.5629316002808</v>
      </c>
    </row>
    <row r="17" spans="1:22">
      <c r="A17" t="s">
        <v>10</v>
      </c>
      <c r="B17">
        <v>771</v>
      </c>
      <c r="C17">
        <v>775</v>
      </c>
      <c r="D17">
        <v>993.9</v>
      </c>
      <c r="E17">
        <v>1011.2</v>
      </c>
      <c r="F17">
        <v>1300</v>
      </c>
      <c r="G17">
        <v>1847.1</v>
      </c>
      <c r="H17">
        <v>2394.4</v>
      </c>
      <c r="I17">
        <v>2134.5</v>
      </c>
      <c r="J17">
        <v>2088</v>
      </c>
      <c r="K17">
        <v>1922</v>
      </c>
      <c r="L17">
        <v>1968.4</v>
      </c>
      <c r="M17">
        <v>1779.9</v>
      </c>
      <c r="N17">
        <v>1591.4</v>
      </c>
      <c r="O17">
        <v>1449.4</v>
      </c>
      <c r="P17">
        <v>1314.7</v>
      </c>
      <c r="Q17">
        <v>1247.1500000000001</v>
      </c>
      <c r="R17">
        <v>1175.7</v>
      </c>
      <c r="S17">
        <v>1079.25</v>
      </c>
      <c r="T17">
        <v>982.8</v>
      </c>
      <c r="U17">
        <v>946.7</v>
      </c>
      <c r="V17">
        <v>917.73098000000005</v>
      </c>
    </row>
    <row r="18" spans="1:22" ht="17" customHeight="1">
      <c r="A18" t="s">
        <v>63</v>
      </c>
      <c r="B18">
        <f t="shared" ref="B18:V18" si="0">SUM(B3:B17)</f>
        <v>19453.312999999998</v>
      </c>
      <c r="C18">
        <f t="shared" si="0"/>
        <v>23384.177000000007</v>
      </c>
      <c r="D18">
        <f t="shared" si="0"/>
        <v>26132.880000000005</v>
      </c>
      <c r="E18">
        <f t="shared" si="0"/>
        <v>33133.701999999997</v>
      </c>
      <c r="F18">
        <f t="shared" si="0"/>
        <v>45325.231626000001</v>
      </c>
      <c r="G18">
        <f t="shared" si="0"/>
        <v>52749.420389739644</v>
      </c>
      <c r="H18">
        <f t="shared" si="0"/>
        <v>65665.352254460449</v>
      </c>
      <c r="I18">
        <f t="shared" si="0"/>
        <v>69485.861311799992</v>
      </c>
      <c r="J18">
        <f t="shared" si="0"/>
        <v>71645.0928556</v>
      </c>
      <c r="K18">
        <f t="shared" si="0"/>
        <v>73472.940795699978</v>
      </c>
      <c r="L18">
        <f t="shared" si="0"/>
        <v>74663.827034999995</v>
      </c>
      <c r="M18">
        <f t="shared" si="0"/>
        <v>76940.740047999978</v>
      </c>
      <c r="N18">
        <f t="shared" si="0"/>
        <v>79011.806525999986</v>
      </c>
      <c r="O18">
        <f t="shared" si="0"/>
        <v>81213.203132999974</v>
      </c>
      <c r="P18">
        <f t="shared" si="0"/>
        <v>83508.235317999992</v>
      </c>
      <c r="Q18">
        <f t="shared" si="0"/>
        <v>89649.64551669998</v>
      </c>
      <c r="R18">
        <f t="shared" si="0"/>
        <v>92764.635995400007</v>
      </c>
      <c r="S18">
        <f t="shared" si="0"/>
        <v>90386.965890000007</v>
      </c>
      <c r="T18">
        <f t="shared" si="0"/>
        <v>97714.71161478493</v>
      </c>
      <c r="U18">
        <f t="shared" si="0"/>
        <v>102576.86471266666</v>
      </c>
      <c r="V18">
        <f t="shared" si="0"/>
        <v>108141.50734860024</v>
      </c>
    </row>
  </sheetData>
  <pageMargins left="0.7" right="0.7" top="0.75" bottom="0.75" header="0.3" footer="0.3"/>
  <pageSetup orientation="portrait" r:id="rId1"/>
  <headerFooter>
    <oddHeader>&amp;R&amp;"Calibri"&amp;12&amp;K000000 Unclassified / Non classifié&amp;1#_x000D_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FDB5-234B-5346-8D64-2D5AA7AF39BC}">
  <dimension ref="A1:V8"/>
  <sheetViews>
    <sheetView zoomScale="70" zoomScaleNormal="70" workbookViewId="0"/>
  </sheetViews>
  <sheetFormatPr baseColWidth="10" defaultColWidth="10.6640625" defaultRowHeight="16"/>
  <sheetData>
    <row r="1" spans="1:22">
      <c r="A1" t="s">
        <v>580</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75</v>
      </c>
      <c r="C3">
        <v>565.20000000000005</v>
      </c>
      <c r="D3">
        <v>1035.3</v>
      </c>
      <c r="E3">
        <v>2190.2999999999997</v>
      </c>
      <c r="F3">
        <v>5406.2000000000007</v>
      </c>
      <c r="G3">
        <v>9196.5999999999985</v>
      </c>
      <c r="H3">
        <v>16233.1</v>
      </c>
      <c r="I3">
        <v>17939.355799999998</v>
      </c>
      <c r="J3">
        <v>19127.948</v>
      </c>
      <c r="K3">
        <v>20249.807999999997</v>
      </c>
      <c r="L3">
        <v>20944.484999999997</v>
      </c>
      <c r="M3">
        <v>22001.232</v>
      </c>
      <c r="N3">
        <v>23231.750000000004</v>
      </c>
      <c r="O3">
        <v>24186.746999999999</v>
      </c>
      <c r="P3">
        <v>25612.71</v>
      </c>
      <c r="Q3">
        <v>28639.210999999996</v>
      </c>
      <c r="R3">
        <v>29091.99</v>
      </c>
      <c r="S3">
        <v>28055.82</v>
      </c>
      <c r="T3">
        <v>29318.240000000002</v>
      </c>
      <c r="U3">
        <v>30866.38</v>
      </c>
      <c r="V3">
        <v>32477.962</v>
      </c>
    </row>
    <row r="4" spans="1:22">
      <c r="A4" t="s">
        <v>74</v>
      </c>
      <c r="B4">
        <v>12787</v>
      </c>
      <c r="C4">
        <v>14007</v>
      </c>
      <c r="D4">
        <v>14700</v>
      </c>
      <c r="E4">
        <v>17900</v>
      </c>
      <c r="F4">
        <v>21200</v>
      </c>
      <c r="G4">
        <v>19800</v>
      </c>
      <c r="H4">
        <v>18000</v>
      </c>
      <c r="I4">
        <v>16900</v>
      </c>
      <c r="J4">
        <v>16400</v>
      </c>
      <c r="K4">
        <v>15900</v>
      </c>
      <c r="L4">
        <v>15600</v>
      </c>
      <c r="M4">
        <v>15500</v>
      </c>
      <c r="N4">
        <v>14761.071599999999</v>
      </c>
      <c r="O4">
        <v>14174.731480999997</v>
      </c>
      <c r="P4">
        <v>13247.426229999999</v>
      </c>
      <c r="Q4">
        <v>13355.369553000002</v>
      </c>
      <c r="R4">
        <v>13327.004270000001</v>
      </c>
      <c r="S4">
        <v>12251.840999999999</v>
      </c>
      <c r="T4">
        <v>12629.709419999999</v>
      </c>
      <c r="U4">
        <v>12335.876184000001</v>
      </c>
      <c r="V4">
        <v>13354.793175999999</v>
      </c>
    </row>
    <row r="5" spans="1:22">
      <c r="A5" t="s">
        <v>73</v>
      </c>
      <c r="E5">
        <v>239</v>
      </c>
      <c r="F5">
        <v>1800</v>
      </c>
      <c r="G5">
        <v>4200</v>
      </c>
      <c r="H5">
        <v>6200</v>
      </c>
      <c r="I5">
        <v>6426</v>
      </c>
      <c r="J5">
        <v>6791</v>
      </c>
      <c r="K5">
        <v>7196</v>
      </c>
      <c r="L5">
        <v>7724.7</v>
      </c>
      <c r="M5">
        <v>8414.2000000000007</v>
      </c>
      <c r="N5">
        <v>9249</v>
      </c>
      <c r="O5">
        <v>10200</v>
      </c>
      <c r="P5">
        <v>11000</v>
      </c>
      <c r="Q5">
        <v>11765.4</v>
      </c>
      <c r="R5">
        <v>12830</v>
      </c>
      <c r="S5">
        <v>13336</v>
      </c>
      <c r="T5">
        <v>14531</v>
      </c>
      <c r="U5">
        <v>15248.49</v>
      </c>
      <c r="V5">
        <v>15949</v>
      </c>
    </row>
    <row r="6" spans="1:22">
      <c r="A6" t="s">
        <v>238</v>
      </c>
      <c r="B6">
        <v>716.3</v>
      </c>
      <c r="C6">
        <v>1242.9000000000001</v>
      </c>
      <c r="D6">
        <v>1651.4</v>
      </c>
      <c r="E6">
        <v>2677.4</v>
      </c>
      <c r="F6">
        <v>3913.5</v>
      </c>
      <c r="G6">
        <v>4170.1569999999992</v>
      </c>
      <c r="H6">
        <v>5450.1578399999999</v>
      </c>
      <c r="I6">
        <v>6166.0229233099217</v>
      </c>
      <c r="J6">
        <v>6088.1982868541772</v>
      </c>
      <c r="K6">
        <v>5953.0868624256509</v>
      </c>
      <c r="L6">
        <v>5949.0414423960938</v>
      </c>
      <c r="M6">
        <v>5761.4227857843707</v>
      </c>
      <c r="N6">
        <v>5740.1433627916231</v>
      </c>
      <c r="O6">
        <v>5485.2262883649119</v>
      </c>
      <c r="P6">
        <v>5281.4713819719291</v>
      </c>
      <c r="Q6">
        <v>5100.6190793722417</v>
      </c>
      <c r="R6">
        <v>5009.2240000000011</v>
      </c>
      <c r="S6">
        <v>4795.4560000000001</v>
      </c>
      <c r="T6">
        <v>4649.0889999999999</v>
      </c>
      <c r="U6">
        <v>4295.0609999999997</v>
      </c>
      <c r="V6">
        <v>4013.8670000000002</v>
      </c>
    </row>
    <row r="7" spans="1:22">
      <c r="A7" t="s">
        <v>239</v>
      </c>
      <c r="F7">
        <v>305</v>
      </c>
      <c r="G7">
        <v>869.24300000000005</v>
      </c>
      <c r="H7">
        <v>1503.3421599999999</v>
      </c>
      <c r="I7">
        <v>1963.8770766900775</v>
      </c>
      <c r="J7">
        <v>2370.9017131458231</v>
      </c>
      <c r="K7">
        <v>2607.7131375743484</v>
      </c>
      <c r="L7">
        <v>2844.8585576039059</v>
      </c>
      <c r="M7">
        <v>3180.9772142156294</v>
      </c>
      <c r="N7">
        <v>3195.8566372083769</v>
      </c>
      <c r="O7">
        <v>3293.8737116350885</v>
      </c>
      <c r="P7">
        <v>3299.6286180280713</v>
      </c>
      <c r="Q7">
        <v>3323.7809206277575</v>
      </c>
      <c r="R7">
        <v>3354.9759999999997</v>
      </c>
      <c r="S7">
        <v>3303.9839999999999</v>
      </c>
      <c r="T7">
        <v>3190.0010000000002</v>
      </c>
      <c r="U7">
        <v>3126.4290000000001</v>
      </c>
      <c r="V7">
        <v>3010.1030000000001</v>
      </c>
    </row>
    <row r="8" spans="1:22">
      <c r="A8" t="s">
        <v>240</v>
      </c>
      <c r="B8">
        <f t="shared" ref="B8:T8" si="0">SUM(B3:B7)</f>
        <v>13503.3</v>
      </c>
      <c r="C8">
        <f t="shared" si="0"/>
        <v>15815.1</v>
      </c>
      <c r="D8">
        <f t="shared" si="0"/>
        <v>17386.7</v>
      </c>
      <c r="E8">
        <f t="shared" si="0"/>
        <v>23006.7</v>
      </c>
      <c r="F8">
        <f t="shared" si="0"/>
        <v>32624.7</v>
      </c>
      <c r="G8">
        <f t="shared" si="0"/>
        <v>38236</v>
      </c>
      <c r="H8">
        <f t="shared" si="0"/>
        <v>47386.6</v>
      </c>
      <c r="I8">
        <f t="shared" si="0"/>
        <v>49395.255799999999</v>
      </c>
      <c r="J8">
        <f t="shared" si="0"/>
        <v>50778.048000000003</v>
      </c>
      <c r="K8">
        <f t="shared" si="0"/>
        <v>51906.607999999993</v>
      </c>
      <c r="L8">
        <f t="shared" si="0"/>
        <v>53063.084999999992</v>
      </c>
      <c r="M8">
        <f t="shared" si="0"/>
        <v>54857.832000000002</v>
      </c>
      <c r="N8">
        <f t="shared" si="0"/>
        <v>56177.821599999996</v>
      </c>
      <c r="O8">
        <f t="shared" si="0"/>
        <v>57340.578480999997</v>
      </c>
      <c r="P8">
        <f t="shared" si="0"/>
        <v>58441.236229999995</v>
      </c>
      <c r="Q8">
        <f t="shared" si="0"/>
        <v>62184.380553000003</v>
      </c>
      <c r="R8">
        <f t="shared" si="0"/>
        <v>63613.194270000007</v>
      </c>
      <c r="S8">
        <f t="shared" si="0"/>
        <v>61743.100999999995</v>
      </c>
      <c r="T8">
        <f t="shared" si="0"/>
        <v>64318.039420000001</v>
      </c>
      <c r="U8">
        <f>SUM(U3:U7)</f>
        <v>65872.236183999994</v>
      </c>
      <c r="V8">
        <f>SUM(V3:V7)</f>
        <v>68805.725176000007</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F340-AD89-BC4A-9AB1-0B5AFC486805}">
  <dimension ref="A1:K10"/>
  <sheetViews>
    <sheetView zoomScale="55" zoomScaleNormal="55" workbookViewId="0"/>
  </sheetViews>
  <sheetFormatPr baseColWidth="10" defaultColWidth="10.6640625" defaultRowHeight="16"/>
  <sheetData>
    <row r="1" spans="1:11">
      <c r="A1" t="s">
        <v>570</v>
      </c>
    </row>
    <row r="2" spans="1:11">
      <c r="B2" t="s">
        <v>206</v>
      </c>
      <c r="C2" t="s">
        <v>207</v>
      </c>
      <c r="D2" t="s">
        <v>208</v>
      </c>
      <c r="E2" t="s">
        <v>209</v>
      </c>
      <c r="F2" t="s">
        <v>210</v>
      </c>
      <c r="G2" t="s">
        <v>211</v>
      </c>
      <c r="H2" t="s">
        <v>212</v>
      </c>
      <c r="I2" t="s">
        <v>213</v>
      </c>
      <c r="J2" t="s">
        <v>214</v>
      </c>
      <c r="K2" t="s">
        <v>215</v>
      </c>
    </row>
    <row r="3" spans="1:11">
      <c r="A3" t="s">
        <v>216</v>
      </c>
      <c r="B3">
        <v>2106.194</v>
      </c>
      <c r="C3">
        <v>10118.065999999999</v>
      </c>
      <c r="D3">
        <v>4434.8999999999996</v>
      </c>
      <c r="E3">
        <v>2738.395</v>
      </c>
      <c r="F3">
        <f>D3+C3+E3+B3</f>
        <v>19397.554999999997</v>
      </c>
      <c r="G3">
        <f>B3/B9</f>
        <v>0.18541501054197643</v>
      </c>
      <c r="H3">
        <f>C3/C9</f>
        <v>0.27965909342177997</v>
      </c>
      <c r="I3">
        <f>D3/D9</f>
        <v>0.29378759373592306</v>
      </c>
      <c r="J3">
        <f>E3/E9</f>
        <v>0.28751395102468508</v>
      </c>
      <c r="K3">
        <f>F3/F9</f>
        <v>0.268815582293297</v>
      </c>
    </row>
    <row r="4" spans="1:11">
      <c r="A4" t="s">
        <v>121</v>
      </c>
      <c r="B4">
        <v>1687</v>
      </c>
      <c r="C4">
        <v>11378.5</v>
      </c>
      <c r="D4">
        <v>4123.5</v>
      </c>
      <c r="E4">
        <v>2723.8912500000001</v>
      </c>
      <c r="F4">
        <f>D4+C4+E4+B4</f>
        <v>19912.891250000001</v>
      </c>
      <c r="G4">
        <f>B4/B9</f>
        <v>0.14851201873346626</v>
      </c>
      <c r="H4">
        <f>C4/C9</f>
        <v>0.31449695964621338</v>
      </c>
      <c r="I4">
        <f>D4/D9</f>
        <v>0.27315906621797081</v>
      </c>
      <c r="J4">
        <f>E4/E9</f>
        <v>0.28599115008940207</v>
      </c>
      <c r="K4">
        <f>F4/F9</f>
        <v>0.27595722535710554</v>
      </c>
    </row>
    <row r="5" spans="1:11">
      <c r="A5" t="s">
        <v>156</v>
      </c>
      <c r="B5">
        <v>1065</v>
      </c>
      <c r="C5">
        <v>9887.5</v>
      </c>
      <c r="D5">
        <v>2554.5</v>
      </c>
      <c r="E5">
        <v>1359.5</v>
      </c>
      <c r="F5">
        <f>D5+C5+E5+B5</f>
        <v>14866.5</v>
      </c>
      <c r="G5">
        <f>B5/B9</f>
        <v>9.3755364523498266E-2</v>
      </c>
      <c r="H5">
        <f>C5/C9</f>
        <v>0.2732863460475401</v>
      </c>
      <c r="I5">
        <f>D5/D9</f>
        <v>0.16922149500516709</v>
      </c>
      <c r="J5">
        <f>E5/E9</f>
        <v>0.14273880007013573</v>
      </c>
      <c r="K5">
        <f>F5/F9</f>
        <v>0.20602322582218741</v>
      </c>
    </row>
    <row r="6" spans="1:11">
      <c r="A6" t="s">
        <v>217</v>
      </c>
      <c r="B6">
        <v>712.95</v>
      </c>
      <c r="C6">
        <v>3764.9</v>
      </c>
      <c r="D6">
        <v>1705.15</v>
      </c>
      <c r="E6">
        <v>1375.85</v>
      </c>
      <c r="F6">
        <f>D6+C6+E6+B6</f>
        <v>7558.8499999999995</v>
      </c>
      <c r="G6">
        <f>B6/B9</f>
        <v>6.2763274307068628E-2</v>
      </c>
      <c r="H6">
        <f>C6/C9</f>
        <v>0.10406025428413489</v>
      </c>
      <c r="I6">
        <f>D6/D9</f>
        <v>0.11295675561090651</v>
      </c>
      <c r="J6">
        <f>E6/E9</f>
        <v>0.14445544544060041</v>
      </c>
      <c r="K6">
        <f>F6/F9</f>
        <v>0.10475220532782034</v>
      </c>
    </row>
    <row r="7" spans="1:11">
      <c r="A7" t="s">
        <v>218</v>
      </c>
      <c r="B7">
        <f>SUM(B3:B6)</f>
        <v>5571.1439999999993</v>
      </c>
      <c r="C7">
        <f>SUM(C3:C6)</f>
        <v>35148.966</v>
      </c>
      <c r="D7">
        <f>SUM(D3:D6)</f>
        <v>12818.05</v>
      </c>
      <c r="E7">
        <f>SUM(E3:E6)</f>
        <v>8197.6362499999996</v>
      </c>
      <c r="F7">
        <f>SUM(B7:E7)</f>
        <v>61735.796249999999</v>
      </c>
    </row>
    <row r="8" spans="1:11">
      <c r="A8" t="s">
        <v>219</v>
      </c>
      <c r="B8">
        <f>B7/B9</f>
        <v>0.49044566810600954</v>
      </c>
      <c r="C8">
        <f>C7/C9</f>
        <v>0.97150265339966835</v>
      </c>
      <c r="D8">
        <f>D7/D9</f>
        <v>0.84912491056996742</v>
      </c>
      <c r="E8">
        <f>E7/E9</f>
        <v>0.86069934662482317</v>
      </c>
      <c r="F8">
        <f>F7/F9</f>
        <v>0.85554823880041031</v>
      </c>
      <c r="G8">
        <f>SUM(G3:G6)</f>
        <v>0.49044566810600959</v>
      </c>
      <c r="H8">
        <f>SUM(H3:H6)</f>
        <v>0.97150265339966835</v>
      </c>
      <c r="I8">
        <f>SUM(I3:I6)</f>
        <v>0.84912491056996764</v>
      </c>
      <c r="J8">
        <f>SUM(J3:J6)</f>
        <v>0.86069934662482328</v>
      </c>
      <c r="K8">
        <f>SUM(K3:K6)</f>
        <v>0.85554823880041042</v>
      </c>
    </row>
    <row r="9" spans="1:11">
      <c r="A9" t="s">
        <v>63</v>
      </c>
      <c r="B9">
        <v>11359.35</v>
      </c>
      <c r="C9">
        <v>36180</v>
      </c>
      <c r="D9">
        <v>15095.599999999999</v>
      </c>
      <c r="E9">
        <v>9524.39</v>
      </c>
      <c r="F9">
        <f>SUM(B9:E9)</f>
        <v>72159.34</v>
      </c>
    </row>
    <row r="10" spans="1:11">
      <c r="A10" t="s">
        <v>231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90EF-DCDE-B343-B1A9-0936223D6752}">
  <dimension ref="A1:K10"/>
  <sheetViews>
    <sheetView zoomScale="70" zoomScaleNormal="70" workbookViewId="0"/>
  </sheetViews>
  <sheetFormatPr baseColWidth="10" defaultColWidth="10.6640625" defaultRowHeight="16"/>
  <sheetData>
    <row r="1" spans="1:11">
      <c r="A1" t="s">
        <v>571</v>
      </c>
    </row>
    <row r="2" spans="1:11">
      <c r="B2" t="s">
        <v>220</v>
      </c>
      <c r="C2" t="s">
        <v>221</v>
      </c>
      <c r="D2" t="s">
        <v>222</v>
      </c>
      <c r="E2" t="s">
        <v>223</v>
      </c>
      <c r="F2" t="s">
        <v>224</v>
      </c>
      <c r="G2" t="s">
        <v>225</v>
      </c>
      <c r="H2" t="s">
        <v>226</v>
      </c>
      <c r="I2" t="s">
        <v>227</v>
      </c>
      <c r="J2" t="s">
        <v>228</v>
      </c>
      <c r="K2" t="s">
        <v>229</v>
      </c>
    </row>
    <row r="3" spans="1:11">
      <c r="A3" t="s">
        <v>216</v>
      </c>
      <c r="B3">
        <v>5840.9639276861253</v>
      </c>
      <c r="C3">
        <v>10005</v>
      </c>
      <c r="D3">
        <v>4047.7141878315656</v>
      </c>
      <c r="E3">
        <v>2074.2759999999998</v>
      </c>
      <c r="F3">
        <f>SUM(B3:E3)</f>
        <v>21967.954115517692</v>
      </c>
      <c r="G3">
        <f>D3/D9</f>
        <v>0.25379109585751869</v>
      </c>
      <c r="H3">
        <f>C3/C9</f>
        <v>0.30805504360156588</v>
      </c>
      <c r="I3">
        <f>E3/E9</f>
        <v>0.29531390367555665</v>
      </c>
      <c r="J3">
        <f>B3/B9</f>
        <v>0.43736845938319696</v>
      </c>
      <c r="K3">
        <f>F3/F9</f>
        <v>0.31927510499079848</v>
      </c>
    </row>
    <row r="4" spans="1:11">
      <c r="A4" t="s">
        <v>121</v>
      </c>
      <c r="B4">
        <v>2000.3453583579794</v>
      </c>
      <c r="C4">
        <v>10222</v>
      </c>
      <c r="D4">
        <v>4052.5758000000001</v>
      </c>
      <c r="E4">
        <v>2366.9</v>
      </c>
      <c r="F4">
        <f>SUM(B4:E4)</f>
        <v>18641.82115835798</v>
      </c>
      <c r="G4">
        <f>D4/D9</f>
        <v>0.25409591823938804</v>
      </c>
      <c r="H4">
        <f>C4/C9</f>
        <v>0.31473649732086023</v>
      </c>
      <c r="I4">
        <f>E4/E9</f>
        <v>0.33697467386677332</v>
      </c>
      <c r="J4">
        <f>B4/B9</f>
        <v>0.14978486058994409</v>
      </c>
      <c r="K4">
        <f>F4/F9</f>
        <v>0.27093416966626671</v>
      </c>
    </row>
    <row r="5" spans="1:11">
      <c r="A5" t="s">
        <v>156</v>
      </c>
      <c r="B5">
        <v>4853.277</v>
      </c>
      <c r="C5">
        <v>9217</v>
      </c>
      <c r="D5">
        <v>2326.7600000000002</v>
      </c>
      <c r="E5">
        <v>839.84299999999996</v>
      </c>
      <c r="F5">
        <f>SUM(B5:E5)</f>
        <v>17236.88</v>
      </c>
      <c r="G5">
        <f>D5/D9</f>
        <v>0.14588751645871215</v>
      </c>
      <c r="H5">
        <f>C5/C9</f>
        <v>0.28379243746882887</v>
      </c>
      <c r="I5">
        <f>E5/E9</f>
        <v>0.11956813596869006</v>
      </c>
      <c r="J5">
        <f>B5/B9</f>
        <v>0.36341095591918704</v>
      </c>
      <c r="K5">
        <f>F5/F9</f>
        <v>0.25051521151104267</v>
      </c>
    </row>
    <row r="6" spans="1:11">
      <c r="A6" t="s">
        <v>217</v>
      </c>
      <c r="B6">
        <v>278.3</v>
      </c>
      <c r="C6">
        <v>2033.5</v>
      </c>
      <c r="D6">
        <v>1285.7</v>
      </c>
      <c r="E6">
        <v>802.6</v>
      </c>
      <c r="F6">
        <f>SUM(B6:E6)</f>
        <v>4400.1000000000004</v>
      </c>
      <c r="G6">
        <f>D6/D9</f>
        <v>8.061320458962945E-2</v>
      </c>
      <c r="H6">
        <f>C6/C9</f>
        <v>6.261168727274205E-2</v>
      </c>
      <c r="I6">
        <f>E6/E9</f>
        <v>0.11426586389178769</v>
      </c>
      <c r="J6">
        <f>B6/B9</f>
        <v>2.0838964895741528E-2</v>
      </c>
      <c r="K6">
        <f>F6/F9</f>
        <v>6.3949623259530658E-2</v>
      </c>
    </row>
    <row r="7" spans="1:11">
      <c r="A7" t="s">
        <v>218</v>
      </c>
      <c r="B7">
        <f>SUM(B3:B6)</f>
        <v>12972.886286044104</v>
      </c>
      <c r="C7">
        <f>SUM(C3:C6)</f>
        <v>31477.5</v>
      </c>
      <c r="D7">
        <f>SUM(D3:D6)</f>
        <v>11712.749987831567</v>
      </c>
      <c r="E7">
        <f>SUM(E3:E6)</f>
        <v>6083.6189999999997</v>
      </c>
      <c r="F7">
        <f>SUM(B7:E7)</f>
        <v>62246.755273875664</v>
      </c>
    </row>
    <row r="8" spans="1:11">
      <c r="A8" t="s">
        <v>219</v>
      </c>
      <c r="B8">
        <f>B7/B9</f>
        <v>0.9714032407880695</v>
      </c>
      <c r="C8">
        <f>C7/C9</f>
        <v>0.96919566566399706</v>
      </c>
      <c r="D8">
        <f>D7/D9</f>
        <v>0.73438773514524835</v>
      </c>
      <c r="E8">
        <f>E7/E9</f>
        <v>0.86612257740280774</v>
      </c>
      <c r="F8">
        <f>AVERAGE(B8:E8)</f>
        <v>0.88527730475003064</v>
      </c>
      <c r="G8">
        <f>D7/D9</f>
        <v>0.73438773514524835</v>
      </c>
      <c r="H8">
        <f>SUM(H3:H6)</f>
        <v>0.96919566566399695</v>
      </c>
      <c r="I8">
        <f>SUM(I3:I6)</f>
        <v>0.86612257740280774</v>
      </c>
      <c r="J8">
        <f>B7/B9</f>
        <v>0.9714032407880695</v>
      </c>
      <c r="K8">
        <f>SUM(K3:K6)</f>
        <v>0.90467410942763848</v>
      </c>
    </row>
    <row r="9" spans="1:11">
      <c r="A9" t="s">
        <v>63</v>
      </c>
      <c r="B9">
        <v>13354.79</v>
      </c>
      <c r="C9">
        <v>32477.962</v>
      </c>
      <c r="D9">
        <v>15949</v>
      </c>
      <c r="E9">
        <v>7023.97</v>
      </c>
      <c r="F9">
        <f>SUM(B9:E9)</f>
        <v>68805.721999999994</v>
      </c>
    </row>
    <row r="10" spans="1:11">
      <c r="A10" t="s">
        <v>230</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3A431-89B2-F240-9151-0820A559DBAC}">
  <dimension ref="A1:V7"/>
  <sheetViews>
    <sheetView zoomScale="55" zoomScaleNormal="55" workbookViewId="0"/>
  </sheetViews>
  <sheetFormatPr baseColWidth="10" defaultColWidth="10.6640625" defaultRowHeight="16"/>
  <cols>
    <col min="1" max="1" width="26.5" customWidth="1"/>
  </cols>
  <sheetData>
    <row r="1" spans="1:22">
      <c r="A1" t="s">
        <v>572</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74</v>
      </c>
      <c r="B3">
        <v>91.584421678266992</v>
      </c>
      <c r="C3">
        <v>89.346041265081737</v>
      </c>
      <c r="D3">
        <v>88.3</v>
      </c>
      <c r="E3">
        <v>82.066480446927372</v>
      </c>
      <c r="F3">
        <v>91.723066037735848</v>
      </c>
      <c r="G3">
        <v>81.161616161616152</v>
      </c>
      <c r="H3">
        <v>91.760222222222225</v>
      </c>
      <c r="I3">
        <v>89.959585798816576</v>
      </c>
      <c r="J3">
        <v>88.16493902439025</v>
      </c>
      <c r="K3">
        <v>86.35289308176101</v>
      </c>
      <c r="L3">
        <v>82.941923076923075</v>
      </c>
      <c r="M3">
        <v>81.8</v>
      </c>
      <c r="N3">
        <v>82.981848011630817</v>
      </c>
      <c r="O3">
        <v>84.886687385425788</v>
      </c>
      <c r="P3">
        <v>88.240310208543818</v>
      </c>
      <c r="Q3">
        <v>88.292352773953965</v>
      </c>
      <c r="R3">
        <v>90.044992534545045</v>
      </c>
      <c r="S3">
        <v>88.828136114401104</v>
      </c>
      <c r="T3">
        <v>89.670685392538516</v>
      </c>
      <c r="U3">
        <v>89.169823334212552</v>
      </c>
      <c r="V3">
        <v>97.140605841157821</v>
      </c>
    </row>
    <row r="4" spans="1:22">
      <c r="A4" t="s">
        <v>75</v>
      </c>
      <c r="B4">
        <v>100</v>
      </c>
      <c r="C4">
        <v>100</v>
      </c>
      <c r="D4">
        <v>100</v>
      </c>
      <c r="E4">
        <v>100</v>
      </c>
      <c r="F4">
        <v>95.540305575080453</v>
      </c>
      <c r="G4">
        <v>98.022095122110358</v>
      </c>
      <c r="H4">
        <v>97.953564014267144</v>
      </c>
      <c r="I4">
        <v>97.068702990995931</v>
      </c>
      <c r="J4">
        <v>96.044803133090909</v>
      </c>
      <c r="K4">
        <v>95.295698606129989</v>
      </c>
      <c r="L4">
        <v>94.84501528684045</v>
      </c>
      <c r="M4">
        <v>94.786964657251929</v>
      </c>
      <c r="N4">
        <v>94.755668427905746</v>
      </c>
      <c r="O4">
        <v>93.92127018982751</v>
      </c>
      <c r="P4">
        <v>95.151196417716051</v>
      </c>
      <c r="Q4">
        <v>94.639478720276202</v>
      </c>
      <c r="R4">
        <v>94.345556972898734</v>
      </c>
      <c r="S4">
        <v>93.684661506952921</v>
      </c>
      <c r="T4">
        <v>93.382140264899931</v>
      </c>
      <c r="U4">
        <v>93.130454559297192</v>
      </c>
      <c r="V4">
        <v>96.919566566399709</v>
      </c>
    </row>
    <row r="5" spans="1:22">
      <c r="A5" t="s">
        <v>232</v>
      </c>
      <c r="E5">
        <v>53.138075313807533</v>
      </c>
      <c r="F5">
        <v>33.217222222222219</v>
      </c>
      <c r="G5">
        <v>50.713809523809523</v>
      </c>
      <c r="H5">
        <v>51.523870967741935</v>
      </c>
      <c r="I5">
        <v>72.452847805788977</v>
      </c>
      <c r="J5">
        <v>68.033279340303338</v>
      </c>
      <c r="K5">
        <v>66.350472484713734</v>
      </c>
      <c r="L5">
        <v>73.926883891931084</v>
      </c>
      <c r="M5">
        <v>79.095695372109034</v>
      </c>
      <c r="N5">
        <v>81.760730889825922</v>
      </c>
      <c r="O5">
        <v>70.396470588235303</v>
      </c>
      <c r="P5">
        <v>69.605181818181819</v>
      </c>
      <c r="Q5">
        <v>71.500586465398541</v>
      </c>
      <c r="R5">
        <v>67.67474668745129</v>
      </c>
      <c r="S5">
        <v>68.493851229754057</v>
      </c>
      <c r="T5">
        <v>67.985479320074319</v>
      </c>
      <c r="U5">
        <v>68.132188826565766</v>
      </c>
      <c r="V5">
        <v>70.135055489372377</v>
      </c>
    </row>
    <row r="6" spans="1:22">
      <c r="A6" t="s">
        <v>233</v>
      </c>
      <c r="B6">
        <v>41.114058355437663</v>
      </c>
      <c r="C6">
        <v>53.809638748089142</v>
      </c>
      <c r="D6">
        <v>69.171611965604939</v>
      </c>
      <c r="E6">
        <v>84.976171434974233</v>
      </c>
      <c r="F6">
        <v>72.122979700000641</v>
      </c>
      <c r="G6">
        <v>88.554332055515658</v>
      </c>
      <c r="H6">
        <v>83.329258646724682</v>
      </c>
      <c r="I6">
        <v>83.386019508235037</v>
      </c>
      <c r="J6">
        <v>84.946389095766676</v>
      </c>
      <c r="K6">
        <v>83.77955331277451</v>
      </c>
      <c r="L6">
        <v>82.213807298240823</v>
      </c>
      <c r="M6">
        <v>82.710502773304711</v>
      </c>
      <c r="N6">
        <v>80.53409803043867</v>
      </c>
      <c r="O6">
        <v>79.935300885056563</v>
      </c>
      <c r="P6">
        <v>80.699444127209787</v>
      </c>
      <c r="Q6">
        <v>80.222603390152415</v>
      </c>
      <c r="R6">
        <v>79.682001865091692</v>
      </c>
      <c r="S6">
        <v>78.323933506514038</v>
      </c>
      <c r="T6">
        <v>76.643258337383557</v>
      </c>
      <c r="U6">
        <v>76.684762763272602</v>
      </c>
      <c r="V6">
        <v>78.93460535850808</v>
      </c>
    </row>
    <row r="7" spans="1:22">
      <c r="A7" t="s">
        <v>234</v>
      </c>
      <c r="B7">
        <v>88.907156028526359</v>
      </c>
      <c r="C7">
        <v>86.934006108086564</v>
      </c>
      <c r="D7">
        <v>87.17985586684074</v>
      </c>
      <c r="E7">
        <v>83.811898333963569</v>
      </c>
      <c r="F7">
        <v>86.593310892190658</v>
      </c>
      <c r="G7">
        <v>82.846759623406356</v>
      </c>
      <c r="H7">
        <v>87.380229854009357</v>
      </c>
      <c r="I7">
        <v>89.142103400140712</v>
      </c>
      <c r="J7">
        <v>87.861490855260897</v>
      </c>
      <c r="K7">
        <v>86.599756239128567</v>
      </c>
      <c r="L7">
        <v>85.863609324636883</v>
      </c>
      <c r="M7">
        <v>86.4</v>
      </c>
      <c r="N7">
        <v>87.20658011417089</v>
      </c>
      <c r="O7">
        <v>85.259830464039297</v>
      </c>
      <c r="P7">
        <v>86.573784649045223</v>
      </c>
      <c r="Q7">
        <v>86.779368902785691</v>
      </c>
      <c r="R7">
        <v>86.01682815636417</v>
      </c>
      <c r="S7">
        <v>81.892971024318541</v>
      </c>
      <c r="T7">
        <v>84.543312405588239</v>
      </c>
      <c r="U7">
        <v>84.501231815658628</v>
      </c>
      <c r="V7">
        <v>90.5</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A437-DFFD-B54A-9277-C0FCD9629BD5}">
  <dimension ref="A1:V7"/>
  <sheetViews>
    <sheetView zoomScale="55" zoomScaleNormal="55" workbookViewId="0"/>
  </sheetViews>
  <sheetFormatPr baseColWidth="10" defaultColWidth="10.6640625" defaultRowHeight="16"/>
  <cols>
    <col min="1" max="2" width="21.1640625" customWidth="1"/>
  </cols>
  <sheetData>
    <row r="1" spans="1:22">
      <c r="A1" t="s">
        <v>573</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74</v>
      </c>
      <c r="B3">
        <v>5031.5880111800952</v>
      </c>
      <c r="C3">
        <v>4427.1752164591235</v>
      </c>
      <c r="D3">
        <v>4189.2971456337646</v>
      </c>
      <c r="E3">
        <v>3360.4493907805631</v>
      </c>
      <c r="F3">
        <v>4131.8372021226396</v>
      </c>
      <c r="G3">
        <v>2961.4689368967452</v>
      </c>
      <c r="H3">
        <v>3897.0515005000002</v>
      </c>
      <c r="I3">
        <v>4297.91765682188</v>
      </c>
      <c r="J3">
        <v>4035.2466819085462</v>
      </c>
      <c r="K3">
        <v>3132.8139484511889</v>
      </c>
      <c r="L3">
        <v>3365.888828155762</v>
      </c>
      <c r="M3">
        <v>3225.2</v>
      </c>
      <c r="N3">
        <v>3075.8991475798198</v>
      </c>
      <c r="O3">
        <v>3078.3168367470221</v>
      </c>
      <c r="P3">
        <v>3522.2347219765443</v>
      </c>
      <c r="Q3">
        <v>3483.8812216051497</v>
      </c>
      <c r="R3">
        <v>3649.6539832326207</v>
      </c>
      <c r="S3">
        <v>3676.3777960864236</v>
      </c>
      <c r="T3">
        <v>3566.5064148180254</v>
      </c>
      <c r="U3">
        <v>3325.6143445541429</v>
      </c>
      <c r="V3">
        <v>3468.9248509325812</v>
      </c>
    </row>
    <row r="4" spans="1:22">
      <c r="A4" t="s">
        <v>75</v>
      </c>
      <c r="B4">
        <v>5500.8957599402192</v>
      </c>
      <c r="C4">
        <v>6164.8082285160181</v>
      </c>
      <c r="D4">
        <v>6443.6293274158425</v>
      </c>
      <c r="E4">
        <v>4925.5244714554128</v>
      </c>
      <c r="F4">
        <v>2635.2553498819011</v>
      </c>
      <c r="G4">
        <v>3087.4170571899422</v>
      </c>
      <c r="H4">
        <v>3141.730504975937</v>
      </c>
      <c r="I4">
        <v>3083.4289240566768</v>
      </c>
      <c r="J4">
        <v>3001.7807478888681</v>
      </c>
      <c r="K4">
        <v>2934.2</v>
      </c>
      <c r="L4">
        <v>2891.6</v>
      </c>
      <c r="M4">
        <v>2877.7</v>
      </c>
      <c r="N4">
        <v>2879.2552855029635</v>
      </c>
      <c r="O4">
        <v>2828.2439921570094</v>
      </c>
      <c r="P4">
        <v>2889.2747700508844</v>
      </c>
      <c r="Q4">
        <v>2808.1562911263145</v>
      </c>
      <c r="R4">
        <v>2777.4690202537872</v>
      </c>
      <c r="S4">
        <v>2708.0602310159834</v>
      </c>
      <c r="T4">
        <v>2680.7713868561686</v>
      </c>
      <c r="U4">
        <v>2676.3205398706932</v>
      </c>
      <c r="V4">
        <v>2788.698997083784</v>
      </c>
    </row>
    <row r="5" spans="1:22">
      <c r="A5" t="s">
        <v>235</v>
      </c>
      <c r="F5">
        <v>3340.2200000000007</v>
      </c>
      <c r="G5">
        <v>4140.59</v>
      </c>
      <c r="H5">
        <v>4552.78</v>
      </c>
      <c r="I5">
        <v>4587.46</v>
      </c>
      <c r="J5">
        <v>4608.5100000000011</v>
      </c>
      <c r="K5">
        <v>4558.7400000000007</v>
      </c>
      <c r="L5">
        <v>4465.1799999999994</v>
      </c>
      <c r="M5">
        <v>4294.38</v>
      </c>
      <c r="N5">
        <v>4127.7300000000005</v>
      </c>
      <c r="O5">
        <v>4074.9399999999996</v>
      </c>
      <c r="P5">
        <v>4034.8200000000006</v>
      </c>
      <c r="Q5">
        <v>3957.6800000000003</v>
      </c>
      <c r="R5">
        <v>3936.32</v>
      </c>
      <c r="S5">
        <v>3908.06</v>
      </c>
      <c r="T5">
        <v>3888.94</v>
      </c>
      <c r="U5">
        <v>3986.58</v>
      </c>
      <c r="V5">
        <v>3972.5400000000004</v>
      </c>
    </row>
    <row r="6" spans="1:22">
      <c r="A6" t="s">
        <v>236</v>
      </c>
      <c r="E6">
        <v>10000</v>
      </c>
      <c r="F6">
        <v>8658.5358641053608</v>
      </c>
      <c r="G6">
        <v>7145.264076350255</v>
      </c>
      <c r="H6">
        <v>6610.8562118270338</v>
      </c>
      <c r="I6">
        <v>6335.8012339575762</v>
      </c>
      <c r="J6">
        <v>5962.2475442919213</v>
      </c>
      <c r="K6">
        <v>5763.5378757317394</v>
      </c>
      <c r="L6">
        <v>5613.5154639359598</v>
      </c>
      <c r="M6">
        <v>5416.3429604258372</v>
      </c>
      <c r="N6">
        <v>5443.8812823000026</v>
      </c>
      <c r="O6">
        <v>5311.5261658679037</v>
      </c>
      <c r="P6">
        <v>5291.3198574458984</v>
      </c>
      <c r="Q6">
        <v>5222.4271464252261</v>
      </c>
      <c r="R6">
        <v>5229.7669603575741</v>
      </c>
      <c r="S6">
        <v>5169.5470463580959</v>
      </c>
      <c r="T6">
        <v>5165.62</v>
      </c>
      <c r="U6">
        <v>5123.9776327194222</v>
      </c>
      <c r="V6">
        <v>5102.1099208747919</v>
      </c>
    </row>
    <row r="7" spans="1:22">
      <c r="A7" t="s">
        <v>237</v>
      </c>
      <c r="B7">
        <v>4805.0309227336065</v>
      </c>
      <c r="C7">
        <v>4220.7959357764275</v>
      </c>
      <c r="D7">
        <v>4077.5153511667745</v>
      </c>
      <c r="E7">
        <v>3363.8209467133424</v>
      </c>
      <c r="F7">
        <v>3353.7637923026455</v>
      </c>
      <c r="G7">
        <v>2669.8522076052045</v>
      </c>
      <c r="H7">
        <v>2950.1565441191592</v>
      </c>
      <c r="I7">
        <v>3129.5009755622823</v>
      </c>
      <c r="J7">
        <v>2960.1509828236603</v>
      </c>
      <c r="K7">
        <v>2607.1627169420949</v>
      </c>
      <c r="L7">
        <v>2679.2603357248618</v>
      </c>
      <c r="M7">
        <v>2656.3</v>
      </c>
      <c r="N7">
        <v>2557.3092182039636</v>
      </c>
      <c r="O7">
        <v>2506.4978857252613</v>
      </c>
      <c r="P7">
        <v>2623.5874992646382</v>
      </c>
      <c r="Q7">
        <v>2581.0565430250663</v>
      </c>
      <c r="R7">
        <v>2551.0107064876402</v>
      </c>
      <c r="S7">
        <v>2389.9341832409004</v>
      </c>
      <c r="T7">
        <v>2436.0230762366978</v>
      </c>
      <c r="U7">
        <v>2387.3437476910112</v>
      </c>
      <c r="V7">
        <v>2603.4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4807-A59A-5548-9B39-03CFFE0B33A9}">
  <dimension ref="A1:E40"/>
  <sheetViews>
    <sheetView zoomScale="55" zoomScaleNormal="55" workbookViewId="0"/>
  </sheetViews>
  <sheetFormatPr baseColWidth="10" defaultColWidth="10.6640625" defaultRowHeight="16"/>
  <sheetData>
    <row r="1" spans="1:5">
      <c r="A1" t="s">
        <v>574</v>
      </c>
    </row>
    <row r="2" spans="1:5">
      <c r="C2">
        <v>2021</v>
      </c>
      <c r="D2">
        <v>2022</v>
      </c>
      <c r="E2">
        <v>2023</v>
      </c>
    </row>
    <row r="3" spans="1:5">
      <c r="A3">
        <v>1</v>
      </c>
      <c r="B3" t="s">
        <v>241</v>
      </c>
      <c r="C3">
        <v>390606.9</v>
      </c>
      <c r="D3">
        <v>420029.71</v>
      </c>
      <c r="E3">
        <v>422470.946</v>
      </c>
    </row>
    <row r="4" spans="1:5">
      <c r="A4">
        <v>2</v>
      </c>
      <c r="B4" t="s">
        <v>242</v>
      </c>
      <c r="C4">
        <v>146890.79999999999</v>
      </c>
      <c r="D4">
        <v>168390.43</v>
      </c>
      <c r="E4">
        <v>166313.39799999999</v>
      </c>
    </row>
    <row r="5" spans="1:5">
      <c r="A5">
        <v>3</v>
      </c>
      <c r="B5" t="s">
        <v>243</v>
      </c>
      <c r="C5">
        <v>73886.710000000006</v>
      </c>
      <c r="D5">
        <v>91387.65</v>
      </c>
      <c r="E5">
        <v>91387.7</v>
      </c>
    </row>
    <row r="6" spans="1:5">
      <c r="A6">
        <v>4</v>
      </c>
      <c r="B6" t="s">
        <v>244</v>
      </c>
      <c r="C6">
        <v>33285.795498899999</v>
      </c>
      <c r="D6">
        <v>38624.589999999997</v>
      </c>
      <c r="E6">
        <f>D6+(D6*0.071)</f>
        <v>41366.935889999993</v>
      </c>
    </row>
    <row r="7" spans="1:5">
      <c r="A7">
        <v>5</v>
      </c>
      <c r="B7" t="s">
        <v>245</v>
      </c>
      <c r="C7">
        <v>39294.199999999997</v>
      </c>
      <c r="D7">
        <v>37705.088000000003</v>
      </c>
      <c r="E7">
        <v>40346.108</v>
      </c>
    </row>
    <row r="8" spans="1:5">
      <c r="A8">
        <v>6</v>
      </c>
      <c r="B8" t="s">
        <v>246</v>
      </c>
      <c r="C8">
        <v>29268</v>
      </c>
      <c r="D8">
        <v>30868.080000000002</v>
      </c>
      <c r="E8">
        <v>32477.96</v>
      </c>
    </row>
    <row r="9" spans="1:5">
      <c r="A9">
        <v>7</v>
      </c>
      <c r="B9" t="s">
        <v>247</v>
      </c>
      <c r="C9">
        <v>25472.727644160001</v>
      </c>
      <c r="D9">
        <v>25181.599999999999</v>
      </c>
      <c r="E9">
        <v>29000</v>
      </c>
    </row>
    <row r="10" spans="1:5">
      <c r="A10">
        <v>9</v>
      </c>
      <c r="B10" t="s">
        <v>248</v>
      </c>
      <c r="C10">
        <v>12054.476707</v>
      </c>
      <c r="D10">
        <v>22253.1</v>
      </c>
      <c r="E10">
        <v>28082.13</v>
      </c>
    </row>
    <row r="11" spans="1:5">
      <c r="A11">
        <v>8</v>
      </c>
      <c r="B11" t="s">
        <v>249</v>
      </c>
      <c r="C11">
        <v>27567.15</v>
      </c>
      <c r="D11">
        <v>25922.02</v>
      </c>
      <c r="E11">
        <v>26691.89</v>
      </c>
    </row>
    <row r="12" spans="1:5">
      <c r="A12">
        <v>10</v>
      </c>
      <c r="B12" t="s">
        <v>250</v>
      </c>
      <c r="C12">
        <v>21863.885999999999</v>
      </c>
      <c r="D12">
        <v>21043.9</v>
      </c>
      <c r="E12">
        <v>22746.51</v>
      </c>
    </row>
    <row r="13" spans="1:5">
      <c r="A13">
        <v>11</v>
      </c>
      <c r="B13" t="s">
        <v>251</v>
      </c>
      <c r="C13">
        <v>21178.088</v>
      </c>
      <c r="D13">
        <v>20749.29</v>
      </c>
      <c r="E13">
        <v>22775.88</v>
      </c>
    </row>
    <row r="14" spans="1:5">
      <c r="A14">
        <v>12</v>
      </c>
      <c r="B14" t="s">
        <v>252</v>
      </c>
      <c r="C14">
        <v>19371.288</v>
      </c>
      <c r="D14">
        <v>20687.86</v>
      </c>
      <c r="E14">
        <v>19890.599400000003</v>
      </c>
    </row>
    <row r="15" spans="1:5">
      <c r="A15">
        <v>13</v>
      </c>
      <c r="B15" t="s">
        <v>253</v>
      </c>
      <c r="C15">
        <v>15554.25</v>
      </c>
      <c r="D15">
        <v>19901.29</v>
      </c>
      <c r="E15">
        <v>23288</v>
      </c>
    </row>
    <row r="16" spans="1:5">
      <c r="A16">
        <v>15</v>
      </c>
      <c r="B16" t="s">
        <v>254</v>
      </c>
      <c r="C16">
        <v>15453.74</v>
      </c>
      <c r="D16">
        <v>13676.825999999999</v>
      </c>
      <c r="E16">
        <v>14497.74</v>
      </c>
    </row>
    <row r="17" spans="1:5">
      <c r="A17">
        <v>16</v>
      </c>
      <c r="B17" t="s">
        <v>255</v>
      </c>
      <c r="C17">
        <v>9668.3053724999991</v>
      </c>
      <c r="D17">
        <v>9728.11</v>
      </c>
      <c r="E17">
        <v>8795.91</v>
      </c>
    </row>
    <row r="18" spans="1:5">
      <c r="A18">
        <v>14</v>
      </c>
      <c r="B18" t="s">
        <v>256</v>
      </c>
      <c r="C18">
        <v>8457.35</v>
      </c>
      <c r="D18">
        <v>8205.0300000000007</v>
      </c>
      <c r="E18">
        <v>8223.56</v>
      </c>
    </row>
    <row r="19" spans="1:5">
      <c r="A19">
        <v>17</v>
      </c>
      <c r="B19" t="s">
        <v>257</v>
      </c>
      <c r="C19">
        <v>8587</v>
      </c>
      <c r="D19">
        <v>5909.22</v>
      </c>
      <c r="E19">
        <v>11446.92</v>
      </c>
    </row>
    <row r="20" spans="1:5">
      <c r="A20">
        <v>18</v>
      </c>
      <c r="B20" t="s">
        <v>258</v>
      </c>
      <c r="C20">
        <v>7272.04</v>
      </c>
      <c r="D20">
        <v>7264.5</v>
      </c>
      <c r="E20">
        <v>7916.86</v>
      </c>
    </row>
    <row r="21" spans="1:5">
      <c r="A21">
        <v>20</v>
      </c>
      <c r="B21" t="s">
        <v>259</v>
      </c>
      <c r="C21">
        <v>6399.88</v>
      </c>
      <c r="D21">
        <v>5716.23</v>
      </c>
      <c r="E21">
        <v>6470.4</v>
      </c>
    </row>
    <row r="22" spans="1:5">
      <c r="A22">
        <v>19</v>
      </c>
      <c r="B22" t="s">
        <v>260</v>
      </c>
      <c r="C22">
        <v>5135.75</v>
      </c>
      <c r="D22">
        <v>4747</v>
      </c>
      <c r="E22">
        <v>6426</v>
      </c>
    </row>
    <row r="23" spans="1:5">
      <c r="A23">
        <v>24</v>
      </c>
      <c r="B23" t="s">
        <v>261</v>
      </c>
      <c r="C23">
        <v>6022.92</v>
      </c>
      <c r="D23">
        <v>6095.57</v>
      </c>
      <c r="E23">
        <f>D23+(D23*0.01206)</f>
        <v>6169.0825741999997</v>
      </c>
    </row>
    <row r="24" spans="1:5">
      <c r="A24">
        <v>23</v>
      </c>
      <c r="B24" t="s">
        <v>262</v>
      </c>
      <c r="C24">
        <v>4353.66</v>
      </c>
      <c r="D24">
        <v>4214.8999999999996</v>
      </c>
      <c r="E24">
        <v>4925.2</v>
      </c>
    </row>
    <row r="25" spans="1:5">
      <c r="A25">
        <v>22</v>
      </c>
      <c r="B25" t="s">
        <v>263</v>
      </c>
      <c r="C25">
        <v>4107.3599999999997</v>
      </c>
      <c r="D25">
        <v>3862.27</v>
      </c>
      <c r="E25">
        <v>4291.5200000000004</v>
      </c>
    </row>
    <row r="26" spans="1:5">
      <c r="A26">
        <v>25</v>
      </c>
      <c r="B26" t="s">
        <v>264</v>
      </c>
      <c r="C26">
        <v>4304</v>
      </c>
      <c r="D26">
        <v>3860.9409999999998</v>
      </c>
      <c r="E26">
        <v>3918.5</v>
      </c>
    </row>
    <row r="27" spans="1:5">
      <c r="A27">
        <v>21</v>
      </c>
      <c r="B27" t="s">
        <v>265</v>
      </c>
      <c r="C27">
        <v>3867.33</v>
      </c>
      <c r="D27">
        <v>3917.56</v>
      </c>
      <c r="E27">
        <v>3847.21</v>
      </c>
    </row>
    <row r="28" spans="1:5">
      <c r="A28">
        <v>26</v>
      </c>
      <c r="B28" t="s">
        <v>266</v>
      </c>
      <c r="C28">
        <v>4080</v>
      </c>
      <c r="D28">
        <v>3135.38</v>
      </c>
      <c r="E28">
        <v>3275.13</v>
      </c>
    </row>
    <row r="29" spans="1:5">
      <c r="A29">
        <v>27</v>
      </c>
      <c r="B29" t="s">
        <v>267</v>
      </c>
      <c r="C29">
        <v>3151.5169999999998</v>
      </c>
      <c r="D29">
        <v>3046.3</v>
      </c>
      <c r="E29">
        <v>3258.6959999999999</v>
      </c>
    </row>
    <row r="30" spans="1:5">
      <c r="A30">
        <v>28</v>
      </c>
      <c r="B30" t="s">
        <v>268</v>
      </c>
      <c r="C30">
        <v>3027.8775999999998</v>
      </c>
      <c r="D30">
        <v>2906.29</v>
      </c>
      <c r="E30">
        <v>3208.42</v>
      </c>
    </row>
    <row r="31" spans="1:5">
      <c r="A31">
        <v>29</v>
      </c>
      <c r="B31" t="s">
        <v>269</v>
      </c>
      <c r="C31">
        <v>2301.6367659999996</v>
      </c>
      <c r="D31">
        <v>2799.1</v>
      </c>
      <c r="E31">
        <v>3120.51</v>
      </c>
    </row>
    <row r="32" spans="1:5">
      <c r="A32">
        <v>31</v>
      </c>
      <c r="B32" t="s">
        <v>270</v>
      </c>
      <c r="C32">
        <v>2878.44</v>
      </c>
      <c r="D32">
        <v>2622.6</v>
      </c>
      <c r="E32">
        <v>2968.25</v>
      </c>
    </row>
    <row r="33" spans="1:5">
      <c r="A33">
        <v>33</v>
      </c>
      <c r="B33" t="s">
        <v>271</v>
      </c>
      <c r="C33">
        <v>2983.6550000000002</v>
      </c>
      <c r="D33">
        <v>2524.06</v>
      </c>
      <c r="E33">
        <v>2760.4</v>
      </c>
    </row>
    <row r="34" spans="1:5">
      <c r="A34">
        <v>34</v>
      </c>
      <c r="B34" t="s">
        <v>272</v>
      </c>
      <c r="C34">
        <v>2860.33</v>
      </c>
      <c r="D34">
        <v>2820.74</v>
      </c>
      <c r="E34">
        <v>2745.45</v>
      </c>
    </row>
    <row r="35" spans="1:5">
      <c r="A35">
        <v>30</v>
      </c>
      <c r="B35" t="s">
        <v>273</v>
      </c>
      <c r="C35">
        <v>2598.0309999999999</v>
      </c>
      <c r="D35">
        <v>2728.11</v>
      </c>
      <c r="E35">
        <v>2610</v>
      </c>
    </row>
    <row r="36" spans="1:5">
      <c r="A36">
        <v>35</v>
      </c>
      <c r="B36" t="s">
        <v>274</v>
      </c>
      <c r="C36">
        <v>2318.7581559999999</v>
      </c>
      <c r="D36">
        <v>2461.9830000000002</v>
      </c>
      <c r="E36">
        <v>2522.41</v>
      </c>
    </row>
    <row r="37" spans="1:5">
      <c r="A37">
        <v>32</v>
      </c>
      <c r="B37" t="s">
        <v>275</v>
      </c>
      <c r="C37">
        <v>2598.607</v>
      </c>
      <c r="D37">
        <v>2681.8</v>
      </c>
      <c r="E37">
        <v>2235.63</v>
      </c>
    </row>
    <row r="38" spans="1:5">
      <c r="A38">
        <v>36</v>
      </c>
      <c r="B38" t="s">
        <v>276</v>
      </c>
      <c r="C38">
        <v>1461.74</v>
      </c>
      <c r="D38">
        <v>1444.9280000000001</v>
      </c>
      <c r="E38">
        <v>1122.51</v>
      </c>
    </row>
    <row r="40" spans="1:5">
      <c r="A40" t="s">
        <v>277</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9BB0F-ADB3-BC46-9001-E4BAF7F69D8E}">
  <dimension ref="A1:W9"/>
  <sheetViews>
    <sheetView zoomScale="55" zoomScaleNormal="55" workbookViewId="0"/>
  </sheetViews>
  <sheetFormatPr baseColWidth="10" defaultColWidth="10.6640625" defaultRowHeight="16"/>
  <sheetData>
    <row r="1" spans="1:23">
      <c r="A1" t="s">
        <v>575</v>
      </c>
    </row>
    <row r="2" spans="1:23">
      <c r="B2">
        <v>2002</v>
      </c>
      <c r="C2">
        <v>2003</v>
      </c>
      <c r="D2">
        <v>2004</v>
      </c>
      <c r="E2">
        <v>2005</v>
      </c>
      <c r="F2">
        <v>2006</v>
      </c>
      <c r="G2">
        <v>2007</v>
      </c>
      <c r="H2">
        <v>2008</v>
      </c>
      <c r="I2">
        <v>2009</v>
      </c>
      <c r="J2">
        <v>2010</v>
      </c>
      <c r="K2">
        <v>2011</v>
      </c>
      <c r="L2">
        <v>2012</v>
      </c>
      <c r="M2">
        <v>2013</v>
      </c>
      <c r="N2">
        <v>2014</v>
      </c>
      <c r="O2">
        <v>2015</v>
      </c>
      <c r="P2">
        <v>2016</v>
      </c>
      <c r="Q2">
        <v>2017</v>
      </c>
      <c r="R2">
        <v>2018</v>
      </c>
      <c r="S2">
        <v>2019</v>
      </c>
      <c r="T2">
        <v>2020</v>
      </c>
      <c r="U2">
        <v>2021</v>
      </c>
      <c r="V2">
        <v>2022</v>
      </c>
      <c r="W2">
        <v>2023</v>
      </c>
    </row>
    <row r="3" spans="1:23">
      <c r="A3" t="s">
        <v>301</v>
      </c>
      <c r="B3">
        <v>100</v>
      </c>
      <c r="C3">
        <v>102.2</v>
      </c>
      <c r="D3">
        <v>103.8</v>
      </c>
      <c r="E3">
        <v>105.5</v>
      </c>
      <c r="F3">
        <v>107.5</v>
      </c>
      <c r="G3">
        <v>109.8</v>
      </c>
      <c r="H3">
        <v>111.7</v>
      </c>
      <c r="I3">
        <v>113.6</v>
      </c>
      <c r="J3">
        <v>115.6</v>
      </c>
      <c r="K3">
        <v>117.5</v>
      </c>
      <c r="L3">
        <v>119.5</v>
      </c>
      <c r="M3">
        <v>121</v>
      </c>
      <c r="N3">
        <v>123.2</v>
      </c>
      <c r="O3">
        <v>125.9</v>
      </c>
      <c r="P3">
        <v>128.19999999999999</v>
      </c>
      <c r="Q3">
        <v>130.4</v>
      </c>
      <c r="R3">
        <v>133.4</v>
      </c>
      <c r="S3">
        <v>136</v>
      </c>
      <c r="T3">
        <v>137</v>
      </c>
      <c r="U3">
        <v>141.6</v>
      </c>
      <c r="V3">
        <v>151.19999999999999</v>
      </c>
      <c r="W3">
        <v>157.1</v>
      </c>
    </row>
    <row r="4" spans="1:23">
      <c r="A4" t="s">
        <v>302</v>
      </c>
      <c r="B4">
        <v>100</v>
      </c>
      <c r="C4">
        <v>104.8</v>
      </c>
      <c r="D4">
        <v>108.8</v>
      </c>
      <c r="E4">
        <v>112.5</v>
      </c>
      <c r="F4">
        <v>116.8</v>
      </c>
      <c r="G4">
        <v>122.7</v>
      </c>
      <c r="H4">
        <v>128.69999999999999</v>
      </c>
      <c r="I4">
        <v>135.80000000000001</v>
      </c>
      <c r="J4">
        <v>143.4</v>
      </c>
      <c r="K4">
        <v>151.4</v>
      </c>
      <c r="L4">
        <v>159</v>
      </c>
      <c r="M4">
        <v>162.80000000000001</v>
      </c>
      <c r="N4">
        <v>166.6</v>
      </c>
      <c r="O4">
        <v>170.7</v>
      </c>
      <c r="P4">
        <v>178.3</v>
      </c>
      <c r="Q4">
        <v>185.5</v>
      </c>
      <c r="R4">
        <v>195.4</v>
      </c>
      <c r="S4">
        <v>210.3</v>
      </c>
      <c r="T4">
        <v>216.2</v>
      </c>
      <c r="U4">
        <v>225.6</v>
      </c>
      <c r="V4">
        <v>240.6</v>
      </c>
      <c r="W4">
        <v>249</v>
      </c>
    </row>
    <row r="5" spans="1:23">
      <c r="A5" t="s">
        <v>303</v>
      </c>
      <c r="P5">
        <v>102.4</v>
      </c>
      <c r="Q5">
        <v>100</v>
      </c>
      <c r="R5">
        <v>95.1</v>
      </c>
      <c r="S5">
        <v>93.2</v>
      </c>
      <c r="T5">
        <v>83</v>
      </c>
      <c r="U5">
        <v>69</v>
      </c>
      <c r="V5">
        <v>65.400000000000006</v>
      </c>
      <c r="W5">
        <v>57.6</v>
      </c>
    </row>
    <row r="6" spans="1:23">
      <c r="A6" t="s">
        <v>384</v>
      </c>
      <c r="B6">
        <v>100</v>
      </c>
      <c r="C6">
        <v>100.2</v>
      </c>
      <c r="D6">
        <v>100.6</v>
      </c>
      <c r="E6">
        <v>101</v>
      </c>
      <c r="F6">
        <v>100.9</v>
      </c>
      <c r="G6">
        <v>101.6</v>
      </c>
      <c r="H6">
        <v>105.9</v>
      </c>
      <c r="I6">
        <v>106.5</v>
      </c>
      <c r="J6">
        <v>111.2</v>
      </c>
      <c r="K6">
        <v>112.3</v>
      </c>
      <c r="L6">
        <v>114.6</v>
      </c>
      <c r="M6">
        <v>116.4</v>
      </c>
      <c r="N6">
        <v>120.4</v>
      </c>
      <c r="O6">
        <v>123.7</v>
      </c>
      <c r="P6">
        <v>123.4</v>
      </c>
      <c r="Q6">
        <v>122.8</v>
      </c>
      <c r="R6">
        <v>119.9</v>
      </c>
      <c r="S6">
        <v>118.9</v>
      </c>
      <c r="T6">
        <v>109.2</v>
      </c>
      <c r="U6">
        <v>95.4</v>
      </c>
      <c r="V6">
        <v>92.3</v>
      </c>
      <c r="W6">
        <v>84.1</v>
      </c>
    </row>
    <row r="7" spans="1:23">
      <c r="A7" t="s">
        <v>24</v>
      </c>
      <c r="C7">
        <v>99.1</v>
      </c>
      <c r="D7">
        <v>99</v>
      </c>
      <c r="E7">
        <v>97.1</v>
      </c>
      <c r="F7">
        <v>96.7</v>
      </c>
      <c r="G7">
        <v>97.5</v>
      </c>
      <c r="H7">
        <v>95.8</v>
      </c>
      <c r="I7">
        <v>94.8</v>
      </c>
      <c r="J7">
        <v>95.8</v>
      </c>
      <c r="K7">
        <v>100.9</v>
      </c>
      <c r="L7">
        <v>105.2</v>
      </c>
      <c r="M7">
        <v>109.1</v>
      </c>
      <c r="N7">
        <v>117.8</v>
      </c>
      <c r="O7">
        <v>123.7</v>
      </c>
      <c r="P7">
        <v>124.7</v>
      </c>
      <c r="Q7">
        <v>123.5</v>
      </c>
      <c r="R7">
        <v>130.30000000000001</v>
      </c>
      <c r="S7">
        <v>120.9</v>
      </c>
      <c r="T7">
        <v>123.5</v>
      </c>
      <c r="U7">
        <v>126.6</v>
      </c>
      <c r="V7">
        <v>125.2</v>
      </c>
      <c r="W7">
        <v>121.4</v>
      </c>
    </row>
    <row r="8" spans="1:23">
      <c r="A8" t="s">
        <v>304</v>
      </c>
      <c r="B8">
        <v>100</v>
      </c>
      <c r="C8">
        <v>98.9</v>
      </c>
      <c r="D8">
        <v>95.2</v>
      </c>
      <c r="E8">
        <v>92.7</v>
      </c>
      <c r="F8">
        <v>89</v>
      </c>
      <c r="G8">
        <v>86.1</v>
      </c>
      <c r="H8">
        <v>81.900000000000006</v>
      </c>
      <c r="I8">
        <v>78.3</v>
      </c>
      <c r="J8">
        <v>73.2</v>
      </c>
      <c r="K8">
        <v>69.3</v>
      </c>
      <c r="L8">
        <v>63.6</v>
      </c>
      <c r="M8">
        <v>60</v>
      </c>
      <c r="N8">
        <v>57.3</v>
      </c>
      <c r="O8">
        <v>55.4</v>
      </c>
      <c r="P8">
        <v>54.5</v>
      </c>
      <c r="Q8">
        <v>51.6</v>
      </c>
      <c r="R8">
        <v>49.7</v>
      </c>
      <c r="S8">
        <v>47.2</v>
      </c>
      <c r="T8">
        <v>44.9</v>
      </c>
      <c r="U8">
        <v>45.1</v>
      </c>
      <c r="V8">
        <v>43.9</v>
      </c>
      <c r="W8">
        <v>43.1</v>
      </c>
    </row>
    <row r="9" spans="1:23">
      <c r="A9" t="s">
        <v>305</v>
      </c>
      <c r="B9">
        <v>100</v>
      </c>
      <c r="C9">
        <v>90.2</v>
      </c>
      <c r="D9">
        <v>75.099999999999994</v>
      </c>
      <c r="E9">
        <v>59.5</v>
      </c>
      <c r="F9">
        <v>49.1</v>
      </c>
      <c r="G9">
        <v>40.700000000000003</v>
      </c>
      <c r="H9">
        <v>35.299999999999997</v>
      </c>
      <c r="I9">
        <v>31.6</v>
      </c>
      <c r="J9">
        <v>27.5</v>
      </c>
      <c r="K9">
        <v>24.4</v>
      </c>
      <c r="L9">
        <v>22.9</v>
      </c>
      <c r="M9">
        <v>22.1</v>
      </c>
      <c r="N9">
        <v>21</v>
      </c>
      <c r="O9">
        <v>20.9</v>
      </c>
      <c r="P9">
        <v>20.6</v>
      </c>
      <c r="Q9">
        <v>19.899999999999999</v>
      </c>
      <c r="R9">
        <v>19</v>
      </c>
      <c r="S9">
        <v>18.5</v>
      </c>
      <c r="T9">
        <v>17.399999999999999</v>
      </c>
      <c r="U9">
        <v>16.399999999999999</v>
      </c>
      <c r="V9">
        <v>15.1</v>
      </c>
      <c r="W9">
        <v>14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0F7F-AA32-0E46-BAE5-2D499B61AAE0}">
  <dimension ref="A1:D12"/>
  <sheetViews>
    <sheetView zoomScale="70" zoomScaleNormal="70" workbookViewId="0"/>
  </sheetViews>
  <sheetFormatPr baseColWidth="10" defaultColWidth="10.6640625" defaultRowHeight="16"/>
  <cols>
    <col min="1" max="1" width="17.33203125" customWidth="1"/>
    <col min="2" max="3" width="12.6640625" bestFit="1" customWidth="1"/>
    <col min="5" max="5" width="15.1640625" customWidth="1"/>
    <col min="6" max="6" width="14.1640625" customWidth="1"/>
  </cols>
  <sheetData>
    <row r="1" spans="1:4" ht="17" customHeight="1">
      <c r="A1" t="s">
        <v>576</v>
      </c>
    </row>
    <row r="2" spans="1:4" ht="15" customHeight="1">
      <c r="A2" t="s">
        <v>307</v>
      </c>
      <c r="B2">
        <v>2020</v>
      </c>
      <c r="C2">
        <v>2023</v>
      </c>
      <c r="D2" t="s">
        <v>308</v>
      </c>
    </row>
    <row r="3" spans="1:4">
      <c r="A3" t="s">
        <v>216</v>
      </c>
      <c r="B3">
        <v>71.714178652135189</v>
      </c>
      <c r="C3">
        <v>82.402111233510453</v>
      </c>
      <c r="D3">
        <v>4.74</v>
      </c>
    </row>
    <row r="4" spans="1:4">
      <c r="A4" t="s">
        <v>121</v>
      </c>
      <c r="B4">
        <v>65.26496197340434</v>
      </c>
      <c r="C4">
        <v>74.863411990449819</v>
      </c>
      <c r="D4">
        <v>4.68</v>
      </c>
    </row>
    <row r="5" spans="1:4">
      <c r="A5" t="s">
        <v>156</v>
      </c>
      <c r="B5">
        <v>68.849289297658871</v>
      </c>
      <c r="C5">
        <v>75.903964875127201</v>
      </c>
      <c r="D5">
        <v>3.3</v>
      </c>
    </row>
    <row r="6" spans="1:4">
      <c r="A6" t="s">
        <v>217</v>
      </c>
      <c r="B6">
        <v>50.850049793711769</v>
      </c>
      <c r="C6">
        <v>61.899195782270681</v>
      </c>
      <c r="D6">
        <v>6.77</v>
      </c>
    </row>
    <row r="8" spans="1:4">
      <c r="A8" t="s">
        <v>306</v>
      </c>
    </row>
    <row r="9" spans="1:4">
      <c r="A9" t="s">
        <v>216</v>
      </c>
      <c r="B9">
        <v>64.69</v>
      </c>
      <c r="C9">
        <v>59.08</v>
      </c>
      <c r="D9">
        <v>-2.96</v>
      </c>
    </row>
    <row r="10" spans="1:4">
      <c r="A10" t="s">
        <v>121</v>
      </c>
      <c r="B10">
        <v>50.75</v>
      </c>
      <c r="C10">
        <v>57.86</v>
      </c>
      <c r="D10">
        <v>4.47</v>
      </c>
    </row>
    <row r="11" spans="1:4">
      <c r="A11" t="s">
        <v>156</v>
      </c>
      <c r="B11">
        <v>57.41</v>
      </c>
      <c r="C11">
        <v>58.78</v>
      </c>
      <c r="D11">
        <v>0.79</v>
      </c>
    </row>
    <row r="12" spans="1:4">
      <c r="A12" t="s">
        <v>217</v>
      </c>
      <c r="B12">
        <v>38.65</v>
      </c>
      <c r="C12">
        <v>37.44</v>
      </c>
      <c r="D12">
        <v>-1.05</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E33DF-E33E-D142-BA7E-7EC31C5187A6}">
  <dimension ref="A1:G20"/>
  <sheetViews>
    <sheetView zoomScale="55" zoomScaleNormal="55" workbookViewId="0"/>
  </sheetViews>
  <sheetFormatPr baseColWidth="10" defaultColWidth="10.6640625" defaultRowHeight="16"/>
  <cols>
    <col min="1" max="1" width="30.1640625" customWidth="1"/>
  </cols>
  <sheetData>
    <row r="1" spans="1:7" ht="14.5" customHeight="1">
      <c r="A1" t="s">
        <v>577</v>
      </c>
    </row>
    <row r="2" spans="1:7">
      <c r="B2" t="s">
        <v>278</v>
      </c>
      <c r="C2" t="s">
        <v>279</v>
      </c>
      <c r="D2" t="s">
        <v>280</v>
      </c>
      <c r="E2" t="s">
        <v>281</v>
      </c>
      <c r="F2" t="s">
        <v>282</v>
      </c>
      <c r="G2" t="s">
        <v>283</v>
      </c>
    </row>
    <row r="3" spans="1:7">
      <c r="A3" t="s">
        <v>284</v>
      </c>
      <c r="B3">
        <f t="shared" ref="B3:F6" si="0">B17+(B17*B11)</f>
        <v>0.84357823999999992</v>
      </c>
      <c r="C3">
        <f t="shared" si="0"/>
        <v>0.93810601000000005</v>
      </c>
      <c r="D3">
        <f t="shared" si="0"/>
        <v>0.98440450000000002</v>
      </c>
      <c r="E3">
        <v>1</v>
      </c>
      <c r="F3">
        <v>1</v>
      </c>
      <c r="G3">
        <f>AVERAGE(B3:F3)</f>
        <v>0.95321774999999997</v>
      </c>
    </row>
    <row r="4" spans="1:7">
      <c r="A4" t="s">
        <v>285</v>
      </c>
      <c r="B4">
        <f t="shared" si="0"/>
        <v>0.80178997000000007</v>
      </c>
      <c r="C4">
        <f t="shared" si="0"/>
        <v>0.91446309000000003</v>
      </c>
      <c r="D4">
        <f t="shared" si="0"/>
        <v>0.97381768000000002</v>
      </c>
      <c r="E4">
        <f t="shared" si="0"/>
        <v>0.98991383999999993</v>
      </c>
      <c r="F4">
        <f t="shared" si="0"/>
        <v>0.98790181999999993</v>
      </c>
      <c r="G4">
        <f t="shared" ref="G4:G6" si="1">AVERAGE(B4:F4)</f>
        <v>0.93357728000000006</v>
      </c>
    </row>
    <row r="5" spans="1:7">
      <c r="A5" t="s">
        <v>286</v>
      </c>
      <c r="B5">
        <f t="shared" si="0"/>
        <v>0.63830139100000005</v>
      </c>
      <c r="C5">
        <f t="shared" si="0"/>
        <v>0.80613970000000001</v>
      </c>
      <c r="D5">
        <f t="shared" si="0"/>
        <v>0.85920205999999999</v>
      </c>
      <c r="E5">
        <f t="shared" si="0"/>
        <v>0.89083539</v>
      </c>
      <c r="F5">
        <f t="shared" si="0"/>
        <v>0.93063216000000004</v>
      </c>
      <c r="G5">
        <f t="shared" si="1"/>
        <v>0.82502214020000009</v>
      </c>
    </row>
    <row r="6" spans="1:7">
      <c r="A6" t="s">
        <v>287</v>
      </c>
      <c r="B6">
        <f t="shared" si="0"/>
        <v>0.58434707099999994</v>
      </c>
      <c r="C6">
        <f t="shared" si="0"/>
        <v>0.61121360300000005</v>
      </c>
      <c r="D6">
        <f t="shared" si="0"/>
        <v>0.59778033699999999</v>
      </c>
      <c r="E6">
        <f t="shared" si="0"/>
        <v>0.59106370399999997</v>
      </c>
      <c r="F6">
        <f t="shared" si="0"/>
        <v>0.70140838900000002</v>
      </c>
      <c r="G6">
        <f t="shared" si="1"/>
        <v>0.61716262079999995</v>
      </c>
    </row>
    <row r="9" spans="1:7">
      <c r="A9" t="s">
        <v>288</v>
      </c>
      <c r="B9">
        <v>2.2532188841201617E-2</v>
      </c>
      <c r="C9">
        <v>2.2532188841201617E-2</v>
      </c>
      <c r="D9">
        <v>2.2532188841201617E-2</v>
      </c>
      <c r="E9">
        <v>2.2532188841201617E-2</v>
      </c>
      <c r="F9">
        <v>2.2532188841201617E-2</v>
      </c>
      <c r="G9">
        <v>2.2532188841201617E-2</v>
      </c>
    </row>
    <row r="10" spans="1:7">
      <c r="A10" t="s">
        <v>289</v>
      </c>
      <c r="B10">
        <f t="shared" ref="B10:G10" si="2">B17+(B17*B9)</f>
        <v>0.84256652360515005</v>
      </c>
      <c r="C10">
        <f t="shared" si="2"/>
        <v>0.93970708154506433</v>
      </c>
      <c r="D10">
        <f t="shared" si="2"/>
        <v>0.99185622317596556</v>
      </c>
      <c r="E10">
        <f t="shared" si="2"/>
        <v>1.0133293991416308</v>
      </c>
      <c r="F10">
        <f t="shared" si="2"/>
        <v>1.0133293991416308</v>
      </c>
      <c r="G10">
        <f t="shared" si="2"/>
        <v>0.96015772532188837</v>
      </c>
    </row>
    <row r="11" spans="1:7">
      <c r="A11" t="s">
        <v>290</v>
      </c>
      <c r="B11">
        <v>2.376E-2</v>
      </c>
      <c r="C11">
        <v>2.0789999999999999E-2</v>
      </c>
      <c r="D11">
        <v>1.485E-2</v>
      </c>
      <c r="E11">
        <v>1.188E-2</v>
      </c>
      <c r="F11">
        <v>1.188E-2</v>
      </c>
      <c r="G11">
        <v>1.188E-2</v>
      </c>
    </row>
    <row r="12" spans="1:7">
      <c r="A12" t="s">
        <v>291</v>
      </c>
      <c r="B12">
        <v>6.0099999999999997E-3</v>
      </c>
      <c r="C12">
        <v>6.0099999999999997E-3</v>
      </c>
      <c r="D12">
        <v>6.0099999999999997E-3</v>
      </c>
      <c r="E12">
        <v>6.0099999999999997E-3</v>
      </c>
      <c r="F12">
        <v>6.0099999999999997E-3</v>
      </c>
      <c r="G12">
        <v>6.0099999999999997E-3</v>
      </c>
    </row>
    <row r="13" spans="1:7">
      <c r="A13" t="s">
        <v>292</v>
      </c>
      <c r="B13">
        <v>2.0430000000000001E-3</v>
      </c>
      <c r="C13">
        <v>2.043E-2</v>
      </c>
      <c r="D13">
        <v>2.043E-2</v>
      </c>
      <c r="E13">
        <v>2.043E-2</v>
      </c>
      <c r="F13">
        <v>2.043E-2</v>
      </c>
      <c r="G13">
        <v>2.043E-2</v>
      </c>
    </row>
    <row r="14" spans="1:7">
      <c r="A14" t="s">
        <v>293</v>
      </c>
      <c r="B14">
        <v>-4.0481000000000003E-2</v>
      </c>
      <c r="C14">
        <v>-4.0481000000000003E-2</v>
      </c>
      <c r="D14">
        <v>-4.0481000000000003E-2</v>
      </c>
      <c r="E14">
        <v>-4.0481000000000003E-2</v>
      </c>
      <c r="F14">
        <v>-4.0481000000000003E-2</v>
      </c>
      <c r="G14">
        <v>-4.0481000000000003E-2</v>
      </c>
    </row>
    <row r="16" spans="1:7">
      <c r="A16">
        <v>2021</v>
      </c>
      <c r="B16" t="s">
        <v>294</v>
      </c>
      <c r="C16" t="s">
        <v>295</v>
      </c>
      <c r="D16" t="s">
        <v>296</v>
      </c>
      <c r="E16" t="s">
        <v>297</v>
      </c>
      <c r="F16" t="s">
        <v>298</v>
      </c>
      <c r="G16" t="s">
        <v>299</v>
      </c>
    </row>
    <row r="17" spans="1:7">
      <c r="A17" t="s">
        <v>300</v>
      </c>
      <c r="B17">
        <v>0.82399999999999995</v>
      </c>
      <c r="C17">
        <v>0.91900000000000004</v>
      </c>
      <c r="D17">
        <v>0.97</v>
      </c>
      <c r="E17">
        <v>0.99099999999999999</v>
      </c>
      <c r="F17">
        <v>0.99099999999999999</v>
      </c>
      <c r="G17">
        <f>AVERAGE(B17:F17)</f>
        <v>0.93900000000000006</v>
      </c>
    </row>
    <row r="18" spans="1:7">
      <c r="A18" t="s">
        <v>285</v>
      </c>
      <c r="B18">
        <v>0.79700000000000004</v>
      </c>
      <c r="C18">
        <v>0.90900000000000003</v>
      </c>
      <c r="D18">
        <v>0.96799999999999997</v>
      </c>
      <c r="E18">
        <v>0.98399999999999999</v>
      </c>
      <c r="F18">
        <v>0.98199999999999998</v>
      </c>
      <c r="G18">
        <f>AVERAGE(B18:F18)</f>
        <v>0.92799999999999994</v>
      </c>
    </row>
    <row r="19" spans="1:7">
      <c r="A19" t="s">
        <v>286</v>
      </c>
      <c r="B19">
        <v>0.63700000000000001</v>
      </c>
      <c r="C19">
        <v>0.79</v>
      </c>
      <c r="D19">
        <v>0.84199999999999997</v>
      </c>
      <c r="E19">
        <v>0.873</v>
      </c>
      <c r="F19">
        <v>0.91200000000000003</v>
      </c>
      <c r="G19">
        <f>AVERAGE(B19:F19)</f>
        <v>0.81080000000000008</v>
      </c>
    </row>
    <row r="20" spans="1:7">
      <c r="A20" t="s">
        <v>287</v>
      </c>
      <c r="B20">
        <v>0.60899999999999999</v>
      </c>
      <c r="C20">
        <v>0.63700000000000001</v>
      </c>
      <c r="D20">
        <v>0.623</v>
      </c>
      <c r="E20">
        <v>0.61599999999999999</v>
      </c>
      <c r="F20">
        <v>0.73099999999999998</v>
      </c>
      <c r="G20">
        <f>AVERAGE(B20:F20)</f>
        <v>0.64319999999999999</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2E50-2150-AA4C-9973-170772CE2BE1}">
  <dimension ref="A1:G42"/>
  <sheetViews>
    <sheetView zoomScale="55" zoomScaleNormal="55" workbookViewId="0"/>
  </sheetViews>
  <sheetFormatPr baseColWidth="10" defaultColWidth="10.6640625" defaultRowHeight="16"/>
  <cols>
    <col min="1" max="7" width="10.83203125"/>
  </cols>
  <sheetData>
    <row r="1" spans="1:7" ht="16.5" customHeight="1">
      <c r="A1" t="s">
        <v>578</v>
      </c>
    </row>
    <row r="2" spans="1:7">
      <c r="A2" t="s">
        <v>309</v>
      </c>
      <c r="C2" t="s">
        <v>310</v>
      </c>
      <c r="D2" t="s">
        <v>311</v>
      </c>
      <c r="E2" t="s">
        <v>312</v>
      </c>
      <c r="F2" t="s">
        <v>313</v>
      </c>
      <c r="G2" t="s">
        <v>39</v>
      </c>
    </row>
    <row r="3" spans="1:7">
      <c r="A3">
        <v>1</v>
      </c>
      <c r="B3" t="s">
        <v>243</v>
      </c>
      <c r="C3">
        <v>109.105</v>
      </c>
      <c r="D3">
        <v>94.403000000000006</v>
      </c>
      <c r="E3">
        <v>69.36</v>
      </c>
      <c r="G3">
        <v>203.50800000000001</v>
      </c>
    </row>
    <row r="4" spans="1:7">
      <c r="A4">
        <v>3</v>
      </c>
      <c r="B4" t="s">
        <v>241</v>
      </c>
      <c r="C4">
        <v>190.1</v>
      </c>
      <c r="E4">
        <v>56</v>
      </c>
      <c r="G4">
        <v>190.05500000000001</v>
      </c>
    </row>
    <row r="5" spans="1:7">
      <c r="A5">
        <v>2</v>
      </c>
      <c r="B5" t="s">
        <v>314</v>
      </c>
      <c r="C5">
        <v>149.863</v>
      </c>
      <c r="D5">
        <v>26.03</v>
      </c>
      <c r="E5">
        <v>11.077</v>
      </c>
      <c r="G5">
        <v>175.893</v>
      </c>
    </row>
    <row r="6" spans="1:7">
      <c r="A6">
        <v>4</v>
      </c>
      <c r="B6" t="s">
        <v>268</v>
      </c>
      <c r="C6">
        <v>122.288</v>
      </c>
      <c r="D6">
        <v>37.655000000000001</v>
      </c>
      <c r="G6">
        <v>159.94300000000001</v>
      </c>
    </row>
    <row r="7" spans="1:7">
      <c r="A7">
        <v>5</v>
      </c>
      <c r="B7" t="s">
        <v>267</v>
      </c>
      <c r="C7">
        <v>124.684</v>
      </c>
      <c r="D7">
        <v>21.077000000000002</v>
      </c>
      <c r="E7">
        <v>103.574</v>
      </c>
      <c r="G7">
        <v>145.761</v>
      </c>
    </row>
    <row r="8" spans="1:7">
      <c r="A8">
        <v>6</v>
      </c>
      <c r="B8" t="s">
        <v>272</v>
      </c>
      <c r="F8">
        <f>G8</f>
        <v>145.46799999999999</v>
      </c>
      <c r="G8">
        <v>145.46799999999999</v>
      </c>
    </row>
    <row r="9" spans="1:7">
      <c r="B9" t="s">
        <v>315</v>
      </c>
      <c r="F9">
        <f>G9</f>
        <v>134.053</v>
      </c>
      <c r="G9">
        <v>134.053</v>
      </c>
    </row>
    <row r="10" spans="1:7">
      <c r="A10">
        <v>7</v>
      </c>
      <c r="B10" t="s">
        <v>262</v>
      </c>
      <c r="C10">
        <v>121.65</v>
      </c>
      <c r="D10">
        <v>12.41</v>
      </c>
      <c r="E10">
        <v>30.07</v>
      </c>
      <c r="G10">
        <v>133.54900000000001</v>
      </c>
    </row>
    <row r="11" spans="1:7">
      <c r="A11">
        <v>8</v>
      </c>
      <c r="B11" t="s">
        <v>264</v>
      </c>
      <c r="C11">
        <v>119.089</v>
      </c>
      <c r="D11">
        <v>10.691000000000001</v>
      </c>
      <c r="E11">
        <v>39.726999999999997</v>
      </c>
      <c r="G11">
        <v>129.78</v>
      </c>
    </row>
    <row r="12" spans="1:7">
      <c r="A12">
        <v>9</v>
      </c>
      <c r="B12" t="s">
        <v>252</v>
      </c>
      <c r="C12">
        <v>111.449</v>
      </c>
      <c r="D12">
        <v>16.135999999999999</v>
      </c>
      <c r="E12">
        <v>0</v>
      </c>
      <c r="G12">
        <v>127.58499999999999</v>
      </c>
    </row>
    <row r="13" spans="1:7">
      <c r="A13">
        <v>10</v>
      </c>
      <c r="B13" t="s">
        <v>316</v>
      </c>
      <c r="C13">
        <v>108.821</v>
      </c>
      <c r="D13">
        <v>18.579000000000001</v>
      </c>
      <c r="E13">
        <v>52.481000000000002</v>
      </c>
      <c r="G13">
        <v>127.401</v>
      </c>
    </row>
    <row r="14" spans="1:7">
      <c r="A14">
        <v>11</v>
      </c>
      <c r="B14" t="s">
        <v>265</v>
      </c>
      <c r="C14">
        <v>99.677999999999997</v>
      </c>
      <c r="D14">
        <v>25.64</v>
      </c>
      <c r="E14">
        <v>19.861000000000001</v>
      </c>
      <c r="G14">
        <v>125.318</v>
      </c>
    </row>
    <row r="15" spans="1:7">
      <c r="A15">
        <v>12</v>
      </c>
      <c r="B15" t="s">
        <v>317</v>
      </c>
      <c r="C15">
        <v>97.066999999999993</v>
      </c>
      <c r="D15">
        <v>28.047999999999998</v>
      </c>
      <c r="E15">
        <v>11.468</v>
      </c>
      <c r="G15">
        <v>125.114</v>
      </c>
    </row>
    <row r="16" spans="1:7">
      <c r="A16">
        <v>13</v>
      </c>
      <c r="B16" t="s">
        <v>259</v>
      </c>
      <c r="C16">
        <v>118.78700000000001</v>
      </c>
      <c r="D16">
        <v>5.4809999999999999</v>
      </c>
      <c r="G16">
        <v>124.26900000000001</v>
      </c>
    </row>
    <row r="17" spans="1:7">
      <c r="A17">
        <v>14</v>
      </c>
      <c r="B17" t="s">
        <v>249</v>
      </c>
      <c r="C17">
        <v>116.529</v>
      </c>
      <c r="D17">
        <v>5.4080000000000004</v>
      </c>
      <c r="E17">
        <v>63.472000000000001</v>
      </c>
      <c r="G17">
        <v>121.937</v>
      </c>
    </row>
    <row r="18" spans="1:7">
      <c r="A18">
        <v>15</v>
      </c>
      <c r="B18" t="s">
        <v>318</v>
      </c>
      <c r="C18">
        <v>98.266999999999996</v>
      </c>
      <c r="D18">
        <v>22.515999999999998</v>
      </c>
      <c r="E18">
        <v>34.018000000000001</v>
      </c>
      <c r="G18">
        <v>120.78400000000001</v>
      </c>
    </row>
    <row r="19" spans="1:7">
      <c r="A19">
        <v>16</v>
      </c>
      <c r="B19" t="s">
        <v>319</v>
      </c>
      <c r="C19">
        <v>113.593</v>
      </c>
      <c r="D19">
        <v>2.4249999999999998</v>
      </c>
      <c r="G19">
        <v>116.018</v>
      </c>
    </row>
    <row r="20" spans="1:7">
      <c r="A20">
        <v>17</v>
      </c>
      <c r="B20" t="s">
        <v>251</v>
      </c>
      <c r="C20">
        <v>108.92</v>
      </c>
      <c r="D20">
        <v>7.048</v>
      </c>
      <c r="G20">
        <v>115.968</v>
      </c>
    </row>
    <row r="21" spans="1:7">
      <c r="A21">
        <v>18</v>
      </c>
      <c r="B21" t="s">
        <v>274</v>
      </c>
      <c r="C21">
        <v>108.71899999999999</v>
      </c>
      <c r="D21">
        <v>7.2220000000000004</v>
      </c>
      <c r="E21">
        <v>29.401</v>
      </c>
      <c r="G21">
        <v>115.94199999999999</v>
      </c>
    </row>
    <row r="22" spans="1:7">
      <c r="A22">
        <v>19</v>
      </c>
      <c r="B22" t="s">
        <v>256</v>
      </c>
      <c r="C22">
        <v>110.06399999999999</v>
      </c>
      <c r="D22">
        <v>1.788</v>
      </c>
      <c r="E22">
        <v>28.206</v>
      </c>
      <c r="G22">
        <v>111.852</v>
      </c>
    </row>
    <row r="23" spans="1:7">
      <c r="A23">
        <v>20</v>
      </c>
      <c r="B23" t="s">
        <v>273</v>
      </c>
      <c r="C23">
        <v>103.749</v>
      </c>
      <c r="D23">
        <v>5.6360000000000001</v>
      </c>
      <c r="G23">
        <v>109.38500000000001</v>
      </c>
    </row>
    <row r="24" spans="1:7">
      <c r="A24">
        <v>21</v>
      </c>
      <c r="B24" t="s">
        <v>261</v>
      </c>
      <c r="C24">
        <v>98.531999999999996</v>
      </c>
      <c r="D24">
        <v>9.3979999999999997</v>
      </c>
      <c r="G24">
        <v>107.93</v>
      </c>
    </row>
    <row r="25" spans="1:7">
      <c r="A25">
        <v>22</v>
      </c>
      <c r="B25" t="s">
        <v>320</v>
      </c>
      <c r="C25">
        <v>104.252</v>
      </c>
      <c r="D25">
        <v>2.9630000000000001</v>
      </c>
      <c r="E25">
        <v>20.974</v>
      </c>
      <c r="G25">
        <v>107.215</v>
      </c>
    </row>
    <row r="26" spans="1:7">
      <c r="A26">
        <v>23</v>
      </c>
      <c r="B26" t="s">
        <v>269</v>
      </c>
      <c r="C26">
        <v>103.953</v>
      </c>
      <c r="D26">
        <v>2.3839999999999999</v>
      </c>
      <c r="E26">
        <v>18.917999999999999</v>
      </c>
      <c r="G26">
        <v>106.337</v>
      </c>
    </row>
    <row r="27" spans="1:7">
      <c r="A27">
        <v>24</v>
      </c>
      <c r="B27" t="s">
        <v>271</v>
      </c>
      <c r="C27">
        <v>101.621</v>
      </c>
      <c r="D27">
        <v>4.4969999999999999</v>
      </c>
      <c r="G27">
        <v>106.11799999999999</v>
      </c>
    </row>
    <row r="28" spans="1:7">
      <c r="A28">
        <v>25</v>
      </c>
      <c r="B28" t="s">
        <v>250</v>
      </c>
      <c r="C28">
        <v>99.606999999999999</v>
      </c>
      <c r="D28">
        <v>6.0430000000000001</v>
      </c>
      <c r="E28">
        <v>20.274000000000001</v>
      </c>
      <c r="G28">
        <v>105.65</v>
      </c>
    </row>
    <row r="29" spans="1:7">
      <c r="A29">
        <v>26</v>
      </c>
      <c r="B29" t="s">
        <v>275</v>
      </c>
      <c r="C29">
        <v>94.289000000000001</v>
      </c>
      <c r="D29">
        <v>7.0519999999999996</v>
      </c>
      <c r="E29">
        <v>22.440999999999999</v>
      </c>
      <c r="G29">
        <v>101.34</v>
      </c>
    </row>
    <row r="30" spans="1:7">
      <c r="A30">
        <v>27</v>
      </c>
      <c r="B30" t="s">
        <v>254</v>
      </c>
      <c r="C30">
        <v>89.36</v>
      </c>
      <c r="D30">
        <v>9.9290000000000003</v>
      </c>
      <c r="E30">
        <v>26.565999999999999</v>
      </c>
      <c r="G30">
        <v>99.289000000000001</v>
      </c>
    </row>
    <row r="31" spans="1:7">
      <c r="A31">
        <v>28</v>
      </c>
      <c r="B31" t="s">
        <v>321</v>
      </c>
      <c r="C31">
        <v>96.039000000000001</v>
      </c>
      <c r="D31">
        <v>2.58</v>
      </c>
      <c r="G31">
        <v>98.62</v>
      </c>
    </row>
    <row r="32" spans="1:7">
      <c r="A32">
        <v>29</v>
      </c>
      <c r="B32" t="s">
        <v>263</v>
      </c>
      <c r="C32">
        <v>91.522999999999996</v>
      </c>
      <c r="D32">
        <v>6.8920000000000003</v>
      </c>
      <c r="E32">
        <v>26.58</v>
      </c>
      <c r="G32">
        <v>98.415999999999997</v>
      </c>
    </row>
    <row r="33" spans="1:7">
      <c r="A33">
        <v>30</v>
      </c>
      <c r="B33" t="s">
        <v>322</v>
      </c>
      <c r="C33">
        <v>89.262</v>
      </c>
      <c r="D33">
        <v>9.1069999999999993</v>
      </c>
      <c r="E33">
        <v>26.675999999999998</v>
      </c>
      <c r="G33">
        <v>98.369</v>
      </c>
    </row>
    <row r="34" spans="1:7">
      <c r="A34">
        <v>31</v>
      </c>
      <c r="B34" t="s">
        <v>245</v>
      </c>
      <c r="C34">
        <v>93.236000000000004</v>
      </c>
      <c r="D34">
        <v>3.625</v>
      </c>
      <c r="E34">
        <v>23.74</v>
      </c>
      <c r="G34">
        <v>96.861000000000004</v>
      </c>
    </row>
    <row r="35" spans="1:7">
      <c r="A35">
        <v>32</v>
      </c>
      <c r="B35" t="s">
        <v>246</v>
      </c>
      <c r="G35">
        <v>95.3</v>
      </c>
    </row>
    <row r="36" spans="1:7">
      <c r="A36">
        <v>33</v>
      </c>
      <c r="B36" t="s">
        <v>323</v>
      </c>
      <c r="C36">
        <v>86.046000000000006</v>
      </c>
      <c r="D36">
        <v>8.3640000000000008</v>
      </c>
      <c r="E36">
        <v>19.591999999999999</v>
      </c>
      <c r="G36">
        <v>94.41</v>
      </c>
    </row>
    <row r="37" spans="1:7">
      <c r="A37">
        <v>34</v>
      </c>
      <c r="B37" t="s">
        <v>248</v>
      </c>
      <c r="C37">
        <v>92.59</v>
      </c>
      <c r="D37">
        <v>1.1910000000000001</v>
      </c>
      <c r="E37">
        <v>7.0430000000000001</v>
      </c>
      <c r="G37">
        <v>93.781000000000006</v>
      </c>
    </row>
    <row r="38" spans="1:7">
      <c r="A38">
        <v>35</v>
      </c>
      <c r="B38" t="s">
        <v>324</v>
      </c>
      <c r="C38">
        <v>87.132999999999996</v>
      </c>
      <c r="D38">
        <v>4.1340000000000003</v>
      </c>
      <c r="G38">
        <v>91.266999999999996</v>
      </c>
    </row>
    <row r="39" spans="1:7">
      <c r="A39">
        <v>36</v>
      </c>
      <c r="B39" t="s">
        <v>325</v>
      </c>
      <c r="C39">
        <v>82.120999999999995</v>
      </c>
      <c r="D39">
        <v>6.2370000000000001</v>
      </c>
      <c r="E39">
        <v>37.454999999999998</v>
      </c>
      <c r="G39">
        <v>88.358000000000004</v>
      </c>
    </row>
    <row r="40" spans="1:7">
      <c r="A40">
        <v>37</v>
      </c>
      <c r="B40" t="s">
        <v>326</v>
      </c>
      <c r="C40">
        <v>86.403000000000006</v>
      </c>
      <c r="D40">
        <v>0.92700000000000005</v>
      </c>
      <c r="G40">
        <v>87.331000000000003</v>
      </c>
    </row>
    <row r="41" spans="1:7">
      <c r="A41">
        <v>38</v>
      </c>
      <c r="B41" t="s">
        <v>327</v>
      </c>
      <c r="C41">
        <v>85.608000000000004</v>
      </c>
      <c r="D41">
        <v>0.78400000000000003</v>
      </c>
      <c r="G41">
        <v>86.393000000000001</v>
      </c>
    </row>
    <row r="42" spans="1:7" ht="18.5" customHeight="1">
      <c r="A42" t="s">
        <v>328</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6523-1162-4A43-BABD-CD26927CD975}">
  <dimension ref="A1:L42"/>
  <sheetViews>
    <sheetView zoomScale="40" zoomScaleNormal="40" workbookViewId="0"/>
  </sheetViews>
  <sheetFormatPr baseColWidth="10" defaultColWidth="10.6640625" defaultRowHeight="16"/>
  <sheetData>
    <row r="1" spans="1:12" ht="21.5" customHeight="1">
      <c r="A1" t="s">
        <v>867</v>
      </c>
    </row>
    <row r="2" spans="1:12">
      <c r="A2" t="s">
        <v>309</v>
      </c>
      <c r="C2" t="s">
        <v>329</v>
      </c>
      <c r="D2" t="s">
        <v>330</v>
      </c>
      <c r="E2" t="s">
        <v>331</v>
      </c>
      <c r="F2" t="s">
        <v>332</v>
      </c>
      <c r="G2" t="s">
        <v>333</v>
      </c>
      <c r="H2">
        <v>2022</v>
      </c>
      <c r="I2">
        <v>2023</v>
      </c>
      <c r="J2" t="s">
        <v>334</v>
      </c>
      <c r="K2" t="s">
        <v>335</v>
      </c>
      <c r="L2" t="s">
        <v>337</v>
      </c>
    </row>
    <row r="3" spans="1:12">
      <c r="A3">
        <v>1</v>
      </c>
      <c r="B3" t="s">
        <v>318</v>
      </c>
      <c r="C3">
        <v>12.3</v>
      </c>
      <c r="D3">
        <v>12.776</v>
      </c>
      <c r="E3">
        <v>16.844999999999999</v>
      </c>
      <c r="F3">
        <v>23.006</v>
      </c>
      <c r="G3">
        <v>29.692</v>
      </c>
      <c r="H3">
        <v>41.76</v>
      </c>
      <c r="I3">
        <v>48</v>
      </c>
      <c r="J3">
        <f>(I3-G3)/G3</f>
        <v>0.61659706318200191</v>
      </c>
      <c r="K3">
        <f>(I3-F3)/F3</f>
        <v>1.086412240285143</v>
      </c>
      <c r="L3">
        <f t="shared" ref="L3:L40" si="0">(I3/C3)/C3/6</f>
        <v>5.2878577566263463E-2</v>
      </c>
    </row>
    <row r="4" spans="1:12">
      <c r="A4">
        <v>3</v>
      </c>
      <c r="B4" t="s">
        <v>268</v>
      </c>
      <c r="C4">
        <v>15.58</v>
      </c>
      <c r="D4">
        <v>19.632999999999999</v>
      </c>
      <c r="E4">
        <v>23.48</v>
      </c>
      <c r="F4">
        <v>30.988</v>
      </c>
      <c r="G4">
        <v>36.683999999999997</v>
      </c>
      <c r="H4">
        <v>40.07</v>
      </c>
      <c r="I4">
        <v>45.1</v>
      </c>
      <c r="J4">
        <f t="shared" ref="J4:J41" si="1">(I4-G4)/G4</f>
        <v>0.22941882019409018</v>
      </c>
      <c r="K4">
        <f t="shared" ref="K4:K41" si="2">(I4-F4)/F4</f>
        <v>0.45540209113205116</v>
      </c>
      <c r="L4">
        <f t="shared" si="0"/>
        <v>3.0966376145755922E-2</v>
      </c>
    </row>
    <row r="5" spans="1:12">
      <c r="A5">
        <v>2</v>
      </c>
      <c r="B5" t="s">
        <v>265</v>
      </c>
      <c r="C5">
        <v>11.9</v>
      </c>
      <c r="D5">
        <v>16.401</v>
      </c>
      <c r="E5">
        <v>18.771000000000001</v>
      </c>
      <c r="F5">
        <v>22.738</v>
      </c>
      <c r="G5">
        <v>26.364999999999998</v>
      </c>
      <c r="H5">
        <v>30.27</v>
      </c>
      <c r="I5">
        <v>35.200000000000003</v>
      </c>
      <c r="J5">
        <f t="shared" si="1"/>
        <v>0.33510335672292829</v>
      </c>
      <c r="K5">
        <f t="shared" si="2"/>
        <v>0.54806931128507363</v>
      </c>
      <c r="L5">
        <f t="shared" si="0"/>
        <v>4.1428336040298476E-2</v>
      </c>
    </row>
    <row r="6" spans="1:12">
      <c r="A6">
        <v>4</v>
      </c>
      <c r="B6" t="s">
        <v>317</v>
      </c>
      <c r="C6">
        <v>6.92</v>
      </c>
      <c r="D6">
        <v>10.234</v>
      </c>
      <c r="E6">
        <v>13.849</v>
      </c>
      <c r="F6">
        <v>20.535</v>
      </c>
      <c r="G6">
        <v>24.369</v>
      </c>
      <c r="H6">
        <v>27.76</v>
      </c>
      <c r="I6">
        <v>33.299999999999997</v>
      </c>
      <c r="J6">
        <f t="shared" si="1"/>
        <v>0.36649021297550155</v>
      </c>
      <c r="K6">
        <f t="shared" si="2"/>
        <v>0.62162162162162149</v>
      </c>
      <c r="L6">
        <f t="shared" si="0"/>
        <v>0.11589929499816232</v>
      </c>
    </row>
    <row r="7" spans="1:12">
      <c r="A7">
        <v>5</v>
      </c>
      <c r="B7" t="s">
        <v>314</v>
      </c>
      <c r="C7">
        <v>7.63</v>
      </c>
      <c r="D7">
        <v>9.8160000000000007</v>
      </c>
      <c r="E7">
        <v>12.318</v>
      </c>
      <c r="F7">
        <v>15.997</v>
      </c>
      <c r="G7">
        <v>19.861999999999998</v>
      </c>
      <c r="H7">
        <v>22.15</v>
      </c>
      <c r="I7">
        <v>28.6</v>
      </c>
      <c r="J7">
        <f t="shared" si="1"/>
        <v>0.43993555533178952</v>
      </c>
      <c r="K7">
        <f t="shared" si="2"/>
        <v>0.78783521910358201</v>
      </c>
      <c r="L7">
        <f t="shared" si="0"/>
        <v>8.1877713630692586E-2</v>
      </c>
    </row>
    <row r="8" spans="1:12">
      <c r="A8">
        <v>6</v>
      </c>
      <c r="B8" t="s">
        <v>316</v>
      </c>
      <c r="C8">
        <v>5.83</v>
      </c>
      <c r="D8">
        <v>7.8250000000000002</v>
      </c>
      <c r="E8">
        <v>11.321</v>
      </c>
      <c r="F8">
        <v>16.7</v>
      </c>
      <c r="G8">
        <v>20.303999999999998</v>
      </c>
      <c r="H8">
        <v>23.66</v>
      </c>
      <c r="I8">
        <v>27.4</v>
      </c>
      <c r="J8">
        <f t="shared" si="1"/>
        <v>0.34948778565799843</v>
      </c>
      <c r="K8">
        <f t="shared" si="2"/>
        <v>0.64071856287425144</v>
      </c>
      <c r="L8">
        <f t="shared" si="0"/>
        <v>0.13435758929140593</v>
      </c>
    </row>
    <row r="9" spans="1:12">
      <c r="A9">
        <v>7</v>
      </c>
      <c r="B9" t="s">
        <v>267</v>
      </c>
      <c r="C9">
        <v>6.04</v>
      </c>
      <c r="D9">
        <v>7.4480000000000004</v>
      </c>
      <c r="E9">
        <v>9.5660000000000007</v>
      </c>
      <c r="F9">
        <v>13.05</v>
      </c>
      <c r="G9">
        <v>16.079999999999998</v>
      </c>
      <c r="H9">
        <v>19.03</v>
      </c>
      <c r="I9">
        <v>23.6</v>
      </c>
      <c r="J9">
        <f t="shared" si="1"/>
        <v>0.46766169154228882</v>
      </c>
      <c r="K9">
        <f t="shared" si="2"/>
        <v>0.80842911877394641</v>
      </c>
      <c r="L9">
        <f t="shared" si="0"/>
        <v>0.10781690861511922</v>
      </c>
    </row>
    <row r="10" spans="1:12">
      <c r="A10">
        <v>8</v>
      </c>
      <c r="B10" t="s">
        <v>269</v>
      </c>
      <c r="C10">
        <v>3.8</v>
      </c>
      <c r="D10">
        <v>6.6239999999999997</v>
      </c>
      <c r="E10">
        <v>9.8490000000000002</v>
      </c>
      <c r="F10">
        <v>12.750999999999999</v>
      </c>
      <c r="G10">
        <v>15.382</v>
      </c>
      <c r="H10">
        <v>18.97</v>
      </c>
      <c r="I10">
        <v>22.9</v>
      </c>
      <c r="J10">
        <f t="shared" si="1"/>
        <v>0.4887530880249642</v>
      </c>
      <c r="K10">
        <f t="shared" si="2"/>
        <v>0.79593757352364514</v>
      </c>
      <c r="L10">
        <f t="shared" si="0"/>
        <v>0.26431209602954758</v>
      </c>
    </row>
    <row r="11" spans="1:12">
      <c r="A11">
        <v>9</v>
      </c>
      <c r="B11" t="s">
        <v>264</v>
      </c>
      <c r="C11">
        <v>5.84</v>
      </c>
      <c r="D11">
        <v>7.319</v>
      </c>
      <c r="E11">
        <v>8.9390000000000001</v>
      </c>
      <c r="F11">
        <v>11.99</v>
      </c>
      <c r="G11">
        <v>15.268000000000001</v>
      </c>
      <c r="H11">
        <v>18.84</v>
      </c>
      <c r="I11">
        <v>22.5</v>
      </c>
      <c r="J11">
        <f t="shared" si="1"/>
        <v>0.47367042179722291</v>
      </c>
      <c r="K11">
        <f t="shared" si="2"/>
        <v>0.87656380316930771</v>
      </c>
      <c r="L11">
        <f t="shared" si="0"/>
        <v>0.10995261775192344</v>
      </c>
    </row>
    <row r="12" spans="1:12">
      <c r="A12">
        <v>10</v>
      </c>
      <c r="B12" t="s">
        <v>274</v>
      </c>
      <c r="C12">
        <v>4.8499999999999996</v>
      </c>
      <c r="D12">
        <v>6.9320000000000004</v>
      </c>
      <c r="E12">
        <v>9.0760000000000005</v>
      </c>
      <c r="F12">
        <v>9.5890000000000004</v>
      </c>
      <c r="G12">
        <v>9.0980000000000008</v>
      </c>
      <c r="H12">
        <v>19.09</v>
      </c>
      <c r="I12">
        <v>21.3</v>
      </c>
      <c r="J12">
        <f t="shared" si="1"/>
        <v>1.341173884370191</v>
      </c>
      <c r="K12">
        <f t="shared" si="2"/>
        <v>1.2212952341224319</v>
      </c>
      <c r="L12">
        <f t="shared" si="0"/>
        <v>0.15091933255393775</v>
      </c>
    </row>
    <row r="13" spans="1:12">
      <c r="A13">
        <v>11</v>
      </c>
      <c r="B13" t="s">
        <v>254</v>
      </c>
      <c r="C13">
        <v>2.75</v>
      </c>
      <c r="D13">
        <v>4.3040000000000003</v>
      </c>
      <c r="E13">
        <v>6.4880000000000004</v>
      </c>
      <c r="F13">
        <v>9.9329999999999998</v>
      </c>
      <c r="G13">
        <v>12.577</v>
      </c>
      <c r="H13">
        <v>18.440000000000001</v>
      </c>
      <c r="I13">
        <v>21.3</v>
      </c>
      <c r="J13">
        <f t="shared" si="1"/>
        <v>0.69356762343961209</v>
      </c>
      <c r="K13">
        <f t="shared" si="2"/>
        <v>1.1443672606463304</v>
      </c>
      <c r="L13">
        <f t="shared" si="0"/>
        <v>0.46942148760330582</v>
      </c>
    </row>
    <row r="14" spans="1:12">
      <c r="A14">
        <v>12</v>
      </c>
      <c r="B14" t="s">
        <v>261</v>
      </c>
      <c r="C14">
        <v>4.33</v>
      </c>
      <c r="D14">
        <v>6.9139999999999997</v>
      </c>
      <c r="E14">
        <v>9.4410000000000007</v>
      </c>
      <c r="F14">
        <v>12.337</v>
      </c>
      <c r="G14">
        <v>14.406000000000001</v>
      </c>
      <c r="H14">
        <v>17.850000000000001</v>
      </c>
      <c r="I14">
        <v>19.600000000000001</v>
      </c>
      <c r="J14">
        <f t="shared" si="1"/>
        <v>0.3605442176870749</v>
      </c>
      <c r="K14">
        <f t="shared" si="2"/>
        <v>0.58871686795817479</v>
      </c>
      <c r="L14">
        <f t="shared" si="0"/>
        <v>0.17423244385892864</v>
      </c>
    </row>
    <row r="15" spans="1:12">
      <c r="A15">
        <v>13</v>
      </c>
      <c r="B15" t="s">
        <v>322</v>
      </c>
      <c r="C15">
        <v>2.95</v>
      </c>
      <c r="D15">
        <v>4.7149999999999999</v>
      </c>
      <c r="E15">
        <v>6.4669999999999996</v>
      </c>
      <c r="F15">
        <v>8.9670000000000005</v>
      </c>
      <c r="G15">
        <v>10.702999999999999</v>
      </c>
      <c r="H15">
        <v>13.4</v>
      </c>
      <c r="I15">
        <v>17.899999999999999</v>
      </c>
      <c r="J15">
        <f t="shared" si="1"/>
        <v>0.67242829113332703</v>
      </c>
      <c r="K15">
        <f t="shared" si="2"/>
        <v>0.99620831939333088</v>
      </c>
      <c r="L15">
        <f t="shared" si="0"/>
        <v>0.34281336780618593</v>
      </c>
    </row>
    <row r="16" spans="1:12">
      <c r="A16">
        <v>14</v>
      </c>
      <c r="B16" t="s">
        <v>249</v>
      </c>
      <c r="C16">
        <v>5.31</v>
      </c>
      <c r="D16">
        <v>6.4859999999999998</v>
      </c>
      <c r="E16">
        <v>8.6120000000000001</v>
      </c>
      <c r="F16">
        <v>11.048</v>
      </c>
      <c r="G16">
        <v>12.954000000000001</v>
      </c>
      <c r="H16">
        <v>15.1</v>
      </c>
      <c r="I16">
        <v>16.7</v>
      </c>
      <c r="J16">
        <f t="shared" si="1"/>
        <v>0.28917708815809778</v>
      </c>
      <c r="K16">
        <f t="shared" si="2"/>
        <v>0.51158580738595216</v>
      </c>
      <c r="L16">
        <f t="shared" si="0"/>
        <v>9.8713415448708638E-2</v>
      </c>
    </row>
    <row r="17" spans="1:12">
      <c r="A17">
        <v>15</v>
      </c>
      <c r="B17" t="s">
        <v>250</v>
      </c>
      <c r="C17">
        <v>3.62</v>
      </c>
      <c r="D17">
        <v>5.6269999999999998</v>
      </c>
      <c r="E17">
        <v>7.6790000000000003</v>
      </c>
      <c r="F17">
        <v>9.9760000000000009</v>
      </c>
      <c r="G17">
        <v>11.166</v>
      </c>
      <c r="H17">
        <v>14.5</v>
      </c>
      <c r="I17">
        <v>16.7</v>
      </c>
      <c r="J17">
        <f t="shared" si="1"/>
        <v>0.49561167830915265</v>
      </c>
      <c r="K17">
        <f t="shared" si="2"/>
        <v>0.67401764234161965</v>
      </c>
      <c r="L17">
        <f t="shared" si="0"/>
        <v>0.21239685398288613</v>
      </c>
    </row>
    <row r="18" spans="1:12">
      <c r="A18">
        <v>16</v>
      </c>
      <c r="B18" t="s">
        <v>327</v>
      </c>
      <c r="C18">
        <v>3.14</v>
      </c>
      <c r="D18">
        <v>4.4329999999999998</v>
      </c>
      <c r="E18">
        <v>6.0659999999999998</v>
      </c>
      <c r="F18">
        <v>8.9239999999999995</v>
      </c>
      <c r="G18">
        <v>10.808</v>
      </c>
      <c r="H18">
        <v>13.99</v>
      </c>
      <c r="I18">
        <v>16.600000000000001</v>
      </c>
      <c r="J18">
        <f t="shared" si="1"/>
        <v>0.53589933382679511</v>
      </c>
      <c r="K18">
        <f t="shared" si="2"/>
        <v>0.86015239802779053</v>
      </c>
      <c r="L18">
        <f t="shared" si="0"/>
        <v>0.28060638024531082</v>
      </c>
    </row>
    <row r="19" spans="1:12">
      <c r="A19">
        <v>17</v>
      </c>
      <c r="B19" t="s">
        <v>262</v>
      </c>
      <c r="C19">
        <v>5.14</v>
      </c>
      <c r="D19">
        <v>6.476</v>
      </c>
      <c r="E19">
        <v>8.6999999999999993</v>
      </c>
      <c r="F19">
        <v>9.3170000000000002</v>
      </c>
      <c r="G19">
        <v>10.843999999999999</v>
      </c>
      <c r="H19">
        <v>12.27</v>
      </c>
      <c r="I19">
        <v>14.9</v>
      </c>
      <c r="J19">
        <f t="shared" si="1"/>
        <v>0.37403172261158257</v>
      </c>
      <c r="K19">
        <f t="shared" si="2"/>
        <v>0.59922721906192977</v>
      </c>
      <c r="L19">
        <f t="shared" si="0"/>
        <v>9.3995871751780258E-2</v>
      </c>
    </row>
    <row r="20" spans="1:12">
      <c r="A20">
        <v>18</v>
      </c>
      <c r="B20" t="s">
        <v>241</v>
      </c>
      <c r="C20">
        <v>3.04</v>
      </c>
      <c r="D20">
        <v>5.39</v>
      </c>
      <c r="E20">
        <v>6.5439999999999996</v>
      </c>
      <c r="F20">
        <v>7.12</v>
      </c>
      <c r="G20">
        <v>7.62</v>
      </c>
      <c r="H20">
        <v>9.5500000000000007</v>
      </c>
      <c r="I20">
        <v>14</v>
      </c>
      <c r="J20">
        <f t="shared" si="1"/>
        <v>0.837270341207349</v>
      </c>
      <c r="K20">
        <f t="shared" si="2"/>
        <v>0.96629213483146059</v>
      </c>
      <c r="L20">
        <f t="shared" si="0"/>
        <v>0.25248153277931673</v>
      </c>
    </row>
    <row r="21" spans="1:12">
      <c r="A21">
        <v>19</v>
      </c>
      <c r="B21" t="s">
        <v>325</v>
      </c>
      <c r="C21">
        <v>2.34</v>
      </c>
      <c r="D21">
        <v>3.5910000000000002</v>
      </c>
      <c r="E21">
        <v>4.5730000000000004</v>
      </c>
      <c r="F21">
        <v>6.8869999999999996</v>
      </c>
      <c r="G21">
        <v>9.1359999999999992</v>
      </c>
      <c r="H21">
        <v>11.26</v>
      </c>
      <c r="I21">
        <v>13.9</v>
      </c>
      <c r="J21">
        <f t="shared" si="1"/>
        <v>0.5214535901926447</v>
      </c>
      <c r="K21">
        <f t="shared" si="2"/>
        <v>1.0182953390445768</v>
      </c>
      <c r="L21">
        <f t="shared" si="0"/>
        <v>0.42308909830277353</v>
      </c>
    </row>
    <row r="22" spans="1:12">
      <c r="A22">
        <v>20</v>
      </c>
      <c r="B22" t="s">
        <v>271</v>
      </c>
      <c r="C22">
        <v>3.95</v>
      </c>
      <c r="D22">
        <v>5.0880000000000001</v>
      </c>
      <c r="E22">
        <v>5.9169999999999998</v>
      </c>
      <c r="F22">
        <v>7.3310000000000004</v>
      </c>
      <c r="G22">
        <v>9.5229999999999997</v>
      </c>
      <c r="H22">
        <v>11.59</v>
      </c>
      <c r="I22">
        <v>13.7</v>
      </c>
      <c r="J22">
        <f t="shared" si="1"/>
        <v>0.43862228289404598</v>
      </c>
      <c r="K22">
        <f t="shared" si="2"/>
        <v>0.86877642886372919</v>
      </c>
      <c r="L22">
        <f t="shared" si="0"/>
        <v>0.14634406879239437</v>
      </c>
    </row>
    <row r="23" spans="1:12">
      <c r="A23">
        <v>21</v>
      </c>
      <c r="B23" t="s">
        <v>272</v>
      </c>
      <c r="H23">
        <v>11.32</v>
      </c>
      <c r="I23">
        <v>13.3</v>
      </c>
    </row>
    <row r="24" spans="1:12">
      <c r="B24" t="s">
        <v>315</v>
      </c>
      <c r="C24">
        <v>3.13</v>
      </c>
      <c r="D24">
        <v>4.68</v>
      </c>
      <c r="E24">
        <v>5.9489999999999998</v>
      </c>
      <c r="F24">
        <v>7.2409999999999997</v>
      </c>
      <c r="G24">
        <v>8.3699999999999992</v>
      </c>
      <c r="H24">
        <v>10.36</v>
      </c>
      <c r="I24">
        <v>13.1</v>
      </c>
      <c r="J24">
        <f t="shared" si="1"/>
        <v>0.56511350059737164</v>
      </c>
      <c r="K24">
        <f t="shared" si="2"/>
        <v>0.80914238364866731</v>
      </c>
      <c r="L24">
        <f t="shared" si="0"/>
        <v>0.22285961205415319</v>
      </c>
    </row>
    <row r="25" spans="1:12">
      <c r="A25">
        <v>22</v>
      </c>
      <c r="B25" t="s">
        <v>256</v>
      </c>
      <c r="C25">
        <v>2.1</v>
      </c>
      <c r="D25">
        <v>2.8319999999999999</v>
      </c>
      <c r="E25">
        <v>3.3959999999999999</v>
      </c>
      <c r="F25">
        <v>5.4269999999999996</v>
      </c>
      <c r="G25">
        <v>7.6829999999999998</v>
      </c>
      <c r="H25">
        <v>10.24</v>
      </c>
      <c r="I25">
        <v>12.5</v>
      </c>
      <c r="J25">
        <f t="shared" si="1"/>
        <v>0.62696863204477427</v>
      </c>
      <c r="K25">
        <f t="shared" si="2"/>
        <v>1.3032983231988209</v>
      </c>
      <c r="L25">
        <f t="shared" si="0"/>
        <v>0.47241118669690096</v>
      </c>
    </row>
    <row r="26" spans="1:12">
      <c r="A26">
        <v>23</v>
      </c>
      <c r="B26" t="s">
        <v>252</v>
      </c>
      <c r="C26">
        <v>2.15</v>
      </c>
      <c r="D26">
        <v>4.641</v>
      </c>
      <c r="E26">
        <v>7.6040000000000001</v>
      </c>
      <c r="F26">
        <v>9.2560000000000002</v>
      </c>
      <c r="G26">
        <v>11.125</v>
      </c>
      <c r="H26">
        <v>11.44</v>
      </c>
      <c r="I26">
        <v>12.2</v>
      </c>
      <c r="J26">
        <f t="shared" si="1"/>
        <v>9.6629213483146001E-2</v>
      </c>
      <c r="K26">
        <f t="shared" si="2"/>
        <v>0.31806395851339658</v>
      </c>
      <c r="L26">
        <f t="shared" si="0"/>
        <v>0.43987741121326845</v>
      </c>
    </row>
    <row r="27" spans="1:12">
      <c r="A27">
        <v>24</v>
      </c>
      <c r="B27" t="s">
        <v>323</v>
      </c>
      <c r="C27">
        <v>0.76</v>
      </c>
      <c r="D27">
        <v>1.0720000000000001</v>
      </c>
      <c r="E27">
        <v>1.62</v>
      </c>
      <c r="F27">
        <v>2.31</v>
      </c>
      <c r="G27">
        <v>3.665</v>
      </c>
      <c r="H27">
        <v>8.93</v>
      </c>
      <c r="I27">
        <v>11.9</v>
      </c>
      <c r="J27">
        <f t="shared" si="1"/>
        <v>2.2469304229195086</v>
      </c>
      <c r="K27">
        <f t="shared" si="2"/>
        <v>4.1515151515151514</v>
      </c>
      <c r="L27">
        <f t="shared" si="0"/>
        <v>3.4337488457987075</v>
      </c>
    </row>
    <row r="28" spans="1:12">
      <c r="A28">
        <v>25</v>
      </c>
      <c r="B28" t="s">
        <v>319</v>
      </c>
      <c r="C28">
        <v>3.77</v>
      </c>
      <c r="D28">
        <v>3.9929999999999999</v>
      </c>
      <c r="E28">
        <v>5.1040000000000001</v>
      </c>
      <c r="F28">
        <v>6.7809999999999997</v>
      </c>
      <c r="G28">
        <v>7.1660000000000004</v>
      </c>
      <c r="H28">
        <v>10.47</v>
      </c>
      <c r="I28">
        <v>11.2</v>
      </c>
      <c r="J28">
        <f t="shared" si="1"/>
        <v>0.56293608707786758</v>
      </c>
      <c r="K28">
        <f t="shared" si="2"/>
        <v>0.65167379442560092</v>
      </c>
      <c r="L28">
        <f t="shared" si="0"/>
        <v>0.1313360867005795</v>
      </c>
    </row>
    <row r="29" spans="1:12">
      <c r="A29">
        <v>26</v>
      </c>
      <c r="B29" t="s">
        <v>324</v>
      </c>
      <c r="C29">
        <v>1.25</v>
      </c>
      <c r="D29">
        <v>1.536</v>
      </c>
      <c r="E29">
        <v>2.1230000000000002</v>
      </c>
      <c r="F29">
        <v>3.4380000000000002</v>
      </c>
      <c r="G29">
        <v>4.9130000000000003</v>
      </c>
      <c r="H29">
        <v>6.94</v>
      </c>
      <c r="I29">
        <v>11</v>
      </c>
      <c r="J29">
        <f t="shared" si="1"/>
        <v>1.2389578668837775</v>
      </c>
      <c r="K29">
        <f t="shared" si="2"/>
        <v>2.1995346131471782</v>
      </c>
      <c r="L29">
        <f t="shared" si="0"/>
        <v>1.1733333333333336</v>
      </c>
    </row>
    <row r="30" spans="1:12">
      <c r="A30">
        <v>27</v>
      </c>
      <c r="B30" t="s">
        <v>251</v>
      </c>
      <c r="C30">
        <v>2.71</v>
      </c>
      <c r="D30">
        <v>3.363</v>
      </c>
      <c r="E30">
        <v>4.1230000000000002</v>
      </c>
      <c r="F30">
        <v>5.2930000000000001</v>
      </c>
      <c r="G30">
        <v>6.5350000000000001</v>
      </c>
      <c r="H30">
        <v>8.06</v>
      </c>
      <c r="I30">
        <v>10.4</v>
      </c>
      <c r="J30">
        <f t="shared" si="1"/>
        <v>0.59143075745983165</v>
      </c>
      <c r="K30">
        <f t="shared" si="2"/>
        <v>0.96485924806348011</v>
      </c>
      <c r="L30">
        <f t="shared" si="0"/>
        <v>0.23601712031880465</v>
      </c>
    </row>
    <row r="31" spans="1:12">
      <c r="A31">
        <v>28</v>
      </c>
      <c r="B31" t="s">
        <v>275</v>
      </c>
      <c r="C31">
        <v>2.46</v>
      </c>
      <c r="D31">
        <v>2.9940000000000002</v>
      </c>
      <c r="E31">
        <v>3.84</v>
      </c>
      <c r="F31">
        <v>4.718</v>
      </c>
      <c r="G31">
        <v>5.8559999999999999</v>
      </c>
      <c r="H31">
        <v>7.68</v>
      </c>
      <c r="I31">
        <v>10</v>
      </c>
      <c r="J31">
        <f t="shared" si="1"/>
        <v>0.70765027322404372</v>
      </c>
      <c r="K31">
        <f t="shared" si="2"/>
        <v>1.1195421788893598</v>
      </c>
      <c r="L31">
        <f t="shared" si="0"/>
        <v>0.27540925815762224</v>
      </c>
    </row>
    <row r="32" spans="1:12">
      <c r="A32">
        <v>29</v>
      </c>
      <c r="B32" t="s">
        <v>245</v>
      </c>
      <c r="C32">
        <v>1.84</v>
      </c>
      <c r="D32">
        <v>2.536</v>
      </c>
      <c r="E32">
        <v>3.34</v>
      </c>
      <c r="F32">
        <v>4.5730000000000004</v>
      </c>
      <c r="G32">
        <v>6.02</v>
      </c>
      <c r="H32">
        <v>7.35</v>
      </c>
      <c r="I32">
        <v>9.9</v>
      </c>
      <c r="J32">
        <f t="shared" si="1"/>
        <v>0.64451827242524939</v>
      </c>
      <c r="K32">
        <f t="shared" si="2"/>
        <v>1.1648808222173628</v>
      </c>
      <c r="L32">
        <f t="shared" si="0"/>
        <v>0.4873582230623818</v>
      </c>
    </row>
    <row r="33" spans="1:12">
      <c r="A33">
        <v>30</v>
      </c>
      <c r="B33" t="s">
        <v>243</v>
      </c>
      <c r="C33">
        <v>3.41</v>
      </c>
      <c r="D33">
        <v>4.3239999999999998</v>
      </c>
      <c r="E33">
        <v>5.0679999999999996</v>
      </c>
      <c r="F33">
        <v>6.1820000000000004</v>
      </c>
      <c r="G33">
        <v>7.266</v>
      </c>
      <c r="H33">
        <v>8.48</v>
      </c>
      <c r="I33">
        <v>9.9</v>
      </c>
      <c r="J33">
        <f t="shared" si="1"/>
        <v>0.36251032204789435</v>
      </c>
      <c r="K33">
        <f t="shared" si="2"/>
        <v>0.60142348754448394</v>
      </c>
      <c r="L33">
        <f t="shared" si="0"/>
        <v>0.14189764449910131</v>
      </c>
    </row>
    <row r="34" spans="1:12">
      <c r="A34">
        <v>31</v>
      </c>
      <c r="B34" t="s">
        <v>270</v>
      </c>
      <c r="C34">
        <v>1.78</v>
      </c>
      <c r="D34">
        <v>3.39</v>
      </c>
      <c r="E34">
        <v>1.821</v>
      </c>
      <c r="F34">
        <v>3.17</v>
      </c>
      <c r="G34">
        <v>4.6349999999999998</v>
      </c>
      <c r="H34">
        <v>7.19</v>
      </c>
      <c r="I34">
        <v>9.9</v>
      </c>
      <c r="J34">
        <f t="shared" si="1"/>
        <v>1.1359223300970875</v>
      </c>
      <c r="K34">
        <f t="shared" si="2"/>
        <v>2.1230283911671926</v>
      </c>
      <c r="L34">
        <f t="shared" si="0"/>
        <v>0.52076757985102884</v>
      </c>
    </row>
    <row r="35" spans="1:12">
      <c r="A35">
        <v>32</v>
      </c>
      <c r="B35" t="s">
        <v>326</v>
      </c>
      <c r="C35">
        <v>1.21</v>
      </c>
      <c r="D35">
        <v>1.6259999999999999</v>
      </c>
      <c r="E35">
        <v>2.093</v>
      </c>
      <c r="F35">
        <v>2.8010000000000002</v>
      </c>
      <c r="G35">
        <v>4.6289999999999996</v>
      </c>
      <c r="H35">
        <v>6.74</v>
      </c>
      <c r="I35">
        <v>8.4</v>
      </c>
      <c r="J35">
        <f t="shared" si="1"/>
        <v>0.81464679196370726</v>
      </c>
      <c r="K35">
        <f t="shared" si="2"/>
        <v>1.9989289539450197</v>
      </c>
      <c r="L35">
        <f t="shared" si="0"/>
        <v>0.95621883751109904</v>
      </c>
    </row>
    <row r="36" spans="1:12">
      <c r="A36">
        <v>33</v>
      </c>
      <c r="B36" t="s">
        <v>259</v>
      </c>
      <c r="C36">
        <v>1.83</v>
      </c>
      <c r="D36">
        <v>2.581</v>
      </c>
      <c r="E36">
        <v>3.1850000000000001</v>
      </c>
      <c r="F36">
        <v>3.7109999999999999</v>
      </c>
      <c r="G36">
        <v>4.6959999999999997</v>
      </c>
      <c r="H36">
        <v>6.19</v>
      </c>
      <c r="I36">
        <v>7.9</v>
      </c>
      <c r="J36">
        <f t="shared" si="1"/>
        <v>0.6822827938671211</v>
      </c>
      <c r="K36">
        <f t="shared" si="2"/>
        <v>1.1288062516841821</v>
      </c>
      <c r="L36">
        <f t="shared" si="0"/>
        <v>0.39316392447271237</v>
      </c>
    </row>
    <row r="37" spans="1:12">
      <c r="A37">
        <v>34</v>
      </c>
      <c r="B37" t="s">
        <v>263</v>
      </c>
      <c r="C37">
        <v>1.36</v>
      </c>
      <c r="D37">
        <v>1.8129999999999999</v>
      </c>
      <c r="E37">
        <v>2.6549999999999998</v>
      </c>
      <c r="F37">
        <v>3.4140000000000001</v>
      </c>
      <c r="G37">
        <v>4.0979999999999999</v>
      </c>
      <c r="H37">
        <v>5.91</v>
      </c>
      <c r="I37">
        <v>7.4</v>
      </c>
      <c r="J37">
        <f t="shared" si="1"/>
        <v>0.80575890678379714</v>
      </c>
      <c r="K37">
        <f t="shared" si="2"/>
        <v>1.1675454012888107</v>
      </c>
      <c r="L37">
        <f t="shared" si="0"/>
        <v>0.66681084198385232</v>
      </c>
    </row>
    <row r="38" spans="1:12">
      <c r="A38">
        <v>35</v>
      </c>
      <c r="B38" t="s">
        <v>321</v>
      </c>
      <c r="C38">
        <v>2.52</v>
      </c>
      <c r="D38">
        <v>2.4079999999999999</v>
      </c>
      <c r="E38">
        <v>2.8119999999999998</v>
      </c>
      <c r="F38">
        <v>4.0860000000000003</v>
      </c>
      <c r="G38">
        <v>5.0250000000000004</v>
      </c>
      <c r="H38">
        <v>5.71</v>
      </c>
      <c r="I38">
        <v>7</v>
      </c>
      <c r="J38">
        <f t="shared" si="1"/>
        <v>0.39303482587064664</v>
      </c>
      <c r="K38">
        <f t="shared" si="2"/>
        <v>0.71316691140479671</v>
      </c>
      <c r="L38">
        <f t="shared" si="0"/>
        <v>0.18371546149323925</v>
      </c>
    </row>
    <row r="39" spans="1:12">
      <c r="A39">
        <v>36</v>
      </c>
      <c r="B39" t="s">
        <v>246</v>
      </c>
      <c r="C39">
        <v>2</v>
      </c>
      <c r="D39">
        <v>2.4630000000000001</v>
      </c>
      <c r="E39">
        <v>2.9289999999999998</v>
      </c>
      <c r="F39">
        <v>3.4169999999999998</v>
      </c>
      <c r="G39">
        <v>4.7</v>
      </c>
      <c r="H39">
        <v>5.7</v>
      </c>
      <c r="I39">
        <v>7</v>
      </c>
      <c r="J39">
        <f t="shared" si="1"/>
        <v>0.4893617021276595</v>
      </c>
      <c r="K39">
        <f t="shared" si="2"/>
        <v>1.048580626280363</v>
      </c>
      <c r="L39">
        <f t="shared" si="0"/>
        <v>0.29166666666666669</v>
      </c>
    </row>
    <row r="40" spans="1:12">
      <c r="A40">
        <v>37</v>
      </c>
      <c r="B40" t="s">
        <v>273</v>
      </c>
      <c r="C40">
        <v>1.59</v>
      </c>
      <c r="D40">
        <v>2.46</v>
      </c>
      <c r="E40">
        <v>3.2130000000000001</v>
      </c>
      <c r="F40">
        <v>4.6020000000000003</v>
      </c>
      <c r="G40">
        <v>4.601</v>
      </c>
      <c r="H40">
        <v>5.78</v>
      </c>
      <c r="I40">
        <v>6.7</v>
      </c>
      <c r="J40">
        <f t="shared" si="1"/>
        <v>0.45620517278852429</v>
      </c>
      <c r="K40">
        <f t="shared" si="2"/>
        <v>0.45588874402433721</v>
      </c>
      <c r="L40">
        <f t="shared" si="0"/>
        <v>0.44170193689595605</v>
      </c>
    </row>
    <row r="41" spans="1:12">
      <c r="A41">
        <v>38</v>
      </c>
      <c r="B41" t="s">
        <v>248</v>
      </c>
      <c r="C41">
        <v>1.32</v>
      </c>
      <c r="D41">
        <v>2.1080000000000001</v>
      </c>
      <c r="E41">
        <v>3.6440000000000001</v>
      </c>
      <c r="F41">
        <v>4.5350000000000001</v>
      </c>
      <c r="G41">
        <v>3.762</v>
      </c>
      <c r="H41">
        <v>4.3</v>
      </c>
      <c r="I41">
        <v>4.5999999999999996</v>
      </c>
      <c r="J41">
        <f t="shared" si="1"/>
        <v>0.22275385433280159</v>
      </c>
      <c r="K41">
        <f t="shared" si="2"/>
        <v>1.4332965821389085E-2</v>
      </c>
      <c r="L41">
        <f>(I41/C41)/C41/6</f>
        <v>0.4400061218243036</v>
      </c>
    </row>
    <row r="42" spans="1:12">
      <c r="A42" t="s">
        <v>336</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9EB9-54FB-B743-90C5-76BC2AC9CC11}">
  <dimension ref="A1:V22"/>
  <sheetViews>
    <sheetView zoomScale="40" zoomScaleNormal="40" workbookViewId="0"/>
  </sheetViews>
  <sheetFormatPr baseColWidth="10" defaultColWidth="10.6640625" defaultRowHeight="16"/>
  <cols>
    <col min="1" max="22" width="10.83203125"/>
  </cols>
  <sheetData>
    <row r="1" spans="1:22" ht="20" customHeight="1">
      <c r="A1" t="s">
        <v>868</v>
      </c>
    </row>
    <row r="2" spans="1:22">
      <c r="B2">
        <v>1985</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357</v>
      </c>
      <c r="N3">
        <v>29.597425936487774</v>
      </c>
      <c r="O3">
        <v>29.598854281644403</v>
      </c>
      <c r="P3">
        <v>30.777688108755381</v>
      </c>
      <c r="Q3">
        <v>30.789954374092225</v>
      </c>
      <c r="R3">
        <v>30.939787893506082</v>
      </c>
      <c r="S3">
        <v>30.949015213242742</v>
      </c>
      <c r="T3">
        <v>30.694202653365277</v>
      </c>
      <c r="U3">
        <v>30.891215620361052</v>
      </c>
      <c r="V3">
        <v>30.80550436015659</v>
      </c>
    </row>
    <row r="4" spans="1:22">
      <c r="A4" t="s">
        <v>216</v>
      </c>
      <c r="B4">
        <v>65.82554517133957</v>
      </c>
      <c r="C4">
        <v>74.133050247699927</v>
      </c>
      <c r="D4">
        <v>76.8666087124505</v>
      </c>
      <c r="E4">
        <v>48.924804821257361</v>
      </c>
      <c r="F4">
        <v>23.4</v>
      </c>
      <c r="G4">
        <v>30.6</v>
      </c>
      <c r="H4">
        <v>27.7</v>
      </c>
      <c r="I4">
        <v>27.255555555555556</v>
      </c>
      <c r="J4">
        <v>27.387434554973822</v>
      </c>
      <c r="K4">
        <v>27.382352941176467</v>
      </c>
      <c r="L4">
        <v>27.589622641509433</v>
      </c>
      <c r="M4">
        <v>28.368181818181821</v>
      </c>
    </row>
    <row r="5" spans="1:22">
      <c r="A5" t="s">
        <v>358</v>
      </c>
      <c r="F5">
        <v>4.0055555555555555</v>
      </c>
      <c r="G5">
        <v>4.1999999999999993</v>
      </c>
      <c r="H5">
        <v>0.44444444444444442</v>
      </c>
      <c r="I5">
        <v>0.44999999999999996</v>
      </c>
      <c r="J5">
        <v>0.4607329842931937</v>
      </c>
      <c r="K5">
        <v>0.46078431372549022</v>
      </c>
      <c r="L5">
        <v>0.45754716981132071</v>
      </c>
      <c r="M5">
        <v>0.44999999999999996</v>
      </c>
    </row>
    <row r="6" spans="1:22">
      <c r="A6" t="s">
        <v>121</v>
      </c>
      <c r="B6">
        <v>34.174454828660437</v>
      </c>
      <c r="C6">
        <v>25.866949752300066</v>
      </c>
      <c r="D6">
        <v>23.133391287549504</v>
      </c>
      <c r="E6">
        <v>50.312742546683111</v>
      </c>
      <c r="F6">
        <v>30.318893122710953</v>
      </c>
      <c r="G6">
        <v>30.266620272709481</v>
      </c>
      <c r="H6">
        <v>39.025201594273426</v>
      </c>
      <c r="I6">
        <v>38.869846151331707</v>
      </c>
      <c r="J6">
        <v>37.317123614095983</v>
      </c>
      <c r="K6">
        <v>35.950958152294582</v>
      </c>
      <c r="L6">
        <v>34.710808119655368</v>
      </c>
      <c r="M6">
        <v>33.202686104123622</v>
      </c>
      <c r="N6">
        <v>32.933377812691674</v>
      </c>
      <c r="O6">
        <v>32.728667480583482</v>
      </c>
      <c r="P6">
        <v>32.573671431098077</v>
      </c>
      <c r="Q6">
        <v>32.123790002455031</v>
      </c>
      <c r="R6">
        <v>31.795693591259997</v>
      </c>
      <c r="S6">
        <v>30.403673818836875</v>
      </c>
      <c r="T6">
        <v>29.906297240216329</v>
      </c>
      <c r="U6">
        <v>29.796173053011078</v>
      </c>
      <c r="V6">
        <v>31.473649732086024</v>
      </c>
    </row>
    <row r="7" spans="1:22">
      <c r="A7" t="s">
        <v>156</v>
      </c>
      <c r="F7">
        <v>29.91380267100736</v>
      </c>
      <c r="G7">
        <v>30.804862666637678</v>
      </c>
      <c r="H7">
        <v>28.706778126174299</v>
      </c>
      <c r="I7">
        <v>28.122526005086542</v>
      </c>
      <c r="J7">
        <v>28.753737724506568</v>
      </c>
      <c r="K7">
        <v>29.066942264341471</v>
      </c>
      <c r="L7">
        <v>29.492250585297281</v>
      </c>
      <c r="M7">
        <v>30.184673294659138</v>
      </c>
      <c r="N7">
        <v>30.105351512477529</v>
      </c>
      <c r="O7">
        <v>29.416936473515847</v>
      </c>
      <c r="P7">
        <v>29.41898768228743</v>
      </c>
      <c r="Q7">
        <v>28.405112138040401</v>
      </c>
      <c r="R7">
        <v>28.011146710830026</v>
      </c>
      <c r="S7">
        <v>28.175972044303105</v>
      </c>
      <c r="T7">
        <v>28.443044330082568</v>
      </c>
      <c r="U7">
        <v>28.260521641993652</v>
      </c>
      <c r="V7">
        <v>28.379243746882889</v>
      </c>
    </row>
    <row r="8" spans="1:22">
      <c r="A8" t="s">
        <v>118</v>
      </c>
      <c r="F8">
        <v>2.4601383596611295</v>
      </c>
      <c r="G8">
        <v>2.1073005241067357</v>
      </c>
      <c r="H8">
        <v>2.1739532190401092</v>
      </c>
      <c r="I8">
        <v>2.2771163276665711</v>
      </c>
      <c r="J8">
        <v>2.1664634387337314</v>
      </c>
      <c r="K8">
        <v>2.2281495212201521</v>
      </c>
      <c r="L8">
        <v>2.2526216328546638</v>
      </c>
      <c r="M8">
        <v>2.1921499668745823</v>
      </c>
      <c r="N8">
        <v>2.1195131662487756</v>
      </c>
      <c r="O8">
        <v>2.1768119540837803</v>
      </c>
      <c r="P8">
        <v>2.0009596797839824</v>
      </c>
      <c r="Q8">
        <v>1.9728197121072926</v>
      </c>
      <c r="R8">
        <v>1.9792389589024331</v>
      </c>
      <c r="S8">
        <v>2.1756626610806595</v>
      </c>
      <c r="T8">
        <v>2.0922129022751705</v>
      </c>
      <c r="U8">
        <v>2.1534757234246453</v>
      </c>
      <c r="V8">
        <v>1.972722303203631</v>
      </c>
    </row>
    <row r="9" spans="1:22">
      <c r="A9" t="s">
        <v>123</v>
      </c>
      <c r="H9">
        <v>0.2501062643610894</v>
      </c>
      <c r="I9">
        <v>0.33223043605612645</v>
      </c>
      <c r="J9">
        <v>0.58919022573670743</v>
      </c>
      <c r="K9">
        <v>0.84741544216122944</v>
      </c>
      <c r="L9">
        <v>1.0537380126558378</v>
      </c>
      <c r="M9">
        <v>1.3076540441008029</v>
      </c>
      <c r="N9">
        <v>1.7377080934496969</v>
      </c>
      <c r="O9">
        <v>2.1102465742912844</v>
      </c>
      <c r="P9">
        <v>2.3808491955751654</v>
      </c>
      <c r="Q9">
        <v>2.4462964430130429</v>
      </c>
      <c r="R9">
        <v>2.6928374442587115</v>
      </c>
      <c r="S9">
        <v>3.057547417968892</v>
      </c>
      <c r="T9">
        <v>3.3729855543852563</v>
      </c>
      <c r="U9">
        <v>3.5718474275247045</v>
      </c>
      <c r="V9">
        <v>6.2611687272742049</v>
      </c>
    </row>
    <row r="10" spans="1:22">
      <c r="A10" t="s">
        <v>138</v>
      </c>
      <c r="O10">
        <v>2.0259028632498617</v>
      </c>
      <c r="P10">
        <v>2.3621085000376767</v>
      </c>
      <c r="Q10">
        <v>3.3206222056885579</v>
      </c>
      <c r="R10">
        <v>3.5989287773026177</v>
      </c>
      <c r="S10">
        <v>4.1560004305701987</v>
      </c>
      <c r="T10">
        <v>4.3385960412357631</v>
      </c>
      <c r="U10">
        <v>4.1825442439314227</v>
      </c>
      <c r="V10">
        <v>0</v>
      </c>
    </row>
    <row r="11" spans="1:22">
      <c r="A11" t="s">
        <v>191</v>
      </c>
      <c r="Q11">
        <v>0.48918945427651628</v>
      </c>
      <c r="R11">
        <v>0.53863623629734503</v>
      </c>
      <c r="S11">
        <v>0.61163779921599148</v>
      </c>
      <c r="T11">
        <v>0.67466532779593869</v>
      </c>
      <c r="U11">
        <v>0.71436948550494095</v>
      </c>
      <c r="V11">
        <v>0.69601042085091436</v>
      </c>
    </row>
    <row r="12" spans="1:22">
      <c r="A12" t="s">
        <v>359</v>
      </c>
      <c r="F12">
        <v>1.9995560652584066</v>
      </c>
      <c r="G12">
        <v>1.9779048778896553</v>
      </c>
      <c r="H12">
        <v>1.7963297213717651</v>
      </c>
      <c r="I12">
        <v>1.8294971327788705</v>
      </c>
      <c r="J12">
        <v>1.862719409316671</v>
      </c>
      <c r="K12">
        <v>1.7881651026024545</v>
      </c>
      <c r="L12">
        <v>1.7918798194369547</v>
      </c>
      <c r="M12">
        <v>1.6062736850372743</v>
      </c>
      <c r="N12">
        <v>1.5087111388509258</v>
      </c>
      <c r="O12">
        <v>1.4441793268024015</v>
      </c>
    </row>
    <row r="13" spans="1:22">
      <c r="A13" t="s">
        <v>360</v>
      </c>
      <c r="E13">
        <v>4.5655846231109902E-2</v>
      </c>
      <c r="F13">
        <v>7.9630794273241818</v>
      </c>
    </row>
    <row r="14" spans="1:22">
      <c r="A14" t="s">
        <v>361</v>
      </c>
      <c r="I14">
        <v>0.45305863212769337</v>
      </c>
      <c r="J14">
        <v>0.53611605384958172</v>
      </c>
      <c r="K14">
        <v>0.52080493800237526</v>
      </c>
      <c r="L14">
        <v>0.50984781912756516</v>
      </c>
      <c r="M14">
        <v>0.4892089679341593</v>
      </c>
      <c r="N14">
        <v>0.48704897392576962</v>
      </c>
      <c r="O14">
        <v>0.49840104582894096</v>
      </c>
      <c r="P14">
        <v>0.48573540246229319</v>
      </c>
      <c r="Q14">
        <v>0.45221567032695142</v>
      </c>
      <c r="R14">
        <v>0.44373038764278411</v>
      </c>
      <c r="S14">
        <v>0.47049061478153198</v>
      </c>
      <c r="T14">
        <v>0.45889521335523542</v>
      </c>
      <c r="U14">
        <v>0.42985280424850603</v>
      </c>
      <c r="V14">
        <v>0.41170070954575289</v>
      </c>
    </row>
    <row r="15" spans="1:22">
      <c r="A15" t="s">
        <v>362</v>
      </c>
      <c r="I15">
        <v>0.18562539464209749</v>
      </c>
      <c r="J15">
        <v>0.53847908829530489</v>
      </c>
      <c r="K15">
        <v>0.81778553159615153</v>
      </c>
      <c r="L15">
        <v>1.055170370625012</v>
      </c>
      <c r="M15">
        <v>1.2481119239140792</v>
      </c>
      <c r="N15">
        <v>1.5108633658678314</v>
      </c>
    </row>
    <row r="16" spans="1:22">
      <c r="A16" t="s">
        <v>363</v>
      </c>
      <c r="I16">
        <v>5.5241671498594179E-2</v>
      </c>
      <c r="J16">
        <v>0.20953632872694966</v>
      </c>
      <c r="K16">
        <v>0.37402823769983401</v>
      </c>
      <c r="L16">
        <v>0.40965437918382819</v>
      </c>
      <c r="M16">
        <v>0.31134620097638172</v>
      </c>
    </row>
    <row r="17" spans="1:22">
      <c r="A17" t="s">
        <v>364</v>
      </c>
      <c r="I17">
        <v>7.5643741900698586E-2</v>
      </c>
      <c r="J17">
        <v>0.21915576098387551</v>
      </c>
      <c r="K17">
        <v>0.3561021418079619</v>
      </c>
      <c r="L17">
        <v>0.33469431213037704</v>
      </c>
      <c r="M17">
        <v>0.25044052078538148</v>
      </c>
    </row>
    <row r="18" spans="1:22">
      <c r="A18" t="s">
        <v>365</v>
      </c>
      <c r="E18">
        <v>0.72183908045977008</v>
      </c>
      <c r="F18" t="s">
        <v>156</v>
      </c>
    </row>
    <row r="19" spans="1:22">
      <c r="A19" t="s">
        <v>344</v>
      </c>
      <c r="E19">
        <f t="shared" ref="E19:V19" si="0">E3+E6+E7</f>
        <v>50.312742546683111</v>
      </c>
      <c r="F19">
        <f t="shared" si="0"/>
        <v>60.232695793718314</v>
      </c>
      <c r="G19">
        <f t="shared" si="0"/>
        <v>61.071482939347163</v>
      </c>
      <c r="H19">
        <f t="shared" si="0"/>
        <v>67.731979720447725</v>
      </c>
      <c r="I19">
        <f t="shared" si="0"/>
        <v>66.992372156418242</v>
      </c>
      <c r="J19">
        <f t="shared" si="0"/>
        <v>66.070861338602555</v>
      </c>
      <c r="K19">
        <f t="shared" si="0"/>
        <v>65.017900416636053</v>
      </c>
      <c r="L19">
        <f t="shared" si="0"/>
        <v>64.203058704952653</v>
      </c>
      <c r="M19">
        <f t="shared" si="0"/>
        <v>63.387359398782763</v>
      </c>
      <c r="N19">
        <f t="shared" si="0"/>
        <v>92.636155261656981</v>
      </c>
      <c r="O19">
        <f t="shared" si="0"/>
        <v>91.744458235743735</v>
      </c>
      <c r="P19">
        <f t="shared" si="0"/>
        <v>92.770347222140884</v>
      </c>
      <c r="Q19">
        <f t="shared" si="0"/>
        <v>91.318856514587651</v>
      </c>
      <c r="R19">
        <f t="shared" si="0"/>
        <v>90.746628195596116</v>
      </c>
      <c r="S19">
        <f t="shared" si="0"/>
        <v>89.528661076382718</v>
      </c>
      <c r="T19">
        <f t="shared" si="0"/>
        <v>89.043544223664171</v>
      </c>
      <c r="U19">
        <f t="shared" si="0"/>
        <v>88.947910315365775</v>
      </c>
      <c r="V19">
        <f t="shared" si="0"/>
        <v>90.658397839125499</v>
      </c>
    </row>
    <row r="20" spans="1:22">
      <c r="A20" t="s">
        <v>366</v>
      </c>
      <c r="E20">
        <f t="shared" ref="E20:U20" si="1">E9+E10</f>
        <v>0</v>
      </c>
      <c r="F20">
        <f t="shared" si="1"/>
        <v>0</v>
      </c>
      <c r="G20">
        <f t="shared" si="1"/>
        <v>0</v>
      </c>
      <c r="H20">
        <f t="shared" si="1"/>
        <v>0.2501062643610894</v>
      </c>
      <c r="I20">
        <f t="shared" si="1"/>
        <v>0.33223043605612645</v>
      </c>
      <c r="J20">
        <f t="shared" si="1"/>
        <v>0.58919022573670743</v>
      </c>
      <c r="K20">
        <f t="shared" si="1"/>
        <v>0.84741544216122944</v>
      </c>
      <c r="L20">
        <f t="shared" si="1"/>
        <v>1.0537380126558378</v>
      </c>
      <c r="M20">
        <f t="shared" si="1"/>
        <v>1.3076540441008029</v>
      </c>
      <c r="N20">
        <f t="shared" si="1"/>
        <v>1.7377080934496969</v>
      </c>
      <c r="O20">
        <f t="shared" si="1"/>
        <v>4.1361494375411461</v>
      </c>
      <c r="P20">
        <f t="shared" si="1"/>
        <v>4.7429576956128425</v>
      </c>
      <c r="Q20">
        <f t="shared" si="1"/>
        <v>5.7669186487016013</v>
      </c>
      <c r="R20">
        <f t="shared" si="1"/>
        <v>6.2917662215613293</v>
      </c>
      <c r="S20">
        <f t="shared" si="1"/>
        <v>7.2135478485390907</v>
      </c>
      <c r="T20">
        <f t="shared" si="1"/>
        <v>7.7115815956210199</v>
      </c>
      <c r="U20">
        <f t="shared" si="1"/>
        <v>7.7543916714561272</v>
      </c>
      <c r="V20">
        <f>V9+V10+V11+V13+V15+V16+V17+V18</f>
        <v>6.9571791481251193</v>
      </c>
    </row>
    <row r="21" spans="1:22">
      <c r="A21" t="s">
        <v>367</v>
      </c>
      <c r="E21">
        <f t="shared" ref="E21:U21" si="2">E20+E8+E12+E14</f>
        <v>0</v>
      </c>
      <c r="F21">
        <f t="shared" si="2"/>
        <v>4.4596944249195358</v>
      </c>
      <c r="G21">
        <f t="shared" si="2"/>
        <v>4.085205401996391</v>
      </c>
      <c r="H21">
        <f t="shared" si="2"/>
        <v>4.2203892047729639</v>
      </c>
      <c r="I21">
        <f t="shared" si="2"/>
        <v>4.8919025286292621</v>
      </c>
      <c r="J21">
        <f t="shared" si="2"/>
        <v>5.1544891276366913</v>
      </c>
      <c r="K21">
        <f t="shared" si="2"/>
        <v>5.3845350039862119</v>
      </c>
      <c r="L21">
        <f t="shared" si="2"/>
        <v>5.6080872840750216</v>
      </c>
      <c r="M21">
        <f t="shared" si="2"/>
        <v>5.5952866639468191</v>
      </c>
      <c r="N21">
        <f t="shared" si="2"/>
        <v>5.8529813724751687</v>
      </c>
      <c r="O21">
        <f t="shared" si="2"/>
        <v>8.2555417642562681</v>
      </c>
      <c r="P21">
        <f t="shared" si="2"/>
        <v>7.2296527778591173</v>
      </c>
      <c r="Q21">
        <f t="shared" si="2"/>
        <v>8.191954031135845</v>
      </c>
      <c r="R21">
        <f t="shared" si="2"/>
        <v>8.7147355681065459</v>
      </c>
      <c r="S21">
        <f t="shared" si="2"/>
        <v>9.8597011244012833</v>
      </c>
      <c r="T21">
        <f t="shared" si="2"/>
        <v>10.262689711251426</v>
      </c>
      <c r="U21">
        <f t="shared" si="2"/>
        <v>10.337720199129279</v>
      </c>
      <c r="V21">
        <f>V20+V8+V12+V14</f>
        <v>9.341602160874503</v>
      </c>
    </row>
    <row r="22" spans="1:22">
      <c r="A22" t="s">
        <v>345</v>
      </c>
      <c r="B22">
        <v>5500.8957599402192</v>
      </c>
      <c r="C22">
        <v>6164.8082285160181</v>
      </c>
      <c r="D22">
        <v>6443.6293274158425</v>
      </c>
      <c r="E22">
        <v>4925.5244714554128</v>
      </c>
      <c r="F22">
        <v>2635.2553498819011</v>
      </c>
      <c r="G22">
        <v>3087.4170571899422</v>
      </c>
      <c r="H22">
        <v>3141.730504975937</v>
      </c>
      <c r="I22">
        <v>3083.4289240566768</v>
      </c>
      <c r="J22">
        <v>3001.7807478888681</v>
      </c>
      <c r="K22">
        <v>2934.2</v>
      </c>
      <c r="L22">
        <v>2891.6</v>
      </c>
      <c r="M22">
        <v>2877.7</v>
      </c>
      <c r="N22">
        <v>2879.2552855029635</v>
      </c>
      <c r="O22">
        <v>2828.2439921570094</v>
      </c>
      <c r="P22">
        <v>2889.2747700508844</v>
      </c>
      <c r="Q22">
        <v>2808.1562911263145</v>
      </c>
      <c r="R22">
        <v>2777.4690202537872</v>
      </c>
      <c r="S22">
        <v>2708.0602310159834</v>
      </c>
      <c r="T22">
        <v>2680.7713868561686</v>
      </c>
      <c r="U22">
        <v>2676.3205398706932</v>
      </c>
      <c r="V22">
        <v>2788.698997083784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9D29-C625-2441-A4E5-1132E7097D2A}">
  <dimension ref="A1:L33"/>
  <sheetViews>
    <sheetView zoomScale="55" zoomScaleNormal="55" workbookViewId="0"/>
  </sheetViews>
  <sheetFormatPr baseColWidth="10" defaultColWidth="10.6640625" defaultRowHeight="16"/>
  <sheetData>
    <row r="1" spans="1:12" ht="20" customHeight="1">
      <c r="A1" t="s">
        <v>551</v>
      </c>
    </row>
    <row r="2" spans="1:12">
      <c r="B2" t="s">
        <v>338</v>
      </c>
      <c r="C2" t="s">
        <v>121</v>
      </c>
      <c r="D2" t="s">
        <v>339</v>
      </c>
      <c r="F2" t="s">
        <v>217</v>
      </c>
      <c r="G2" t="s">
        <v>340</v>
      </c>
      <c r="H2" t="s">
        <v>341</v>
      </c>
      <c r="I2" t="s">
        <v>342</v>
      </c>
      <c r="J2" t="s">
        <v>343</v>
      </c>
      <c r="K2" t="s">
        <v>344</v>
      </c>
      <c r="L2" t="s">
        <v>345</v>
      </c>
    </row>
    <row r="3" spans="1:12">
      <c r="A3" t="s">
        <v>346</v>
      </c>
      <c r="B3">
        <v>0.17751846795524998</v>
      </c>
      <c r="C3">
        <v>0.37179223524678573</v>
      </c>
      <c r="D3">
        <v>0.39489477344738821</v>
      </c>
      <c r="F3">
        <v>5.5550979565100737E-2</v>
      </c>
      <c r="G3">
        <v>0</v>
      </c>
      <c r="H3">
        <v>0</v>
      </c>
      <c r="I3">
        <v>0</v>
      </c>
      <c r="J3">
        <v>4.6357743610871355E-11</v>
      </c>
      <c r="K3">
        <f>B3+D3+C3</f>
        <v>0.94420547664942389</v>
      </c>
      <c r="L3">
        <f t="shared" ref="L3:L13" si="0">SUMSQ(B3:I3)*10000</f>
        <v>3287.7006608168667</v>
      </c>
    </row>
    <row r="4" spans="1:12">
      <c r="A4" t="s">
        <v>347</v>
      </c>
      <c r="B4">
        <v>0.22132343010216612</v>
      </c>
      <c r="C4">
        <v>0.24525019599601891</v>
      </c>
      <c r="D4">
        <v>0.47074201160544049</v>
      </c>
      <c r="F4">
        <v>5.5539501858089813E-2</v>
      </c>
      <c r="G4">
        <v>0</v>
      </c>
      <c r="H4">
        <v>0</v>
      </c>
      <c r="I4">
        <v>0</v>
      </c>
      <c r="J4">
        <v>7.1448604382844515E-3</v>
      </c>
      <c r="K4">
        <f>B4+D4+C4</f>
        <v>0.93731563770362558</v>
      </c>
      <c r="L4">
        <f t="shared" si="0"/>
        <v>3338.1439710525551</v>
      </c>
    </row>
    <row r="5" spans="1:12">
      <c r="A5" t="s">
        <v>348</v>
      </c>
      <c r="B5">
        <v>0.22768570640265057</v>
      </c>
      <c r="C5">
        <v>3.3344498097499155E-2</v>
      </c>
      <c r="D5">
        <v>0.13638339904163937</v>
      </c>
      <c r="F5">
        <v>0</v>
      </c>
      <c r="G5">
        <v>0.60284685801733384</v>
      </c>
      <c r="H5">
        <v>0</v>
      </c>
      <c r="I5">
        <v>0</v>
      </c>
      <c r="J5">
        <v>-2.6046155912285313E-4</v>
      </c>
      <c r="K5">
        <f>B5+D5+G5</f>
        <v>0.96691596346162378</v>
      </c>
      <c r="L5">
        <f t="shared" si="0"/>
        <v>4349.7740220897067</v>
      </c>
    </row>
    <row r="6" spans="1:12">
      <c r="A6" t="s">
        <v>349</v>
      </c>
      <c r="B6">
        <v>0.41748138591489542</v>
      </c>
      <c r="C6">
        <v>0.36396572948838934</v>
      </c>
      <c r="D6">
        <v>0.21509709457222895</v>
      </c>
      <c r="F6">
        <v>0</v>
      </c>
      <c r="G6">
        <v>0</v>
      </c>
      <c r="H6">
        <v>0</v>
      </c>
      <c r="I6">
        <v>0</v>
      </c>
      <c r="J6">
        <v>3.4557900244863121E-3</v>
      </c>
      <c r="K6">
        <f>B6+D6+C6</f>
        <v>0.99654420997551374</v>
      </c>
      <c r="L6">
        <f t="shared" si="0"/>
        <v>3530.2851992085166</v>
      </c>
    </row>
    <row r="7" spans="1:12">
      <c r="A7" t="s">
        <v>350</v>
      </c>
      <c r="B7">
        <v>0.29121538611218867</v>
      </c>
      <c r="C7">
        <v>0.40401849947487495</v>
      </c>
      <c r="D7">
        <v>0.19331651196467864</v>
      </c>
      <c r="F7">
        <v>9.9830044342615915E-2</v>
      </c>
      <c r="G7">
        <v>0</v>
      </c>
      <c r="H7">
        <v>1.0994287251727212E-2</v>
      </c>
      <c r="I7">
        <v>6.2527085391463229E-4</v>
      </c>
      <c r="J7">
        <v>0</v>
      </c>
      <c r="K7">
        <f>B7+D7+C7</f>
        <v>0.88855039755174225</v>
      </c>
      <c r="L7">
        <f t="shared" si="0"/>
        <v>2954.9592589385334</v>
      </c>
    </row>
    <row r="8" spans="1:12">
      <c r="A8" t="s">
        <v>351</v>
      </c>
      <c r="B8">
        <v>0.29114576423428984</v>
      </c>
      <c r="C8">
        <v>0.20929614453231138</v>
      </c>
      <c r="D8">
        <v>0.24255748406973091</v>
      </c>
      <c r="F8">
        <v>0.25669912997175476</v>
      </c>
      <c r="G8">
        <v>0</v>
      </c>
      <c r="H8">
        <v>0</v>
      </c>
      <c r="I8">
        <v>0</v>
      </c>
      <c r="J8">
        <v>3.0147719191320785E-4</v>
      </c>
      <c r="K8">
        <f>B8+D8+F8</f>
        <v>0.79040237827577542</v>
      </c>
      <c r="L8">
        <f t="shared" si="0"/>
        <v>2532.9930855415246</v>
      </c>
    </row>
    <row r="9" spans="1:12">
      <c r="A9" t="s">
        <v>352</v>
      </c>
      <c r="B9">
        <v>0.4497550574883617</v>
      </c>
      <c r="C9">
        <v>0.16249072970402442</v>
      </c>
      <c r="D9">
        <v>0.28265997890092392</v>
      </c>
      <c r="F9">
        <v>0</v>
      </c>
      <c r="G9">
        <v>0</v>
      </c>
      <c r="H9">
        <v>0</v>
      </c>
      <c r="I9">
        <v>0.10509419316203501</v>
      </c>
      <c r="J9">
        <v>0</v>
      </c>
      <c r="K9">
        <f>B9+D9+C9</f>
        <v>0.89490576609331007</v>
      </c>
      <c r="L9">
        <f t="shared" si="0"/>
        <v>3196.243020847558</v>
      </c>
    </row>
    <row r="10" spans="1:12">
      <c r="A10" t="s">
        <v>353</v>
      </c>
      <c r="B10">
        <v>0.48908715212609816</v>
      </c>
      <c r="C10">
        <v>0.110865453275209</v>
      </c>
      <c r="D10">
        <v>0.31862922334373572</v>
      </c>
      <c r="F10">
        <v>0</v>
      </c>
      <c r="G10">
        <v>0</v>
      </c>
      <c r="H10">
        <v>0</v>
      </c>
      <c r="I10">
        <v>0.12247480230912999</v>
      </c>
      <c r="J10">
        <v>0</v>
      </c>
      <c r="K10">
        <f>B10+D10+C10</f>
        <v>0.91858182874504291</v>
      </c>
      <c r="L10">
        <f t="shared" si="0"/>
        <v>3680.2205027402733</v>
      </c>
    </row>
    <row r="11" spans="1:12">
      <c r="A11" t="s">
        <v>354</v>
      </c>
      <c r="B11">
        <v>0.4466176988946417</v>
      </c>
      <c r="C11">
        <v>0.10581706550833184</v>
      </c>
      <c r="D11">
        <v>0.36028098123804686</v>
      </c>
      <c r="F11">
        <v>0</v>
      </c>
      <c r="G11">
        <v>0</v>
      </c>
      <c r="H11">
        <v>0</v>
      </c>
      <c r="I11">
        <v>8.7284254358979504E-2</v>
      </c>
      <c r="J11">
        <v>0</v>
      </c>
      <c r="K11">
        <f>B11+D11+C11</f>
        <v>0.91271574564102032</v>
      </c>
      <c r="L11">
        <f t="shared" si="0"/>
        <v>3480.8554681959235</v>
      </c>
    </row>
    <row r="12" spans="1:12">
      <c r="A12" t="s">
        <v>355</v>
      </c>
      <c r="B12">
        <v>0.57609718694445622</v>
      </c>
      <c r="C12">
        <v>2.2396653550580712E-2</v>
      </c>
      <c r="D12">
        <v>0.33329302153453355</v>
      </c>
      <c r="F12">
        <v>0</v>
      </c>
      <c r="G12">
        <v>0</v>
      </c>
      <c r="H12">
        <v>0</v>
      </c>
      <c r="I12">
        <v>6.8000000000000005E-2</v>
      </c>
      <c r="J12">
        <v>2.1313797042955796E-4</v>
      </c>
      <c r="K12">
        <f>B12+D12+C12</f>
        <v>0.93178686202957051</v>
      </c>
      <c r="L12">
        <f t="shared" si="0"/>
        <v>4480.9781709919953</v>
      </c>
    </row>
    <row r="13" spans="1:12">
      <c r="A13" t="s">
        <v>356</v>
      </c>
      <c r="B13">
        <v>0.76100000000000001</v>
      </c>
      <c r="C13">
        <v>0</v>
      </c>
      <c r="D13">
        <v>0.19500000000000001</v>
      </c>
      <c r="F13">
        <v>0</v>
      </c>
      <c r="G13">
        <v>0</v>
      </c>
      <c r="H13">
        <v>0</v>
      </c>
      <c r="I13">
        <v>0</v>
      </c>
      <c r="J13">
        <v>4.2999999999999997E-2</v>
      </c>
      <c r="K13">
        <f>B13+D13+C13</f>
        <v>0.95599999999999996</v>
      </c>
      <c r="L13">
        <f t="shared" si="0"/>
        <v>6171.46</v>
      </c>
    </row>
    <row r="15" spans="1:12" ht="16" customHeight="1">
      <c r="A15" t="s">
        <v>369</v>
      </c>
    </row>
    <row r="16" spans="1:12" ht="20" customHeight="1"/>
    <row r="18" ht="20" customHeight="1"/>
    <row r="33" ht="20" customHeight="1"/>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08920-9D45-A44E-B284-6D59062860D3}">
  <dimension ref="A1:L15"/>
  <sheetViews>
    <sheetView zoomScale="55" zoomScaleNormal="55" workbookViewId="0"/>
  </sheetViews>
  <sheetFormatPr baseColWidth="10" defaultColWidth="10.6640625" defaultRowHeight="16"/>
  <cols>
    <col min="3" max="3" width="21.6640625" bestFit="1" customWidth="1"/>
    <col min="4" max="4" width="19.33203125" bestFit="1" customWidth="1"/>
    <col min="5" max="5" width="20.33203125" bestFit="1" customWidth="1"/>
    <col min="6" max="10" width="19.33203125" bestFit="1" customWidth="1"/>
  </cols>
  <sheetData>
    <row r="1" spans="1:12">
      <c r="A1" t="s">
        <v>552</v>
      </c>
    </row>
    <row r="2" spans="1:12">
      <c r="B2" t="s">
        <v>338</v>
      </c>
      <c r="C2" t="s">
        <v>121</v>
      </c>
      <c r="D2" t="s">
        <v>339</v>
      </c>
      <c r="E2" t="s">
        <v>217</v>
      </c>
      <c r="F2" t="s">
        <v>340</v>
      </c>
      <c r="G2" t="s">
        <v>341</v>
      </c>
      <c r="H2" t="s">
        <v>342</v>
      </c>
      <c r="I2" t="s">
        <v>343</v>
      </c>
      <c r="K2" t="s">
        <v>344</v>
      </c>
      <c r="L2" t="s">
        <v>345</v>
      </c>
    </row>
    <row r="3" spans="1:12">
      <c r="A3" t="s">
        <v>346</v>
      </c>
      <c r="B3">
        <v>0.19279860358192366</v>
      </c>
      <c r="C3">
        <v>0.36683616297546384</v>
      </c>
      <c r="D3">
        <v>0.39504372308134011</v>
      </c>
      <c r="E3">
        <v>4.5321510361272341E-2</v>
      </c>
      <c r="F3">
        <v>0</v>
      </c>
      <c r="G3">
        <v>0</v>
      </c>
      <c r="H3">
        <v>0</v>
      </c>
      <c r="I3">
        <v>2.8167362386429315E-4</v>
      </c>
      <c r="K3">
        <f>B3+C3+D3</f>
        <v>0.9546784896387277</v>
      </c>
      <c r="L3">
        <f t="shared" ref="L3:L13" si="0">SUMSQ(B3:H3)*10000</f>
        <v>3298.5365445709426</v>
      </c>
    </row>
    <row r="4" spans="1:12">
      <c r="A4" t="s">
        <v>347</v>
      </c>
      <c r="B4">
        <v>0.24071431087054418</v>
      </c>
      <c r="C4">
        <v>0.24232340630709184</v>
      </c>
      <c r="D4">
        <v>0.4715860112395952</v>
      </c>
      <c r="E4">
        <v>4.5376271582768649E-2</v>
      </c>
      <c r="F4">
        <v>0</v>
      </c>
      <c r="G4">
        <v>0</v>
      </c>
      <c r="H4">
        <v>0</v>
      </c>
      <c r="I4">
        <v>0</v>
      </c>
      <c r="K4">
        <f>B4+C4+D4</f>
        <v>0.9546237284172312</v>
      </c>
      <c r="L4">
        <f t="shared" si="0"/>
        <v>3411.1638472177769</v>
      </c>
    </row>
    <row r="5" spans="1:12">
      <c r="A5" t="s">
        <v>348</v>
      </c>
      <c r="B5">
        <v>0.23349768320723036</v>
      </c>
      <c r="C5">
        <v>3.106579535249249E-2</v>
      </c>
      <c r="D5">
        <v>0.12882844220875464</v>
      </c>
      <c r="E5">
        <v>0</v>
      </c>
      <c r="F5">
        <v>0.6066080792315226</v>
      </c>
      <c r="G5">
        <v>0</v>
      </c>
      <c r="H5">
        <v>0</v>
      </c>
      <c r="I5">
        <v>-2.8444560673291638E-4</v>
      </c>
      <c r="K5">
        <f>B5+D5+F5</f>
        <v>0.96893420464750757</v>
      </c>
      <c r="L5">
        <f t="shared" si="0"/>
        <v>4400.5638101491868</v>
      </c>
    </row>
    <row r="6" spans="1:12">
      <c r="A6" t="s">
        <v>349</v>
      </c>
      <c r="B6">
        <v>0.44119172633279119</v>
      </c>
      <c r="C6">
        <v>0.34943163462879417</v>
      </c>
      <c r="D6">
        <v>0.20937663903841472</v>
      </c>
      <c r="E6">
        <v>0</v>
      </c>
      <c r="F6">
        <v>0</v>
      </c>
      <c r="G6">
        <v>0</v>
      </c>
      <c r="H6">
        <v>0</v>
      </c>
      <c r="I6">
        <v>0</v>
      </c>
      <c r="K6">
        <f>B6+C6+D6</f>
        <v>1</v>
      </c>
      <c r="L6">
        <f t="shared" si="0"/>
        <v>3605.9118363888219</v>
      </c>
    </row>
    <row r="7" spans="1:12">
      <c r="A7" t="s">
        <v>350</v>
      </c>
      <c r="B7">
        <v>0.31433387704320576</v>
      </c>
      <c r="C7">
        <v>0.3961773179568947</v>
      </c>
      <c r="D7">
        <v>0.19219817513834811</v>
      </c>
      <c r="E7">
        <v>8.0945078112835439E-2</v>
      </c>
      <c r="F7">
        <v>0</v>
      </c>
      <c r="G7">
        <v>1.0186131331102691E-2</v>
      </c>
      <c r="H7">
        <v>6.1594204176133047E-3</v>
      </c>
      <c r="I7">
        <v>0</v>
      </c>
      <c r="K7">
        <f>B7+C7+D7</f>
        <v>0.90270937013844854</v>
      </c>
      <c r="L7">
        <f t="shared" si="0"/>
        <v>2993.9619344911116</v>
      </c>
    </row>
    <row r="8" spans="1:12">
      <c r="A8" t="s">
        <v>351</v>
      </c>
      <c r="B8">
        <v>0.32438398450082156</v>
      </c>
      <c r="C8">
        <v>0.21184666915089279</v>
      </c>
      <c r="D8">
        <v>0.24892415649661906</v>
      </c>
      <c r="E8">
        <v>0.21484518985166659</v>
      </c>
      <c r="F8">
        <v>0</v>
      </c>
      <c r="G8">
        <v>0</v>
      </c>
      <c r="H8">
        <v>0</v>
      </c>
      <c r="I8">
        <v>3.576944284939939E-4</v>
      </c>
      <c r="K8">
        <f>B8+D8+E8</f>
        <v>0.78815333084910721</v>
      </c>
      <c r="L8">
        <f t="shared" si="0"/>
        <v>2582.2567192090901</v>
      </c>
    </row>
    <row r="9" spans="1:12">
      <c r="A9" t="s">
        <v>352</v>
      </c>
      <c r="B9">
        <v>0.46383513900053336</v>
      </c>
      <c r="C9">
        <v>0.15223961036315797</v>
      </c>
      <c r="D9">
        <v>0.26850683790403151</v>
      </c>
      <c r="E9">
        <v>0</v>
      </c>
      <c r="F9">
        <v>0</v>
      </c>
      <c r="G9">
        <v>0</v>
      </c>
      <c r="H9">
        <v>0.1154184127322772</v>
      </c>
      <c r="I9">
        <v>3.576944284939939E-4</v>
      </c>
      <c r="K9">
        <f>B9+C9+D9</f>
        <v>0.88458158726772285</v>
      </c>
      <c r="L9">
        <f t="shared" si="0"/>
        <v>3237.3726713403039</v>
      </c>
    </row>
    <row r="10" spans="1:12">
      <c r="A10" t="s">
        <v>353</v>
      </c>
      <c r="B10">
        <v>0.48246968511987975</v>
      </c>
      <c r="C10">
        <v>9.9355404766312522E-2</v>
      </c>
      <c r="D10">
        <v>0.28951616548991982</v>
      </c>
      <c r="E10">
        <v>0</v>
      </c>
      <c r="F10">
        <v>0</v>
      </c>
      <c r="G10">
        <v>0</v>
      </c>
      <c r="H10">
        <v>0.12865874462388782</v>
      </c>
      <c r="I10">
        <v>3.576944284939939E-4</v>
      </c>
      <c r="K10">
        <f>B10+C10+D10</f>
        <v>0.87134125537611218</v>
      </c>
      <c r="L10">
        <f t="shared" si="0"/>
        <v>3430.2117616413511</v>
      </c>
    </row>
    <row r="11" spans="1:12">
      <c r="A11" t="s">
        <v>354</v>
      </c>
      <c r="B11">
        <v>0.46159613554619378</v>
      </c>
      <c r="C11">
        <v>9.9355847476724504E-2</v>
      </c>
      <c r="D11">
        <v>0.34298174729559822</v>
      </c>
      <c r="E11">
        <v>0</v>
      </c>
      <c r="F11">
        <v>0</v>
      </c>
      <c r="G11">
        <v>0</v>
      </c>
      <c r="H11">
        <v>9.6066269681483504E-2</v>
      </c>
      <c r="I11">
        <v>0</v>
      </c>
      <c r="K11">
        <f>B11+C11+D11</f>
        <v>0.90393373031851643</v>
      </c>
      <c r="L11">
        <f t="shared" si="0"/>
        <v>3498.0778392745533</v>
      </c>
    </row>
    <row r="12" spans="1:12">
      <c r="A12" t="s">
        <v>355</v>
      </c>
      <c r="B12">
        <v>0.59035366885957541</v>
      </c>
      <c r="C12">
        <v>2.0850243337004963E-2</v>
      </c>
      <c r="D12">
        <v>0.31459090985388688</v>
      </c>
      <c r="E12">
        <v>0</v>
      </c>
      <c r="F12">
        <v>0</v>
      </c>
      <c r="G12">
        <v>0</v>
      </c>
      <c r="H12">
        <v>7.4205177949532852E-2</v>
      </c>
      <c r="I12">
        <v>0</v>
      </c>
      <c r="K12">
        <f>B12+D12+H12</f>
        <v>0.97914975666299509</v>
      </c>
      <c r="L12">
        <f t="shared" si="0"/>
        <v>4534.2603598039168</v>
      </c>
    </row>
    <row r="13" spans="1:12">
      <c r="A13" t="s">
        <v>356</v>
      </c>
      <c r="B13">
        <v>0.76900000000000002</v>
      </c>
      <c r="C13">
        <v>0</v>
      </c>
      <c r="D13">
        <v>0.188</v>
      </c>
      <c r="E13">
        <v>0</v>
      </c>
      <c r="F13">
        <v>0</v>
      </c>
      <c r="G13">
        <v>0</v>
      </c>
      <c r="H13">
        <v>0</v>
      </c>
      <c r="I13">
        <v>4.2999999999999997E-2</v>
      </c>
      <c r="K13">
        <f>B13+D13+I13</f>
        <v>1</v>
      </c>
      <c r="L13">
        <f t="shared" si="0"/>
        <v>6267.0500000000011</v>
      </c>
    </row>
    <row r="15" spans="1:12">
      <c r="A15" t="s">
        <v>369</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2F4F5-7B91-A245-A025-73C64DF93989}">
  <dimension ref="A1:Q10"/>
  <sheetViews>
    <sheetView zoomScale="70" zoomScaleNormal="70" workbookViewId="0"/>
  </sheetViews>
  <sheetFormatPr baseColWidth="10" defaultColWidth="10.6640625" defaultRowHeight="16"/>
  <sheetData>
    <row r="1" spans="1:17">
      <c r="A1" t="s">
        <v>553</v>
      </c>
    </row>
    <row r="2" spans="1:17">
      <c r="B2">
        <v>2004</v>
      </c>
      <c r="C2">
        <v>2008</v>
      </c>
      <c r="D2">
        <v>2010</v>
      </c>
      <c r="E2">
        <v>2011</v>
      </c>
      <c r="F2">
        <v>2012</v>
      </c>
      <c r="G2">
        <v>2013</v>
      </c>
      <c r="H2">
        <v>2014</v>
      </c>
      <c r="I2">
        <v>2015</v>
      </c>
      <c r="J2">
        <v>2016</v>
      </c>
      <c r="K2">
        <v>2017</v>
      </c>
      <c r="L2">
        <v>2018</v>
      </c>
      <c r="M2">
        <v>2019</v>
      </c>
      <c r="N2">
        <v>2020</v>
      </c>
      <c r="O2">
        <v>2021</v>
      </c>
      <c r="P2">
        <v>2022</v>
      </c>
      <c r="Q2">
        <v>2023</v>
      </c>
    </row>
    <row r="3" spans="1:17">
      <c r="A3" t="s">
        <v>385</v>
      </c>
      <c r="B3">
        <v>0</v>
      </c>
      <c r="C3">
        <v>0</v>
      </c>
      <c r="D3">
        <v>3.8862430262620768</v>
      </c>
      <c r="E3">
        <v>64.360483355970786</v>
      </c>
      <c r="F3">
        <v>175.01658395922749</v>
      </c>
      <c r="G3">
        <v>363.85</v>
      </c>
      <c r="H3">
        <v>706.47350000000006</v>
      </c>
      <c r="I3">
        <v>1058.1689999999999</v>
      </c>
      <c r="J3">
        <v>1260.3674999999998</v>
      </c>
      <c r="K3">
        <v>1444.1305</v>
      </c>
      <c r="L3">
        <v>1613.0115000000001</v>
      </c>
      <c r="M3">
        <v>1721.444</v>
      </c>
      <c r="N3">
        <v>1786.7775000000001</v>
      </c>
      <c r="O3">
        <v>1844.4070000000002</v>
      </c>
      <c r="P3">
        <v>1935.3110000000001</v>
      </c>
      <c r="Q3">
        <v>2029.2615000000001</v>
      </c>
    </row>
    <row r="4" spans="1:17">
      <c r="A4" t="s">
        <v>156</v>
      </c>
      <c r="B4">
        <v>0</v>
      </c>
      <c r="C4">
        <v>78</v>
      </c>
      <c r="D4">
        <v>242</v>
      </c>
      <c r="E4">
        <v>411.5</v>
      </c>
      <c r="F4">
        <v>593.5</v>
      </c>
      <c r="G4">
        <v>746.5</v>
      </c>
      <c r="H4">
        <v>865.5</v>
      </c>
      <c r="I4">
        <v>960.5</v>
      </c>
      <c r="J4">
        <v>1032</v>
      </c>
      <c r="K4">
        <v>1078.5</v>
      </c>
      <c r="L4">
        <v>1095.5</v>
      </c>
      <c r="M4">
        <v>1126.5</v>
      </c>
      <c r="N4">
        <v>1187.5</v>
      </c>
      <c r="O4">
        <v>1240</v>
      </c>
      <c r="P4">
        <v>1295</v>
      </c>
      <c r="Q4">
        <v>1359.5</v>
      </c>
    </row>
    <row r="5" spans="1:17">
      <c r="A5" t="s">
        <v>358</v>
      </c>
      <c r="B5">
        <v>0</v>
      </c>
      <c r="C5">
        <v>0</v>
      </c>
      <c r="D5">
        <v>0</v>
      </c>
      <c r="E5">
        <v>48.415500000000002</v>
      </c>
      <c r="F5">
        <v>109.9255</v>
      </c>
      <c r="G5">
        <v>140.53200000000001</v>
      </c>
      <c r="H5">
        <v>188.29050000000001</v>
      </c>
    </row>
    <row r="6" spans="1:17">
      <c r="A6" t="s">
        <v>386</v>
      </c>
      <c r="B6">
        <v>32.578000000000003</v>
      </c>
      <c r="C6">
        <v>82.278000000000006</v>
      </c>
      <c r="D6">
        <v>88.243499999999997</v>
      </c>
      <c r="E6">
        <v>92.721499999999992</v>
      </c>
      <c r="F6">
        <v>96.353999999999999</v>
      </c>
      <c r="G6">
        <v>101.04650000000001</v>
      </c>
      <c r="H6">
        <v>106.4785</v>
      </c>
      <c r="I6">
        <v>107.065</v>
      </c>
      <c r="J6">
        <v>106.54949999999999</v>
      </c>
    </row>
    <row r="7" spans="1:17">
      <c r="A7" t="s">
        <v>118</v>
      </c>
      <c r="B7">
        <v>25</v>
      </c>
      <c r="C7">
        <v>70.462999999999994</v>
      </c>
      <c r="D7">
        <v>81.683999999999997</v>
      </c>
      <c r="E7">
        <v>89.748500000000007</v>
      </c>
      <c r="F7">
        <v>95.61099999999999</v>
      </c>
      <c r="G7">
        <v>99.204499999999996</v>
      </c>
      <c r="H7">
        <v>102.4315</v>
      </c>
      <c r="I7">
        <v>105.51849999999999</v>
      </c>
      <c r="J7">
        <v>108.95599999999999</v>
      </c>
      <c r="K7">
        <v>110.73599999999999</v>
      </c>
      <c r="L7">
        <v>111.732</v>
      </c>
      <c r="M7">
        <v>111.9825</v>
      </c>
      <c r="N7">
        <v>112.751</v>
      </c>
      <c r="O7">
        <v>112.15600000000001</v>
      </c>
      <c r="P7">
        <v>110.696</v>
      </c>
      <c r="Q7">
        <v>111.18299999999999</v>
      </c>
    </row>
    <row r="8" spans="1:17">
      <c r="A8" t="s">
        <v>387</v>
      </c>
      <c r="B8">
        <f>SUM(B3:B7)</f>
        <v>57.578000000000003</v>
      </c>
      <c r="C8">
        <f t="shared" ref="C8:Q8" si="0">SUM(C3:C7)</f>
        <v>230.74100000000001</v>
      </c>
      <c r="D8">
        <f t="shared" si="0"/>
        <v>415.81374302626205</v>
      </c>
      <c r="E8">
        <f t="shared" si="0"/>
        <v>706.74598335597079</v>
      </c>
      <c r="F8">
        <f t="shared" si="0"/>
        <v>1070.4070839592277</v>
      </c>
      <c r="G8">
        <f t="shared" si="0"/>
        <v>1451.1329999999998</v>
      </c>
      <c r="H8">
        <f t="shared" si="0"/>
        <v>1969.174</v>
      </c>
      <c r="I8">
        <f t="shared" si="0"/>
        <v>2231.2525000000001</v>
      </c>
      <c r="J8">
        <f t="shared" si="0"/>
        <v>2507.873</v>
      </c>
      <c r="K8">
        <f t="shared" si="0"/>
        <v>2633.3665000000001</v>
      </c>
      <c r="L8">
        <f t="shared" si="0"/>
        <v>2820.2435</v>
      </c>
      <c r="M8">
        <f t="shared" si="0"/>
        <v>2959.9265</v>
      </c>
      <c r="N8">
        <f t="shared" si="0"/>
        <v>3087.0285000000003</v>
      </c>
      <c r="O8">
        <f t="shared" si="0"/>
        <v>3196.5630000000001</v>
      </c>
      <c r="P8">
        <f t="shared" si="0"/>
        <v>3341.0070000000001</v>
      </c>
      <c r="Q8">
        <f t="shared" si="0"/>
        <v>3499.9445000000001</v>
      </c>
    </row>
    <row r="10" spans="1:17">
      <c r="A10" t="s">
        <v>388</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25B5-52BD-4C42-989F-8D83F5E16334}">
  <dimension ref="A1:Q7"/>
  <sheetViews>
    <sheetView zoomScale="70" zoomScaleNormal="70" workbookViewId="0"/>
  </sheetViews>
  <sheetFormatPr baseColWidth="10" defaultColWidth="10.6640625" defaultRowHeight="16"/>
  <sheetData>
    <row r="1" spans="1:17">
      <c r="A1" t="s">
        <v>554</v>
      </c>
    </row>
    <row r="2" spans="1:17">
      <c r="B2">
        <v>2004</v>
      </c>
      <c r="C2">
        <v>2008</v>
      </c>
      <c r="D2">
        <v>2010</v>
      </c>
      <c r="E2">
        <v>2011</v>
      </c>
      <c r="F2">
        <v>2012</v>
      </c>
      <c r="G2">
        <v>2013</v>
      </c>
      <c r="H2">
        <v>2014</v>
      </c>
      <c r="I2">
        <v>2015</v>
      </c>
      <c r="J2">
        <v>2016</v>
      </c>
      <c r="K2">
        <v>2017</v>
      </c>
      <c r="L2">
        <v>2018</v>
      </c>
      <c r="M2">
        <v>2019</v>
      </c>
      <c r="N2">
        <v>2020</v>
      </c>
      <c r="O2">
        <v>2021</v>
      </c>
      <c r="P2">
        <v>2022</v>
      </c>
      <c r="Q2">
        <v>2023</v>
      </c>
    </row>
    <row r="3" spans="1:17">
      <c r="A3" t="s">
        <v>389</v>
      </c>
      <c r="D3">
        <v>23.8</v>
      </c>
      <c r="E3">
        <v>143.02653191183944</v>
      </c>
      <c r="F3">
        <v>300.31231398928128</v>
      </c>
      <c r="G3">
        <v>496.97578748105911</v>
      </c>
      <c r="H3">
        <v>779.2827265616362</v>
      </c>
      <c r="I3">
        <v>842.73800000000006</v>
      </c>
      <c r="J3">
        <v>1013.424</v>
      </c>
      <c r="K3">
        <v>1243.748</v>
      </c>
      <c r="L3">
        <v>1310.646</v>
      </c>
      <c r="M3">
        <v>1352.94</v>
      </c>
      <c r="N3">
        <v>1360.75</v>
      </c>
      <c r="O3">
        <v>1311.6510000000001</v>
      </c>
      <c r="P3">
        <v>1324.665</v>
      </c>
      <c r="Q3">
        <v>1293.6600000000001</v>
      </c>
    </row>
    <row r="4" spans="1:17">
      <c r="A4" t="s">
        <v>390</v>
      </c>
      <c r="C4">
        <v>33.542160000000003</v>
      </c>
      <c r="D4">
        <v>138.55000000000001</v>
      </c>
      <c r="E4">
        <v>279.08999999999997</v>
      </c>
      <c r="F4">
        <v>379.57</v>
      </c>
      <c r="G4">
        <v>431.584</v>
      </c>
      <c r="H4">
        <v>550.476</v>
      </c>
      <c r="I4">
        <v>606.29600000000005</v>
      </c>
      <c r="J4">
        <v>663.298</v>
      </c>
      <c r="K4">
        <v>706.81299999999999</v>
      </c>
      <c r="L4">
        <v>750.89099999999996</v>
      </c>
      <c r="M4">
        <v>783.33600000000001</v>
      </c>
      <c r="N4">
        <v>804.03399999999999</v>
      </c>
      <c r="O4">
        <v>825.05</v>
      </c>
      <c r="P4">
        <v>838.76400000000001</v>
      </c>
      <c r="Q4">
        <v>839.84299999999996</v>
      </c>
    </row>
    <row r="5" spans="1:17">
      <c r="A5" t="s">
        <v>386</v>
      </c>
      <c r="B5">
        <v>8.4</v>
      </c>
      <c r="C5">
        <v>50</v>
      </c>
      <c r="D5">
        <v>59</v>
      </c>
      <c r="E5">
        <v>70.599999999999994</v>
      </c>
      <c r="F5">
        <v>78.5</v>
      </c>
      <c r="G5">
        <v>82</v>
      </c>
      <c r="H5">
        <v>85.2</v>
      </c>
      <c r="I5">
        <v>88.8</v>
      </c>
      <c r="J5">
        <v>91.355143870713448</v>
      </c>
    </row>
    <row r="6" spans="1:17">
      <c r="A6" t="s">
        <v>391</v>
      </c>
      <c r="B6">
        <v>4.1429999999999998</v>
      </c>
      <c r="C6">
        <v>39.700000000000003</v>
      </c>
      <c r="D6">
        <v>68.527076690077578</v>
      </c>
      <c r="E6">
        <v>76.685181233983627</v>
      </c>
      <c r="F6">
        <v>81.730823585067142</v>
      </c>
      <c r="G6">
        <v>87.198770122846668</v>
      </c>
      <c r="H6">
        <v>93.118487653993128</v>
      </c>
      <c r="I6">
        <v>96.322637208376662</v>
      </c>
      <c r="J6">
        <v>99.296567764375212</v>
      </c>
      <c r="K6">
        <v>100.36761802807109</v>
      </c>
      <c r="L6">
        <v>100.14392062775799</v>
      </c>
      <c r="M6">
        <v>104.4</v>
      </c>
      <c r="N6">
        <v>103.6</v>
      </c>
      <c r="O6">
        <v>100.6</v>
      </c>
      <c r="P6">
        <v>95.7</v>
      </c>
      <c r="Q6">
        <v>96</v>
      </c>
    </row>
    <row r="7" spans="1:17">
      <c r="A7" t="s">
        <v>392</v>
      </c>
      <c r="B7">
        <f t="shared" ref="B7:Q7" si="0">SUM(B3:B6)</f>
        <v>12.542999999999999</v>
      </c>
      <c r="C7">
        <f t="shared" si="0"/>
        <v>123.24216</v>
      </c>
      <c r="D7">
        <f t="shared" si="0"/>
        <v>289.87707669007762</v>
      </c>
      <c r="E7">
        <f t="shared" si="0"/>
        <v>569.40171314582301</v>
      </c>
      <c r="F7">
        <f t="shared" si="0"/>
        <v>840.11313757434846</v>
      </c>
      <c r="G7">
        <f t="shared" si="0"/>
        <v>1097.758557603906</v>
      </c>
      <c r="H7">
        <f t="shared" si="0"/>
        <v>1508.0772142156293</v>
      </c>
      <c r="I7">
        <f t="shared" si="0"/>
        <v>1634.1566372083767</v>
      </c>
      <c r="J7">
        <f t="shared" si="0"/>
        <v>1867.3737116350885</v>
      </c>
      <c r="K7">
        <f t="shared" si="0"/>
        <v>2050.9286180280715</v>
      </c>
      <c r="L7">
        <f t="shared" si="0"/>
        <v>2161.6809206277576</v>
      </c>
      <c r="M7">
        <f t="shared" si="0"/>
        <v>2240.6759999999999</v>
      </c>
      <c r="N7">
        <f t="shared" si="0"/>
        <v>2268.384</v>
      </c>
      <c r="O7">
        <f t="shared" si="0"/>
        <v>2237.3009999999999</v>
      </c>
      <c r="P7">
        <f t="shared" si="0"/>
        <v>2259.1289999999999</v>
      </c>
      <c r="Q7">
        <f t="shared" si="0"/>
        <v>2229.5030000000002</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4DF3-5FB9-1F46-947A-122B7915FDB0}">
  <dimension ref="A1:V17"/>
  <sheetViews>
    <sheetView zoomScale="55" zoomScaleNormal="55" workbookViewId="0"/>
  </sheetViews>
  <sheetFormatPr baseColWidth="10" defaultColWidth="10.6640625" defaultRowHeight="16"/>
  <cols>
    <col min="1" max="1" width="28.83203125" customWidth="1"/>
    <col min="28" max="28" width="14.5" customWidth="1"/>
  </cols>
  <sheetData>
    <row r="1" spans="1:22" ht="16" customHeight="1">
      <c r="A1" t="s">
        <v>869</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238</v>
      </c>
      <c r="B3">
        <v>716.3</v>
      </c>
      <c r="C3">
        <v>1242.9000000000001</v>
      </c>
      <c r="D3">
        <v>1651.4</v>
      </c>
      <c r="E3">
        <v>2677.4</v>
      </c>
      <c r="F3">
        <v>3913.5</v>
      </c>
      <c r="G3">
        <v>4170.16</v>
      </c>
      <c r="H3">
        <v>5450.16</v>
      </c>
      <c r="I3">
        <v>6166.02</v>
      </c>
      <c r="J3">
        <v>6088.2</v>
      </c>
      <c r="K3">
        <v>5953.09</v>
      </c>
      <c r="L3">
        <v>5949.04</v>
      </c>
      <c r="M3">
        <v>5761.42</v>
      </c>
      <c r="N3">
        <v>5740.14</v>
      </c>
      <c r="O3">
        <v>5485.23</v>
      </c>
      <c r="P3">
        <v>5281.47</v>
      </c>
      <c r="Q3">
        <v>5100.62</v>
      </c>
      <c r="R3">
        <v>5009.22</v>
      </c>
      <c r="S3">
        <v>4795.46</v>
      </c>
      <c r="T3">
        <v>4649.09</v>
      </c>
      <c r="U3">
        <v>4295.0600000000004</v>
      </c>
      <c r="V3">
        <v>4013.87</v>
      </c>
    </row>
    <row r="4" spans="1:22">
      <c r="A4" t="s">
        <v>239</v>
      </c>
      <c r="F4">
        <v>305</v>
      </c>
      <c r="G4">
        <v>869.24300000000005</v>
      </c>
      <c r="H4">
        <v>1503.3420000000001</v>
      </c>
      <c r="I4">
        <v>1963.877</v>
      </c>
      <c r="J4">
        <v>2370.902</v>
      </c>
      <c r="K4">
        <v>2607.7130000000002</v>
      </c>
      <c r="L4">
        <v>2844.8589999999999</v>
      </c>
      <c r="M4">
        <v>3180.9769999999999</v>
      </c>
      <c r="N4">
        <v>3195.857</v>
      </c>
      <c r="O4">
        <v>3293.8739999999998</v>
      </c>
      <c r="P4">
        <v>3299.6289999999999</v>
      </c>
      <c r="Q4">
        <v>3323.7809999999999</v>
      </c>
      <c r="R4">
        <v>3354.9760000000001</v>
      </c>
      <c r="S4">
        <v>3303.9839999999999</v>
      </c>
      <c r="T4">
        <v>3190.0010000000002</v>
      </c>
      <c r="U4">
        <v>3126.4290000000001</v>
      </c>
      <c r="V4">
        <v>3010.1030000000001</v>
      </c>
    </row>
    <row r="5" spans="1:22">
      <c r="A5" t="s">
        <v>393</v>
      </c>
      <c r="B5">
        <v>716.3</v>
      </c>
      <c r="C5">
        <v>1242.9000000000001</v>
      </c>
      <c r="D5">
        <v>1651.4</v>
      </c>
      <c r="E5">
        <v>2677.4</v>
      </c>
      <c r="F5">
        <v>4218.5</v>
      </c>
      <c r="G5">
        <v>5039.3999999999996</v>
      </c>
      <c r="H5">
        <v>6953.5</v>
      </c>
      <c r="I5">
        <v>8129.9</v>
      </c>
      <c r="J5">
        <v>8459.1</v>
      </c>
      <c r="K5">
        <v>8560.7999999999993</v>
      </c>
      <c r="L5">
        <v>8793.9</v>
      </c>
      <c r="M5">
        <v>8942.4</v>
      </c>
      <c r="N5">
        <v>8936</v>
      </c>
      <c r="O5">
        <v>8779.1</v>
      </c>
      <c r="P5">
        <v>8581.1</v>
      </c>
      <c r="Q5">
        <v>8424.4</v>
      </c>
      <c r="R5">
        <v>8364.2000000000007</v>
      </c>
      <c r="S5">
        <v>8099.44</v>
      </c>
      <c r="T5">
        <v>7839.09</v>
      </c>
      <c r="U5">
        <v>7421.49</v>
      </c>
      <c r="V5">
        <v>7023.97</v>
      </c>
    </row>
    <row r="6" spans="1:22">
      <c r="A6" t="s">
        <v>394</v>
      </c>
      <c r="D6">
        <v>0.71</v>
      </c>
      <c r="E6">
        <v>0.74</v>
      </c>
      <c r="F6">
        <v>0.77</v>
      </c>
      <c r="G6">
        <v>0.84</v>
      </c>
      <c r="H6">
        <v>0.85799999999999998</v>
      </c>
      <c r="I6">
        <v>0.83799999999999997</v>
      </c>
      <c r="J6">
        <v>0.85599999999999998</v>
      </c>
      <c r="K6">
        <v>0.84299999999999997</v>
      </c>
      <c r="L6">
        <v>0.83299999999999996</v>
      </c>
      <c r="M6">
        <v>0.81599999999999995</v>
      </c>
      <c r="N6">
        <v>0.80700000000000005</v>
      </c>
      <c r="O6">
        <v>0.78800000000000003</v>
      </c>
      <c r="P6">
        <v>0.76500000000000001</v>
      </c>
      <c r="Q6">
        <v>0.75</v>
      </c>
      <c r="R6">
        <v>0.72199999999999998</v>
      </c>
      <c r="S6">
        <v>0.69199999999999995</v>
      </c>
      <c r="T6">
        <v>0.66400000000000003</v>
      </c>
      <c r="U6">
        <v>0.63600000000000001</v>
      </c>
      <c r="V6">
        <v>0.61199999999999999</v>
      </c>
    </row>
    <row r="7" spans="1:22">
      <c r="A7" t="s">
        <v>395</v>
      </c>
      <c r="G7">
        <v>2E-3</v>
      </c>
      <c r="H7">
        <v>1.7999999999999999E-2</v>
      </c>
      <c r="I7">
        <v>3.5999999999999997E-2</v>
      </c>
      <c r="J7">
        <v>6.7000000000000004E-2</v>
      </c>
      <c r="K7">
        <v>9.8000000000000004E-2</v>
      </c>
      <c r="L7">
        <v>0.125</v>
      </c>
      <c r="M7">
        <v>0.16900000000000001</v>
      </c>
      <c r="N7">
        <v>0.183</v>
      </c>
      <c r="O7">
        <v>0.21299999999999999</v>
      </c>
      <c r="P7">
        <v>0.23899999999999999</v>
      </c>
      <c r="Q7">
        <v>0.25700000000000001</v>
      </c>
      <c r="R7">
        <v>0.26800000000000002</v>
      </c>
      <c r="S7">
        <v>0.28000000000000003</v>
      </c>
      <c r="T7">
        <v>0.28499999999999998</v>
      </c>
      <c r="U7">
        <v>0.30399999999999999</v>
      </c>
      <c r="V7">
        <v>0.317</v>
      </c>
    </row>
    <row r="8" spans="1:22">
      <c r="A8" t="s">
        <v>396</v>
      </c>
      <c r="D8">
        <v>0</v>
      </c>
      <c r="E8">
        <v>0</v>
      </c>
      <c r="F8">
        <v>7.1999999999999995E-2</v>
      </c>
      <c r="G8">
        <v>0.17199999999999999</v>
      </c>
      <c r="H8">
        <v>0.216</v>
      </c>
      <c r="I8">
        <v>0.24199999999999999</v>
      </c>
      <c r="J8">
        <v>0.28000000000000003</v>
      </c>
      <c r="K8">
        <v>0.30499999999999999</v>
      </c>
      <c r="L8">
        <v>0.32400000000000001</v>
      </c>
      <c r="M8">
        <v>0.35599999999999998</v>
      </c>
      <c r="N8">
        <v>0.35799999999999998</v>
      </c>
      <c r="O8">
        <v>0.375</v>
      </c>
      <c r="P8">
        <v>0.38500000000000001</v>
      </c>
      <c r="Q8">
        <v>0.39500000000000002</v>
      </c>
      <c r="R8">
        <v>0.40100000000000002</v>
      </c>
      <c r="S8">
        <v>0.40799999999999997</v>
      </c>
      <c r="T8">
        <v>0.40699999999999997</v>
      </c>
      <c r="U8">
        <v>0.42099999999999999</v>
      </c>
      <c r="V8">
        <v>0.42899999999999999</v>
      </c>
    </row>
    <row r="10" spans="1:22">
      <c r="E10">
        <v>1996</v>
      </c>
      <c r="F10">
        <v>2000</v>
      </c>
      <c r="G10">
        <v>2004</v>
      </c>
      <c r="H10">
        <v>2008</v>
      </c>
      <c r="I10">
        <v>2010</v>
      </c>
      <c r="J10">
        <v>2011</v>
      </c>
      <c r="K10">
        <v>2012</v>
      </c>
      <c r="L10">
        <v>2013</v>
      </c>
      <c r="M10">
        <v>2014</v>
      </c>
      <c r="N10">
        <v>2015</v>
      </c>
      <c r="O10">
        <v>2016</v>
      </c>
      <c r="P10">
        <v>2017</v>
      </c>
      <c r="Q10">
        <v>2018</v>
      </c>
      <c r="R10">
        <v>2019</v>
      </c>
      <c r="S10">
        <v>2020</v>
      </c>
      <c r="T10">
        <v>2021</v>
      </c>
      <c r="U10">
        <v>2022</v>
      </c>
      <c r="V10">
        <v>2023</v>
      </c>
    </row>
    <row r="11" spans="1:22">
      <c r="A11" t="s">
        <v>397</v>
      </c>
      <c r="E11">
        <v>7580</v>
      </c>
      <c r="F11">
        <v>7917</v>
      </c>
      <c r="G11">
        <v>8900</v>
      </c>
      <c r="H11">
        <v>11046</v>
      </c>
      <c r="I11">
        <v>11156</v>
      </c>
      <c r="J11">
        <v>11397</v>
      </c>
      <c r="K11">
        <v>11529</v>
      </c>
      <c r="L11">
        <v>11517.35</v>
      </c>
      <c r="M11">
        <v>11324.05</v>
      </c>
      <c r="N11">
        <v>11269.209000000001</v>
      </c>
      <c r="O11">
        <v>11089.627</v>
      </c>
      <c r="P11">
        <v>10899.039000000001</v>
      </c>
      <c r="Q11">
        <v>10820</v>
      </c>
      <c r="R11">
        <v>10552.48</v>
      </c>
      <c r="S11">
        <v>10230.569</v>
      </c>
      <c r="T11">
        <v>9939.3040000000001</v>
      </c>
      <c r="U11">
        <v>9650.7800000000007</v>
      </c>
      <c r="V11">
        <v>9398</v>
      </c>
    </row>
    <row r="12" spans="1:22">
      <c r="A12" t="s">
        <v>398</v>
      </c>
      <c r="B12">
        <v>716.3</v>
      </c>
      <c r="C12">
        <v>1242.9000000000001</v>
      </c>
      <c r="D12">
        <v>1651.4</v>
      </c>
      <c r="E12">
        <v>2677.4</v>
      </c>
      <c r="F12">
        <v>4219</v>
      </c>
      <c r="G12">
        <v>5039</v>
      </c>
      <c r="H12">
        <v>6954</v>
      </c>
      <c r="I12">
        <v>8130</v>
      </c>
      <c r="J12">
        <v>8459</v>
      </c>
      <c r="K12">
        <v>8561</v>
      </c>
      <c r="L12">
        <v>8794</v>
      </c>
      <c r="M12">
        <v>8942</v>
      </c>
      <c r="N12">
        <v>8936</v>
      </c>
      <c r="O12">
        <v>8779</v>
      </c>
      <c r="P12">
        <v>8581</v>
      </c>
      <c r="Q12">
        <v>8424</v>
      </c>
      <c r="R12">
        <v>8364</v>
      </c>
      <c r="S12">
        <v>8094</v>
      </c>
      <c r="T12">
        <v>7800</v>
      </c>
      <c r="U12">
        <v>7421.49</v>
      </c>
      <c r="V12">
        <v>7023.97</v>
      </c>
    </row>
    <row r="13" spans="1:22">
      <c r="A13" t="s">
        <v>387</v>
      </c>
      <c r="G13">
        <v>57.6</v>
      </c>
      <c r="H13">
        <v>230.7</v>
      </c>
      <c r="I13">
        <v>415.8</v>
      </c>
      <c r="J13">
        <v>706.7</v>
      </c>
      <c r="K13">
        <v>1070.4000000000001</v>
      </c>
      <c r="L13">
        <v>1451.1</v>
      </c>
      <c r="M13">
        <v>1969.2</v>
      </c>
      <c r="N13">
        <v>2231.3000000000002</v>
      </c>
      <c r="O13">
        <v>2507.9</v>
      </c>
      <c r="P13">
        <v>2633.4</v>
      </c>
      <c r="Q13">
        <v>2820.2</v>
      </c>
      <c r="R13">
        <v>2959.9</v>
      </c>
      <c r="S13">
        <v>3087</v>
      </c>
      <c r="T13">
        <v>3196.6</v>
      </c>
      <c r="U13">
        <v>3341</v>
      </c>
      <c r="V13">
        <v>3499.9</v>
      </c>
    </row>
    <row r="14" spans="1:22">
      <c r="A14" t="s">
        <v>399</v>
      </c>
      <c r="G14">
        <v>6.4999999999999997E-3</v>
      </c>
      <c r="H14">
        <v>2.0899999999999998E-2</v>
      </c>
      <c r="I14">
        <v>3.73E-2</v>
      </c>
      <c r="J14">
        <v>6.2E-2</v>
      </c>
      <c r="K14">
        <v>9.2799999999999994E-2</v>
      </c>
      <c r="L14">
        <v>0.126</v>
      </c>
      <c r="M14">
        <v>0.1739</v>
      </c>
      <c r="N14">
        <v>0.19800000000000001</v>
      </c>
      <c r="O14">
        <v>0.2261</v>
      </c>
      <c r="P14">
        <v>0.24160000000000001</v>
      </c>
      <c r="Q14">
        <v>0.2606</v>
      </c>
      <c r="R14">
        <v>0.28050000000000003</v>
      </c>
      <c r="S14">
        <v>0.30170000000000002</v>
      </c>
      <c r="T14">
        <v>0.3216</v>
      </c>
      <c r="U14">
        <v>0.34620000000000001</v>
      </c>
      <c r="V14">
        <v>0.37240000000000001</v>
      </c>
    </row>
    <row r="15" spans="1:22">
      <c r="A15" t="s">
        <v>58</v>
      </c>
      <c r="H15">
        <v>12880</v>
      </c>
      <c r="I15">
        <v>13319.3</v>
      </c>
      <c r="J15">
        <v>13320.6</v>
      </c>
      <c r="K15">
        <v>13670.2</v>
      </c>
      <c r="L15">
        <v>13820</v>
      </c>
      <c r="M15">
        <v>13871.1</v>
      </c>
      <c r="N15">
        <v>13971.6</v>
      </c>
      <c r="O15">
        <v>14072.1</v>
      </c>
      <c r="P15">
        <v>14249</v>
      </c>
      <c r="Q15">
        <v>14428</v>
      </c>
      <c r="R15">
        <v>14609.4</v>
      </c>
      <c r="S15">
        <v>14793</v>
      </c>
      <c r="T15">
        <v>14978.9</v>
      </c>
      <c r="U15">
        <v>15167.2</v>
      </c>
      <c r="V15">
        <v>15357.8</v>
      </c>
    </row>
    <row r="16" spans="1:22">
      <c r="A16" t="s">
        <v>400</v>
      </c>
      <c r="E16">
        <v>353.22</v>
      </c>
      <c r="F16">
        <v>532.9</v>
      </c>
      <c r="G16">
        <v>566.22</v>
      </c>
      <c r="H16">
        <v>629.5</v>
      </c>
      <c r="I16">
        <v>728.74</v>
      </c>
      <c r="J16">
        <v>742.22</v>
      </c>
      <c r="K16">
        <v>742.55</v>
      </c>
      <c r="L16">
        <v>763.54</v>
      </c>
      <c r="M16">
        <v>789.68</v>
      </c>
      <c r="N16">
        <v>792.96</v>
      </c>
      <c r="O16">
        <v>791.65</v>
      </c>
      <c r="P16">
        <v>787.33</v>
      </c>
      <c r="Q16">
        <v>778.57</v>
      </c>
      <c r="R16">
        <v>792.63</v>
      </c>
      <c r="S16">
        <v>791.15</v>
      </c>
      <c r="T16">
        <v>784.76</v>
      </c>
      <c r="U16">
        <v>769</v>
      </c>
      <c r="V16">
        <v>747.39</v>
      </c>
    </row>
    <row r="17" spans="1:22">
      <c r="A17" t="s">
        <v>401</v>
      </c>
      <c r="E17">
        <v>29.43</v>
      </c>
      <c r="F17">
        <v>44.41</v>
      </c>
      <c r="G17">
        <v>47.19</v>
      </c>
      <c r="H17">
        <v>52.46</v>
      </c>
      <c r="I17">
        <v>60.73</v>
      </c>
      <c r="J17">
        <v>61.85</v>
      </c>
      <c r="K17">
        <v>61.88</v>
      </c>
      <c r="L17">
        <v>63.63</v>
      </c>
      <c r="M17">
        <v>65.81</v>
      </c>
      <c r="N17">
        <v>66.08</v>
      </c>
      <c r="O17">
        <v>65.97</v>
      </c>
      <c r="P17">
        <v>65.61</v>
      </c>
      <c r="Q17">
        <v>64.88</v>
      </c>
      <c r="R17">
        <v>66.05</v>
      </c>
      <c r="S17">
        <v>65.930000000000007</v>
      </c>
      <c r="T17">
        <v>65.400000000000006</v>
      </c>
      <c r="U17">
        <v>64.08</v>
      </c>
      <c r="V17">
        <v>62.28</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81E7C-ECD9-974C-9E7C-70ADF669516E}">
  <dimension ref="A1:C21"/>
  <sheetViews>
    <sheetView zoomScale="55" zoomScaleNormal="55" workbookViewId="0"/>
  </sheetViews>
  <sheetFormatPr baseColWidth="10" defaultColWidth="10.6640625" defaultRowHeight="16"/>
  <cols>
    <col min="1" max="1" width="32.33203125" customWidth="1"/>
    <col min="2" max="2" width="16.33203125" customWidth="1"/>
    <col min="3" max="3" width="15.33203125" customWidth="1"/>
  </cols>
  <sheetData>
    <row r="1" spans="1:3" ht="16" customHeight="1">
      <c r="A1" t="s">
        <v>555</v>
      </c>
    </row>
    <row r="2" spans="1:3">
      <c r="B2" t="s">
        <v>407</v>
      </c>
      <c r="C2" t="s">
        <v>408</v>
      </c>
    </row>
    <row r="3" spans="1:3">
      <c r="A3" t="s">
        <v>113</v>
      </c>
      <c r="B3">
        <v>0.29499999999999998</v>
      </c>
      <c r="C3">
        <v>0.29499999999999998</v>
      </c>
    </row>
    <row r="4" spans="1:3">
      <c r="A4" t="s">
        <v>121</v>
      </c>
      <c r="B4">
        <v>0.153</v>
      </c>
      <c r="C4">
        <v>0.33700000000000002</v>
      </c>
    </row>
    <row r="5" spans="1:3">
      <c r="A5" t="s">
        <v>138</v>
      </c>
      <c r="B5">
        <v>0.20499999999999999</v>
      </c>
    </row>
    <row r="6" spans="1:3">
      <c r="A6" t="s">
        <v>123</v>
      </c>
      <c r="B6">
        <v>0.108</v>
      </c>
      <c r="C6">
        <v>0.114</v>
      </c>
    </row>
    <row r="7" spans="1:3">
      <c r="A7" t="s">
        <v>156</v>
      </c>
      <c r="B7">
        <v>0.113</v>
      </c>
      <c r="C7">
        <v>0.12</v>
      </c>
    </row>
    <row r="8" spans="1:3">
      <c r="A8" t="s">
        <v>140</v>
      </c>
      <c r="B8">
        <v>6.4000000000000001E-2</v>
      </c>
      <c r="C8">
        <v>6.6000000000000003E-2</v>
      </c>
    </row>
    <row r="9" spans="1:3">
      <c r="A9" t="s">
        <v>191</v>
      </c>
      <c r="B9">
        <v>3.5999999999999997E-2</v>
      </c>
      <c r="C9">
        <v>3.5999999999999997E-2</v>
      </c>
    </row>
    <row r="10" spans="1:3">
      <c r="A10" t="s">
        <v>118</v>
      </c>
      <c r="B10">
        <v>1.2999999999999999E-2</v>
      </c>
      <c r="C10">
        <v>1.4E-2</v>
      </c>
    </row>
    <row r="11" spans="1:3">
      <c r="A11" t="s">
        <v>409</v>
      </c>
      <c r="B11">
        <v>5.0000000000000001E-3</v>
      </c>
      <c r="C11">
        <v>5.0000000000000001E-3</v>
      </c>
    </row>
    <row r="12" spans="1:3">
      <c r="A12" t="s">
        <v>343</v>
      </c>
      <c r="B12">
        <f>1-SUM(B3,B4,B5,B6,B7,B8,B9,B10,B11)</f>
        <v>8.0000000000000071E-3</v>
      </c>
      <c r="C12">
        <f>1-SUM(C3,C4,C5,C6,C7,C8,C9,C10,C11)</f>
        <v>1.3000000000000012E-2</v>
      </c>
    </row>
    <row r="14" spans="1:3">
      <c r="A14" t="s">
        <v>411</v>
      </c>
      <c r="B14">
        <v>0.153</v>
      </c>
    </row>
    <row r="15" spans="1:3">
      <c r="A15" t="s">
        <v>410</v>
      </c>
      <c r="B15">
        <v>0.33700000000000002</v>
      </c>
    </row>
    <row r="17" spans="1:2">
      <c r="A17" t="s">
        <v>412</v>
      </c>
      <c r="B17">
        <v>0.76100000000000001</v>
      </c>
    </row>
    <row r="18" spans="1:2">
      <c r="A18" t="s">
        <v>413</v>
      </c>
      <c r="B18">
        <v>0.86599999999999999</v>
      </c>
    </row>
    <row r="20" spans="1:2">
      <c r="A20" t="s">
        <v>414</v>
      </c>
      <c r="B20">
        <v>1824.8</v>
      </c>
    </row>
    <row r="21" spans="1:2">
      <c r="A21" t="s">
        <v>415</v>
      </c>
      <c r="B21">
        <v>2338.6</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301B-56FE-EC4A-8801-C60021A9C4F1}">
  <dimension ref="A1:N5"/>
  <sheetViews>
    <sheetView zoomScale="55" zoomScaleNormal="55" workbookViewId="0"/>
  </sheetViews>
  <sheetFormatPr baseColWidth="10" defaultColWidth="11" defaultRowHeight="16"/>
  <cols>
    <col min="1" max="1" width="28.6640625" customWidth="1"/>
    <col min="16" max="16" width="26.5" customWidth="1"/>
  </cols>
  <sheetData>
    <row r="1" spans="1:14" ht="17" customHeight="1">
      <c r="A1" t="s">
        <v>556</v>
      </c>
    </row>
    <row r="2" spans="1:14">
      <c r="B2">
        <v>1992</v>
      </c>
      <c r="C2">
        <v>1996</v>
      </c>
      <c r="D2">
        <v>2000</v>
      </c>
      <c r="E2">
        <v>2004</v>
      </c>
      <c r="F2">
        <v>2008</v>
      </c>
      <c r="G2">
        <v>2010</v>
      </c>
      <c r="H2">
        <v>2012</v>
      </c>
      <c r="I2">
        <v>2014</v>
      </c>
      <c r="J2">
        <v>2016</v>
      </c>
      <c r="K2">
        <v>2018</v>
      </c>
      <c r="L2">
        <v>2020</v>
      </c>
      <c r="M2">
        <v>2022</v>
      </c>
      <c r="N2">
        <v>2023</v>
      </c>
    </row>
    <row r="3" spans="1:14">
      <c r="A3" t="s">
        <v>405</v>
      </c>
      <c r="B3">
        <v>1</v>
      </c>
      <c r="C3">
        <v>1</v>
      </c>
      <c r="D3">
        <v>0.927699419224843</v>
      </c>
      <c r="E3">
        <v>0.82751061634321532</v>
      </c>
      <c r="F3">
        <v>0.78380065290860712</v>
      </c>
      <c r="G3">
        <v>0.7584377327285603</v>
      </c>
      <c r="H3">
        <v>0.69538908307934444</v>
      </c>
      <c r="I3">
        <v>0.64428148883793734</v>
      </c>
      <c r="J3">
        <v>0.62480508120022682</v>
      </c>
      <c r="K3">
        <v>0.60545784618159659</v>
      </c>
      <c r="L3">
        <v>0.59207253834833029</v>
      </c>
      <c r="M3">
        <v>0.57873297680115443</v>
      </c>
      <c r="N3">
        <v>0.57145275392691031</v>
      </c>
    </row>
    <row r="4" spans="1:14">
      <c r="A4" t="s">
        <v>404</v>
      </c>
      <c r="B4">
        <v>0</v>
      </c>
      <c r="C4">
        <v>0</v>
      </c>
      <c r="D4">
        <v>7.2300580775157053E-2</v>
      </c>
      <c r="E4">
        <v>0.17248938365678457</v>
      </c>
      <c r="F4">
        <v>0.21619934709139282</v>
      </c>
      <c r="G4">
        <v>0.2415622672714397</v>
      </c>
      <c r="H4">
        <v>0.30461091692065562</v>
      </c>
      <c r="I4">
        <v>0.35571851116206271</v>
      </c>
      <c r="J4">
        <v>0.37519491879977312</v>
      </c>
      <c r="K4">
        <v>0.39454215381840341</v>
      </c>
      <c r="L4">
        <v>0.40792746165166976</v>
      </c>
      <c r="M4">
        <v>0.42126702319884551</v>
      </c>
      <c r="N4">
        <v>0.42854724607308969</v>
      </c>
    </row>
    <row r="5" spans="1:14" ht="24" customHeight="1">
      <c r="A5" t="s">
        <v>403</v>
      </c>
      <c r="B5">
        <f t="shared" ref="B5:N5" si="0">SUMSQ(B3,B4)*10000</f>
        <v>10000</v>
      </c>
      <c r="C5">
        <f t="shared" si="0"/>
        <v>10000</v>
      </c>
      <c r="D5">
        <f t="shared" si="0"/>
        <v>8658.5358641053608</v>
      </c>
      <c r="E5">
        <f t="shared" si="0"/>
        <v>7145.264076350255</v>
      </c>
      <c r="F5">
        <f t="shared" si="0"/>
        <v>6610.8562118270338</v>
      </c>
      <c r="G5">
        <f t="shared" si="0"/>
        <v>6335.8012339575762</v>
      </c>
      <c r="H5">
        <f t="shared" si="0"/>
        <v>5763.5378757317394</v>
      </c>
      <c r="I5">
        <f t="shared" si="0"/>
        <v>5416.3429604258372</v>
      </c>
      <c r="J5">
        <f t="shared" si="0"/>
        <v>5311.5261658679037</v>
      </c>
      <c r="K5">
        <f t="shared" si="0"/>
        <v>5222.4271464252261</v>
      </c>
      <c r="L5">
        <f t="shared" si="0"/>
        <v>5169.5470463580959</v>
      </c>
      <c r="M5">
        <f t="shared" si="0"/>
        <v>5123.9776327194222</v>
      </c>
      <c r="N5">
        <f t="shared" si="0"/>
        <v>5102.1099208747919</v>
      </c>
    </row>
  </sheetData>
  <pageMargins left="0.75" right="0.75" top="1" bottom="1" header="0.5" footer="0.5"/>
  <pageSetup orientation="portrait" horizontalDpi="4294967292" verticalDpi="4294967292"/>
  <headerFooter>
    <oddHeader>&amp;R&amp;"Calibri"&amp;12&amp;K000000 Unclassified / Non classifié&amp;1#_x000D_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A3B2-A93E-9344-BBB6-F6357F7C77AC}">
  <dimension ref="A1:G5"/>
  <sheetViews>
    <sheetView zoomScale="70" zoomScaleNormal="70" workbookViewId="0"/>
  </sheetViews>
  <sheetFormatPr baseColWidth="10" defaultColWidth="10.6640625" defaultRowHeight="16"/>
  <cols>
    <col min="1" max="1" width="27.6640625" customWidth="1"/>
  </cols>
  <sheetData>
    <row r="1" spans="1:7" ht="18" customHeight="1">
      <c r="A1" t="s">
        <v>557</v>
      </c>
    </row>
    <row r="2" spans="1:7">
      <c r="B2" t="s">
        <v>278</v>
      </c>
      <c r="C2" t="s">
        <v>279</v>
      </c>
      <c r="D2" t="s">
        <v>280</v>
      </c>
      <c r="E2" t="s">
        <v>281</v>
      </c>
      <c r="F2" t="s">
        <v>282</v>
      </c>
      <c r="G2" t="s">
        <v>283</v>
      </c>
    </row>
    <row r="3" spans="1:7">
      <c r="A3" t="s">
        <v>285</v>
      </c>
      <c r="B3">
        <v>0.79700000000000004</v>
      </c>
      <c r="C3">
        <v>0.90900000000000003</v>
      </c>
      <c r="D3">
        <v>0.96799999999999997</v>
      </c>
      <c r="E3">
        <v>0.98399999999999999</v>
      </c>
      <c r="F3">
        <v>0.98199999999999998</v>
      </c>
      <c r="G3">
        <v>0.92799999999999994</v>
      </c>
    </row>
    <row r="4" spans="1:7">
      <c r="A4" t="s">
        <v>381</v>
      </c>
      <c r="B4">
        <v>0.19800000000000001</v>
      </c>
      <c r="C4">
        <v>0.253</v>
      </c>
      <c r="D4">
        <v>0.32500000000000001</v>
      </c>
      <c r="E4">
        <v>0.35099999999999998</v>
      </c>
      <c r="F4">
        <v>0.372</v>
      </c>
      <c r="G4">
        <v>0.29980000000000001</v>
      </c>
    </row>
    <row r="5" spans="1:7">
      <c r="A5" t="s">
        <v>383</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D24F3-3F11-074D-92C1-CAD185CD504A}">
  <dimension ref="A1:C94"/>
  <sheetViews>
    <sheetView zoomScale="70" zoomScaleNormal="70" workbookViewId="0"/>
  </sheetViews>
  <sheetFormatPr baseColWidth="10" defaultColWidth="10.6640625" defaultRowHeight="16"/>
  <cols>
    <col min="2" max="2" width="14" customWidth="1"/>
    <col min="3" max="3" width="19.33203125" customWidth="1"/>
    <col min="4" max="4" width="24.33203125" customWidth="1"/>
    <col min="5" max="5" width="28.5" customWidth="1"/>
  </cols>
  <sheetData>
    <row r="1" spans="1:3" ht="16" customHeight="1">
      <c r="A1" t="s">
        <v>558</v>
      </c>
    </row>
    <row r="2" spans="1:3">
      <c r="A2" t="s">
        <v>309</v>
      </c>
      <c r="B2" t="s">
        <v>402</v>
      </c>
      <c r="C2" t="s">
        <v>406</v>
      </c>
    </row>
    <row r="3" spans="1:3">
      <c r="A3">
        <v>1</v>
      </c>
      <c r="B3" t="s">
        <v>249</v>
      </c>
      <c r="C3">
        <v>0.89560000000000006</v>
      </c>
    </row>
    <row r="4" spans="1:3">
      <c r="A4">
        <v>2</v>
      </c>
      <c r="B4" t="s">
        <v>316</v>
      </c>
      <c r="C4">
        <v>0.88649999999999995</v>
      </c>
    </row>
    <row r="5" spans="1:3">
      <c r="A5">
        <v>3</v>
      </c>
      <c r="B5" t="s">
        <v>256</v>
      </c>
      <c r="C5">
        <v>0.85799999999999998</v>
      </c>
    </row>
    <row r="6" spans="1:3">
      <c r="A6">
        <v>4</v>
      </c>
      <c r="B6" t="s">
        <v>317</v>
      </c>
      <c r="C6">
        <v>0.79849999999999988</v>
      </c>
    </row>
    <row r="7" spans="1:3">
      <c r="A7">
        <v>5</v>
      </c>
      <c r="B7" t="s">
        <v>243</v>
      </c>
      <c r="C7">
        <v>0.79099999999999993</v>
      </c>
    </row>
    <row r="8" spans="1:3">
      <c r="A8">
        <v>7</v>
      </c>
      <c r="B8" t="s">
        <v>318</v>
      </c>
      <c r="C8">
        <v>0.77569999999999995</v>
      </c>
    </row>
    <row r="9" spans="1:3">
      <c r="A9">
        <v>6</v>
      </c>
      <c r="B9" t="s">
        <v>264</v>
      </c>
      <c r="C9">
        <v>0.77560000000000007</v>
      </c>
    </row>
    <row r="10" spans="1:3">
      <c r="A10">
        <v>8</v>
      </c>
      <c r="B10" t="s">
        <v>271</v>
      </c>
      <c r="C10">
        <v>0.72470000000000001</v>
      </c>
    </row>
    <row r="11" spans="1:3">
      <c r="A11">
        <v>9</v>
      </c>
      <c r="B11" t="s">
        <v>273</v>
      </c>
      <c r="C11">
        <v>0.70110000000000006</v>
      </c>
    </row>
    <row r="12" spans="1:3">
      <c r="A12">
        <v>10</v>
      </c>
      <c r="B12" t="s">
        <v>269</v>
      </c>
      <c r="C12">
        <v>0.69440000000000002</v>
      </c>
    </row>
    <row r="13" spans="1:3">
      <c r="A13">
        <v>11</v>
      </c>
      <c r="B13" t="s">
        <v>250</v>
      </c>
      <c r="C13">
        <v>0.66339999999999999</v>
      </c>
    </row>
    <row r="14" spans="1:3">
      <c r="A14">
        <v>12</v>
      </c>
      <c r="B14" t="s">
        <v>275</v>
      </c>
      <c r="C14">
        <v>0.66249999999999998</v>
      </c>
    </row>
    <row r="15" spans="1:3">
      <c r="A15">
        <v>13</v>
      </c>
      <c r="B15" t="s">
        <v>268</v>
      </c>
      <c r="C15">
        <v>0.65739999999999998</v>
      </c>
    </row>
    <row r="16" spans="1:3">
      <c r="A16">
        <v>14</v>
      </c>
      <c r="B16" t="s">
        <v>248</v>
      </c>
      <c r="C16">
        <v>0.64500000000000002</v>
      </c>
    </row>
    <row r="17" spans="1:3">
      <c r="A17">
        <v>15</v>
      </c>
      <c r="B17" t="s">
        <v>319</v>
      </c>
      <c r="C17">
        <v>0.64240000000000008</v>
      </c>
    </row>
    <row r="18" spans="1:3">
      <c r="A18">
        <v>16</v>
      </c>
      <c r="B18" t="s">
        <v>267</v>
      </c>
      <c r="C18">
        <v>0.55349999999999999</v>
      </c>
    </row>
    <row r="19" spans="1:3">
      <c r="A19">
        <v>17</v>
      </c>
      <c r="B19" t="s">
        <v>322</v>
      </c>
      <c r="C19">
        <v>0.53259999999999996</v>
      </c>
    </row>
    <row r="20" spans="1:3">
      <c r="A20">
        <v>18</v>
      </c>
      <c r="B20" t="s">
        <v>314</v>
      </c>
      <c r="C20">
        <v>0.49979999999999997</v>
      </c>
    </row>
    <row r="21" spans="1:3">
      <c r="A21">
        <v>19</v>
      </c>
      <c r="B21" t="s">
        <v>262</v>
      </c>
      <c r="C21">
        <v>0.48090000000000005</v>
      </c>
    </row>
    <row r="22" spans="1:3">
      <c r="A22">
        <v>20</v>
      </c>
      <c r="B22" t="s">
        <v>272</v>
      </c>
      <c r="C22">
        <v>0.4798</v>
      </c>
    </row>
    <row r="23" spans="1:3">
      <c r="A23">
        <v>21</v>
      </c>
      <c r="B23" t="s">
        <v>321</v>
      </c>
      <c r="C23">
        <v>0.47470000000000001</v>
      </c>
    </row>
    <row r="24" spans="1:3">
      <c r="A24">
        <v>22</v>
      </c>
      <c r="B24" t="s">
        <v>323</v>
      </c>
      <c r="C24">
        <v>0.46979999999999994</v>
      </c>
    </row>
    <row r="25" spans="1:3">
      <c r="A25">
        <v>23</v>
      </c>
      <c r="B25" t="s">
        <v>325</v>
      </c>
      <c r="C25">
        <v>0.4299</v>
      </c>
    </row>
    <row r="26" spans="1:3">
      <c r="B26" t="s">
        <v>315</v>
      </c>
      <c r="C26">
        <v>0.42450000000000004</v>
      </c>
    </row>
    <row r="27" spans="1:3">
      <c r="A27">
        <v>24</v>
      </c>
      <c r="B27" t="s">
        <v>274</v>
      </c>
      <c r="C27">
        <v>0.40459999999999996</v>
      </c>
    </row>
    <row r="28" spans="1:3">
      <c r="A28">
        <v>25</v>
      </c>
      <c r="B28" t="s">
        <v>326</v>
      </c>
      <c r="C28">
        <v>0.37059999999999998</v>
      </c>
    </row>
    <row r="29" spans="1:3">
      <c r="A29">
        <v>26</v>
      </c>
      <c r="B29" t="s">
        <v>327</v>
      </c>
      <c r="C29">
        <v>0.34460000000000002</v>
      </c>
    </row>
    <row r="30" spans="1:3">
      <c r="A30">
        <v>27</v>
      </c>
      <c r="B30" t="s">
        <v>259</v>
      </c>
      <c r="C30">
        <v>0.33789999999999998</v>
      </c>
    </row>
    <row r="31" spans="1:3">
      <c r="A31">
        <v>28</v>
      </c>
      <c r="B31" t="s">
        <v>246</v>
      </c>
      <c r="C31">
        <v>0.318</v>
      </c>
    </row>
    <row r="32" spans="1:3">
      <c r="A32">
        <v>29</v>
      </c>
      <c r="B32" t="s">
        <v>261</v>
      </c>
      <c r="C32">
        <v>0.30019999999999997</v>
      </c>
    </row>
    <row r="33" spans="1:3">
      <c r="A33">
        <v>30</v>
      </c>
      <c r="B33" t="s">
        <v>252</v>
      </c>
      <c r="C33">
        <v>0.26420000000000005</v>
      </c>
    </row>
    <row r="34" spans="1:3">
      <c r="A34">
        <v>31</v>
      </c>
      <c r="B34" t="s">
        <v>254</v>
      </c>
      <c r="C34">
        <v>0.2432</v>
      </c>
    </row>
    <row r="35" spans="1:3">
      <c r="A35">
        <v>32</v>
      </c>
      <c r="B35" t="s">
        <v>241</v>
      </c>
      <c r="C35">
        <v>0.23070000000000002</v>
      </c>
    </row>
    <row r="36" spans="1:3">
      <c r="A36">
        <v>33</v>
      </c>
      <c r="B36" t="s">
        <v>320</v>
      </c>
      <c r="C36">
        <v>0.21629999999999999</v>
      </c>
    </row>
    <row r="37" spans="1:3">
      <c r="A37">
        <v>34</v>
      </c>
      <c r="B37" t="s">
        <v>251</v>
      </c>
      <c r="C37">
        <v>0.20050000000000001</v>
      </c>
    </row>
    <row r="38" spans="1:3">
      <c r="A38">
        <v>35</v>
      </c>
      <c r="B38" t="s">
        <v>245</v>
      </c>
      <c r="C38">
        <v>0.1119</v>
      </c>
    </row>
    <row r="39" spans="1:3">
      <c r="A39">
        <v>36</v>
      </c>
      <c r="B39" t="s">
        <v>265</v>
      </c>
      <c r="C39">
        <v>0.11230000000000001</v>
      </c>
    </row>
    <row r="40" spans="1:3">
      <c r="A40">
        <v>37</v>
      </c>
      <c r="B40" t="s">
        <v>324</v>
      </c>
      <c r="C40">
        <v>8.3000000000000018E-2</v>
      </c>
    </row>
    <row r="41" spans="1:3">
      <c r="A41">
        <v>38</v>
      </c>
      <c r="B41" t="s">
        <v>263</v>
      </c>
      <c r="C41">
        <v>7.9399999999999998E-2</v>
      </c>
    </row>
    <row r="42" spans="1:3">
      <c r="A42" t="s">
        <v>859</v>
      </c>
    </row>
    <row r="94" ht="34" customHeight="1"/>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290D-A971-F747-BA83-2790A703E117}">
  <dimension ref="A1:R8"/>
  <sheetViews>
    <sheetView zoomScale="70" zoomScaleNormal="70" workbookViewId="0"/>
  </sheetViews>
  <sheetFormatPr baseColWidth="10" defaultColWidth="10.6640625" defaultRowHeight="16"/>
  <sheetData>
    <row r="1" spans="1:18" ht="16.25" customHeight="1">
      <c r="A1" t="s">
        <v>860</v>
      </c>
    </row>
    <row r="2" spans="1:18">
      <c r="B2">
        <v>2000</v>
      </c>
      <c r="C2">
        <v>2004</v>
      </c>
      <c r="D2">
        <v>2008</v>
      </c>
      <c r="E2">
        <v>2010</v>
      </c>
      <c r="F2">
        <v>2011</v>
      </c>
      <c r="G2">
        <v>2012</v>
      </c>
      <c r="H2">
        <v>2013</v>
      </c>
      <c r="I2">
        <v>2014</v>
      </c>
      <c r="J2">
        <v>2015</v>
      </c>
      <c r="K2">
        <v>2016</v>
      </c>
      <c r="L2">
        <v>2017</v>
      </c>
      <c r="M2">
        <v>2018</v>
      </c>
      <c r="N2">
        <v>2019</v>
      </c>
      <c r="O2">
        <v>2020</v>
      </c>
      <c r="P2">
        <v>2021</v>
      </c>
      <c r="Q2">
        <v>2022</v>
      </c>
      <c r="R2">
        <v>2023</v>
      </c>
    </row>
    <row r="3" spans="1:18">
      <c r="A3" t="s">
        <v>376</v>
      </c>
      <c r="B3">
        <v>39.700000000000003</v>
      </c>
      <c r="C3">
        <v>44</v>
      </c>
      <c r="D3">
        <v>41</v>
      </c>
      <c r="E3">
        <v>38.299999999999997</v>
      </c>
      <c r="F3">
        <v>37.6</v>
      </c>
      <c r="G3">
        <v>37.4</v>
      </c>
      <c r="H3">
        <v>37.718877215437402</v>
      </c>
      <c r="I3">
        <v>38.084879541898097</v>
      </c>
      <c r="J3">
        <v>38.142803676134243</v>
      </c>
      <c r="K3">
        <v>38.396878302577022</v>
      </c>
      <c r="L3">
        <v>38.496073585082755</v>
      </c>
      <c r="M3">
        <v>38.1</v>
      </c>
      <c r="N3">
        <v>38.799999999999997</v>
      </c>
      <c r="O3">
        <v>39.55810239814592</v>
      </c>
      <c r="P3">
        <v>40.40103590638374</v>
      </c>
      <c r="Q3">
        <v>42.862019571881824</v>
      </c>
      <c r="R3">
        <v>44.2</v>
      </c>
    </row>
    <row r="4" spans="1:18">
      <c r="A4" t="s">
        <v>377</v>
      </c>
      <c r="B4">
        <v>23.5</v>
      </c>
      <c r="C4">
        <v>39.9</v>
      </c>
      <c r="D4">
        <v>51.1</v>
      </c>
      <c r="E4">
        <v>54.5</v>
      </c>
      <c r="F4">
        <v>54.8</v>
      </c>
      <c r="G4">
        <v>54</v>
      </c>
      <c r="H4">
        <v>52.734965246297975</v>
      </c>
      <c r="I4">
        <v>51.191684005984207</v>
      </c>
      <c r="J4">
        <v>49.814945731276254</v>
      </c>
      <c r="K4">
        <v>49.021217787171778</v>
      </c>
      <c r="L4">
        <v>48.495917154209558</v>
      </c>
      <c r="M4">
        <v>47.4</v>
      </c>
      <c r="N4">
        <v>46.1</v>
      </c>
      <c r="O4">
        <v>45.347851278210364</v>
      </c>
      <c r="P4">
        <v>44.877827619132674</v>
      </c>
      <c r="Q4">
        <v>44.938352588388064</v>
      </c>
      <c r="R4">
        <v>44</v>
      </c>
    </row>
    <row r="5" spans="1:18">
      <c r="A5" t="s">
        <v>378</v>
      </c>
      <c r="B5">
        <f>B3+B4</f>
        <v>63.2</v>
      </c>
      <c r="C5">
        <f t="shared" ref="C5:R5" si="0">C3+C4</f>
        <v>83.9</v>
      </c>
      <c r="D5">
        <f t="shared" si="0"/>
        <v>92.1</v>
      </c>
      <c r="E5">
        <f t="shared" si="0"/>
        <v>92.8</v>
      </c>
      <c r="F5">
        <f t="shared" si="0"/>
        <v>92.4</v>
      </c>
      <c r="G5">
        <f t="shared" si="0"/>
        <v>91.4</v>
      </c>
      <c r="H5">
        <f t="shared" si="0"/>
        <v>90.453842461735377</v>
      </c>
      <c r="I5">
        <f t="shared" si="0"/>
        <v>89.276563547882304</v>
      </c>
      <c r="J5">
        <f t="shared" si="0"/>
        <v>87.957749407410489</v>
      </c>
      <c r="K5">
        <f t="shared" si="0"/>
        <v>87.418096089748801</v>
      </c>
      <c r="L5">
        <f t="shared" si="0"/>
        <v>86.991990739292305</v>
      </c>
      <c r="M5">
        <f t="shared" si="0"/>
        <v>85.5</v>
      </c>
      <c r="N5">
        <f t="shared" si="0"/>
        <v>84.9</v>
      </c>
      <c r="O5">
        <f t="shared" si="0"/>
        <v>84.90595367635629</v>
      </c>
      <c r="P5">
        <f t="shared" si="0"/>
        <v>85.278863525516414</v>
      </c>
      <c r="Q5">
        <f t="shared" si="0"/>
        <v>87.800372160269887</v>
      </c>
      <c r="R5">
        <f t="shared" si="0"/>
        <v>88.2</v>
      </c>
    </row>
    <row r="6" spans="1:18">
      <c r="A6" t="s">
        <v>379</v>
      </c>
      <c r="B6">
        <v>36.799999999999997</v>
      </c>
      <c r="C6">
        <v>16.099999999999994</v>
      </c>
      <c r="D6">
        <v>7.9000000000000057</v>
      </c>
      <c r="E6">
        <v>7.2000000000000028</v>
      </c>
      <c r="F6">
        <v>7.5999999999999943</v>
      </c>
      <c r="G6">
        <v>8.5999999999999943</v>
      </c>
      <c r="H6">
        <v>9.5461575382646231</v>
      </c>
      <c r="I6">
        <v>10.723436452117696</v>
      </c>
      <c r="J6">
        <v>12.042250592589511</v>
      </c>
      <c r="K6">
        <v>12.581903910251199</v>
      </c>
      <c r="L6">
        <v>13.008009260707695</v>
      </c>
      <c r="M6">
        <v>14.5</v>
      </c>
      <c r="N6">
        <v>15.099999999999994</v>
      </c>
      <c r="O6">
        <v>15.09404632364371</v>
      </c>
      <c r="P6">
        <v>14.721136474483586</v>
      </c>
      <c r="Q6">
        <v>12.199627839730113</v>
      </c>
      <c r="R6">
        <v>11.8</v>
      </c>
    </row>
    <row r="7" spans="1:18">
      <c r="A7" t="s">
        <v>345</v>
      </c>
      <c r="B7">
        <f>SUMSQ(B3:B4,B6)</f>
        <v>3482.58</v>
      </c>
      <c r="C7">
        <f t="shared" ref="C7:R7" si="1">SUMSQ(C3:C4,C6)</f>
        <v>3787.2200000000003</v>
      </c>
      <c r="D7">
        <f t="shared" si="1"/>
        <v>4354.62</v>
      </c>
      <c r="E7">
        <f t="shared" si="1"/>
        <v>4488.9799999999996</v>
      </c>
      <c r="F7">
        <f t="shared" si="1"/>
        <v>4474.5599999999995</v>
      </c>
      <c r="G7">
        <f t="shared" si="1"/>
        <v>4388.72</v>
      </c>
      <c r="H7">
        <f t="shared" si="1"/>
        <v>4294.8193816668645</v>
      </c>
      <c r="I7">
        <f t="shared" si="1"/>
        <v>4186.038650432035</v>
      </c>
      <c r="J7">
        <f t="shared" si="1"/>
        <v>4081.418089820841</v>
      </c>
      <c r="K7">
        <f t="shared" si="1"/>
        <v>4035.7043627270314</v>
      </c>
      <c r="L7">
        <f t="shared" si="1"/>
        <v>4003.00996702272</v>
      </c>
      <c r="M7">
        <f t="shared" si="1"/>
        <v>3908.62</v>
      </c>
      <c r="N7">
        <f t="shared" si="1"/>
        <v>3858.6599999999994</v>
      </c>
      <c r="O7">
        <f t="shared" si="1"/>
        <v>3849.1013153131853</v>
      </c>
      <c r="P7">
        <f t="shared" si="1"/>
        <v>3862.9749732218665</v>
      </c>
      <c r="Q7">
        <f t="shared" si="1"/>
        <v>4005.4391745665826</v>
      </c>
      <c r="R7">
        <f t="shared" si="1"/>
        <v>4028.88</v>
      </c>
    </row>
    <row r="8" spans="1:18" ht="15" customHeight="1">
      <c r="A8" t="s">
        <v>380</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0E0DB-C41B-0B40-BE53-593C918C5A99}">
  <dimension ref="A1:C30"/>
  <sheetViews>
    <sheetView zoomScale="55" zoomScaleNormal="55" workbookViewId="0"/>
  </sheetViews>
  <sheetFormatPr baseColWidth="10" defaultColWidth="11" defaultRowHeight="16"/>
  <cols>
    <col min="1" max="1" width="24.83203125" customWidth="1"/>
    <col min="2" max="2" width="14" customWidth="1"/>
    <col min="3" max="3" width="16.6640625" customWidth="1"/>
  </cols>
  <sheetData>
    <row r="1" spans="1:3" ht="18" customHeight="1">
      <c r="A1" t="s">
        <v>559</v>
      </c>
    </row>
    <row r="2" spans="1:3">
      <c r="B2" t="s">
        <v>407</v>
      </c>
      <c r="C2" t="s">
        <v>408</v>
      </c>
    </row>
    <row r="3" spans="1:3">
      <c r="A3" t="s">
        <v>113</v>
      </c>
      <c r="B3">
        <v>0.24600000000000002</v>
      </c>
      <c r="C3">
        <v>0.254</v>
      </c>
    </row>
    <row r="4" spans="1:3">
      <c r="A4" t="s">
        <v>121</v>
      </c>
      <c r="B4">
        <v>0.16200000000000001</v>
      </c>
      <c r="C4">
        <v>0.254</v>
      </c>
    </row>
    <row r="5" spans="1:3">
      <c r="A5" t="s">
        <v>156</v>
      </c>
      <c r="B5">
        <v>0.14199999999999999</v>
      </c>
      <c r="C5">
        <v>0.14599999999999999</v>
      </c>
    </row>
    <row r="6" spans="1:3">
      <c r="A6" t="s">
        <v>138</v>
      </c>
      <c r="B6">
        <v>0.13600000000000001</v>
      </c>
      <c r="C6">
        <v>0</v>
      </c>
    </row>
    <row r="7" spans="1:3">
      <c r="A7" t="s">
        <v>123</v>
      </c>
      <c r="B7">
        <v>8.1000000000000003E-2</v>
      </c>
      <c r="C7">
        <v>8.1000000000000003E-2</v>
      </c>
    </row>
    <row r="8" spans="1:3">
      <c r="A8" t="s">
        <v>140</v>
      </c>
      <c r="B8">
        <v>0.05</v>
      </c>
      <c r="C8">
        <v>5.2999999999999999E-2</v>
      </c>
    </row>
    <row r="9" spans="1:3">
      <c r="A9" t="s">
        <v>194</v>
      </c>
      <c r="B9">
        <v>1.7000000000000001E-2</v>
      </c>
      <c r="C9">
        <v>2.6000000000000002E-2</v>
      </c>
    </row>
    <row r="10" spans="1:3">
      <c r="A10" t="s">
        <v>191</v>
      </c>
      <c r="B10">
        <v>2.3E-2</v>
      </c>
      <c r="C10">
        <v>2.3E-2</v>
      </c>
    </row>
    <row r="11" spans="1:3">
      <c r="A11" t="s">
        <v>425</v>
      </c>
      <c r="B11">
        <v>2.7000000000000003E-2</v>
      </c>
      <c r="C11">
        <v>1.8000000000000002E-2</v>
      </c>
    </row>
    <row r="12" spans="1:3">
      <c r="A12" t="s">
        <v>118</v>
      </c>
      <c r="B12">
        <v>0.02</v>
      </c>
      <c r="C12">
        <v>1.9E-2</v>
      </c>
    </row>
    <row r="13" spans="1:3">
      <c r="A13" t="s">
        <v>361</v>
      </c>
      <c r="B13">
        <v>4.0000000000000001E-3</v>
      </c>
      <c r="C13">
        <v>4.0000000000000001E-3</v>
      </c>
    </row>
    <row r="14" spans="1:3">
      <c r="A14" t="s">
        <v>424</v>
      </c>
      <c r="B14">
        <v>1.6E-2</v>
      </c>
      <c r="C14">
        <v>1.6E-2</v>
      </c>
    </row>
    <row r="15" spans="1:3" ht="15" customHeight="1">
      <c r="A15" t="s">
        <v>423</v>
      </c>
      <c r="B15">
        <v>6.9999999999999993E-3</v>
      </c>
      <c r="C15">
        <v>0</v>
      </c>
    </row>
    <row r="16" spans="1:3">
      <c r="A16" t="s">
        <v>422</v>
      </c>
      <c r="B16">
        <v>1E-3</v>
      </c>
      <c r="C16">
        <v>0</v>
      </c>
    </row>
    <row r="17" spans="1:3">
      <c r="A17" t="s">
        <v>421</v>
      </c>
      <c r="B17">
        <v>2E-3</v>
      </c>
      <c r="C17">
        <v>0</v>
      </c>
    </row>
    <row r="18" spans="1:3">
      <c r="A18" t="s">
        <v>420</v>
      </c>
      <c r="B18">
        <v>4.0000000000000001E-3</v>
      </c>
      <c r="C18">
        <v>1E-3</v>
      </c>
    </row>
    <row r="19" spans="1:3">
      <c r="A19" t="s">
        <v>419</v>
      </c>
      <c r="B19">
        <v>1E-3</v>
      </c>
      <c r="C19">
        <v>1E-3</v>
      </c>
    </row>
    <row r="20" spans="1:3">
      <c r="A20" t="s">
        <v>409</v>
      </c>
      <c r="B20">
        <v>2E-3</v>
      </c>
      <c r="C20">
        <v>2E-3</v>
      </c>
    </row>
    <row r="21" spans="1:3">
      <c r="A21" t="s">
        <v>418</v>
      </c>
      <c r="B21">
        <v>2E-3</v>
      </c>
      <c r="C21">
        <v>1E-3</v>
      </c>
    </row>
    <row r="23" spans="1:3">
      <c r="A23" t="s">
        <v>417</v>
      </c>
      <c r="B23">
        <f>B4</f>
        <v>0.16200000000000001</v>
      </c>
    </row>
    <row r="24" spans="1:3">
      <c r="A24" t="s">
        <v>416</v>
      </c>
      <c r="B24">
        <f>C4</f>
        <v>0.254</v>
      </c>
    </row>
    <row r="26" spans="1:3">
      <c r="A26" t="s">
        <v>426</v>
      </c>
      <c r="B26">
        <f>B3+B4+B5+B6</f>
        <v>0.68600000000000005</v>
      </c>
    </row>
    <row r="27" spans="1:3">
      <c r="A27" t="s">
        <v>427</v>
      </c>
      <c r="B27">
        <f>C3+C4+C5+C7</f>
        <v>0.73499999999999999</v>
      </c>
    </row>
    <row r="29" spans="1:3">
      <c r="A29" t="s">
        <v>428</v>
      </c>
      <c r="B29">
        <v>1367.8</v>
      </c>
    </row>
    <row r="30" spans="1:3">
      <c r="A30" t="s">
        <v>429</v>
      </c>
      <c r="B30">
        <v>1618.9</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69A0-03FB-AE4B-A443-9E5A3BFE4AD5}">
  <dimension ref="A1:V15"/>
  <sheetViews>
    <sheetView zoomScale="55" zoomScaleNormal="55" workbookViewId="0"/>
  </sheetViews>
  <sheetFormatPr baseColWidth="10" defaultColWidth="11" defaultRowHeight="16"/>
  <cols>
    <col min="1" max="1" width="24.5" customWidth="1"/>
    <col min="2" max="2" width="9.83203125" customWidth="1"/>
  </cols>
  <sheetData>
    <row r="1" spans="1:22" ht="18" customHeight="1">
      <c r="A1" t="s">
        <v>746</v>
      </c>
    </row>
    <row r="2" spans="1:22" ht="15" customHeight="1">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ht="14" customHeight="1">
      <c r="A3" t="s">
        <v>71</v>
      </c>
      <c r="B3">
        <v>1459.3229999999999</v>
      </c>
      <c r="C3">
        <v>1956.7870000000003</v>
      </c>
      <c r="D3">
        <v>2346.9160000000002</v>
      </c>
      <c r="E3">
        <v>2471.192</v>
      </c>
      <c r="F3">
        <v>2989.9110000000001</v>
      </c>
      <c r="G3">
        <v>2927.9520000000002</v>
      </c>
      <c r="H3">
        <v>3187.317</v>
      </c>
      <c r="I3">
        <v>3354.5639999999999</v>
      </c>
      <c r="J3">
        <v>3359.634</v>
      </c>
      <c r="K3">
        <v>3272.2000000000003</v>
      </c>
      <c r="L3">
        <v>3113.12</v>
      </c>
      <c r="M3">
        <v>3067.53</v>
      </c>
      <c r="N3">
        <v>2742.82</v>
      </c>
      <c r="O3">
        <v>2756.17</v>
      </c>
      <c r="P3">
        <v>2559.31</v>
      </c>
      <c r="Q3">
        <v>2623.1</v>
      </c>
      <c r="R3">
        <v>2564.12</v>
      </c>
      <c r="S3">
        <v>2315.7900000000004</v>
      </c>
      <c r="T3">
        <v>2526.6999999999998</v>
      </c>
      <c r="U3">
        <v>2571.4299999999998</v>
      </c>
      <c r="V3">
        <v>2404.3799999999997</v>
      </c>
    </row>
    <row r="4" spans="1:22">
      <c r="A4" t="s">
        <v>70</v>
      </c>
      <c r="B4">
        <v>93.8</v>
      </c>
      <c r="C4">
        <v>142.4</v>
      </c>
      <c r="D4">
        <v>395.18400000000003</v>
      </c>
      <c r="E4">
        <v>664.48</v>
      </c>
      <c r="F4">
        <v>1270.431</v>
      </c>
      <c r="G4">
        <v>2065.201</v>
      </c>
      <c r="H4">
        <v>2931.1410000000001</v>
      </c>
      <c r="I4">
        <v>3474.62</v>
      </c>
      <c r="J4">
        <v>3748.0920000000001</v>
      </c>
      <c r="K4">
        <v>3967.587</v>
      </c>
      <c r="L4">
        <v>4090.9940000000001</v>
      </c>
      <c r="M4">
        <v>4235.6000000000004</v>
      </c>
      <c r="N4">
        <v>4254.6000000000004</v>
      </c>
      <c r="O4">
        <v>4415.6000000000004</v>
      </c>
      <c r="P4">
        <v>4365</v>
      </c>
      <c r="Q4">
        <v>4247.16</v>
      </c>
      <c r="R4">
        <v>4233.1289999999999</v>
      </c>
      <c r="S4">
        <v>3929.1</v>
      </c>
      <c r="T4">
        <v>3960</v>
      </c>
      <c r="U4">
        <v>4091.87</v>
      </c>
      <c r="V4">
        <v>3833.65</v>
      </c>
    </row>
    <row r="5" spans="1:22">
      <c r="A5" t="s">
        <v>67</v>
      </c>
      <c r="B5">
        <v>769.2</v>
      </c>
      <c r="C5">
        <v>894.9</v>
      </c>
      <c r="D5">
        <v>985.9</v>
      </c>
      <c r="E5">
        <v>1043.4000000000001</v>
      </c>
      <c r="F5">
        <v>1256.2</v>
      </c>
      <c r="G5">
        <v>1513.8999999999999</v>
      </c>
      <c r="H5">
        <v>2078.64</v>
      </c>
      <c r="I5">
        <v>2211.9900000000002</v>
      </c>
      <c r="J5">
        <v>2301.3000000000002</v>
      </c>
      <c r="K5">
        <v>2295.7400000000002</v>
      </c>
      <c r="L5">
        <v>2261.13</v>
      </c>
      <c r="M5">
        <v>2169.7999999999997</v>
      </c>
      <c r="N5">
        <v>2175.66</v>
      </c>
      <c r="O5">
        <v>2119.19</v>
      </c>
      <c r="P5">
        <v>2257.0700000000002</v>
      </c>
      <c r="Q5">
        <v>2327.8199999999997</v>
      </c>
      <c r="R5">
        <v>2301.9100000000003</v>
      </c>
      <c r="S5">
        <v>2009.3899999999999</v>
      </c>
      <c r="T5">
        <v>1936.6100000000001</v>
      </c>
      <c r="U5">
        <v>2000.16</v>
      </c>
      <c r="V5">
        <v>1999.48</v>
      </c>
    </row>
    <row r="6" spans="1:22">
      <c r="A6" t="s">
        <v>66</v>
      </c>
      <c r="B6">
        <v>666.69</v>
      </c>
      <c r="C6">
        <v>874.99</v>
      </c>
      <c r="D6">
        <v>1234.28</v>
      </c>
      <c r="E6">
        <v>1626.73</v>
      </c>
      <c r="F6">
        <v>1742.6289999999999</v>
      </c>
      <c r="G6">
        <v>1478.049</v>
      </c>
      <c r="H6">
        <v>1242.7420000000002</v>
      </c>
      <c r="I6">
        <v>1179.6779999999999</v>
      </c>
      <c r="J6">
        <v>1146.9880000000001</v>
      </c>
      <c r="K6">
        <v>1135.96</v>
      </c>
      <c r="L6">
        <v>1131.453</v>
      </c>
      <c r="M6">
        <v>1123.405</v>
      </c>
      <c r="N6">
        <v>1145.72</v>
      </c>
      <c r="O6">
        <v>1195.8579999999999</v>
      </c>
      <c r="P6">
        <v>1221.26</v>
      </c>
      <c r="Q6">
        <v>1218.8000000000002</v>
      </c>
      <c r="R6">
        <v>1288.51</v>
      </c>
      <c r="S6">
        <v>655.97</v>
      </c>
      <c r="T6">
        <v>849.18</v>
      </c>
      <c r="U6">
        <v>1510.0173</v>
      </c>
      <c r="V6">
        <v>1822.7048</v>
      </c>
    </row>
    <row r="7" spans="1:22" ht="17" customHeight="1">
      <c r="A7" t="s">
        <v>720</v>
      </c>
      <c r="B7">
        <v>2190</v>
      </c>
      <c r="C7">
        <v>2925</v>
      </c>
      <c r="D7">
        <v>2790</v>
      </c>
      <c r="E7">
        <v>3310</v>
      </c>
      <c r="F7">
        <v>3999.960626</v>
      </c>
      <c r="G7">
        <v>4317.2183897396471</v>
      </c>
      <c r="H7">
        <v>4508.0732544604452</v>
      </c>
      <c r="I7">
        <v>4112.4589999999998</v>
      </c>
      <c r="J7">
        <v>3974.2929999999997</v>
      </c>
      <c r="K7">
        <v>4058.4609999999998</v>
      </c>
      <c r="L7">
        <v>3465.3720000000003</v>
      </c>
      <c r="M7">
        <v>3306.7200000000003</v>
      </c>
      <c r="N7">
        <v>2908.3450000000003</v>
      </c>
      <c r="O7">
        <v>2571.3050000000003</v>
      </c>
      <c r="P7">
        <v>2228.5190000000002</v>
      </c>
      <c r="Q7">
        <v>2071.09</v>
      </c>
      <c r="R7">
        <v>1813.7919999999999</v>
      </c>
      <c r="S7">
        <v>1450.5</v>
      </c>
      <c r="T7">
        <v>1434.7324666666666</v>
      </c>
      <c r="U7">
        <v>1370.7324666666668</v>
      </c>
      <c r="V7">
        <v>1311.3144098611504</v>
      </c>
    </row>
    <row r="8" spans="1:22">
      <c r="A8" t="s">
        <v>10</v>
      </c>
      <c r="B8">
        <v>771</v>
      </c>
      <c r="C8">
        <v>775</v>
      </c>
      <c r="D8">
        <v>993.9</v>
      </c>
      <c r="E8">
        <v>1011.2</v>
      </c>
      <c r="F8">
        <v>1300</v>
      </c>
      <c r="G8">
        <v>1847.1</v>
      </c>
      <c r="H8">
        <v>2394.4</v>
      </c>
      <c r="I8">
        <v>2134.5</v>
      </c>
      <c r="J8">
        <v>2088</v>
      </c>
      <c r="K8">
        <v>1922</v>
      </c>
      <c r="L8">
        <v>1968.4</v>
      </c>
      <c r="M8">
        <v>1779.9</v>
      </c>
      <c r="N8">
        <v>1591.4</v>
      </c>
      <c r="O8">
        <v>1449.4</v>
      </c>
      <c r="P8">
        <v>1314.7</v>
      </c>
      <c r="Q8">
        <v>1247.1500000000001</v>
      </c>
      <c r="R8">
        <v>1175.7</v>
      </c>
      <c r="S8">
        <v>1079.25</v>
      </c>
      <c r="T8">
        <v>982.8</v>
      </c>
      <c r="U8">
        <v>946.7</v>
      </c>
      <c r="V8">
        <v>917.73098000000005</v>
      </c>
    </row>
    <row r="9" spans="1:22" ht="18" customHeight="1">
      <c r="A9" t="s">
        <v>12</v>
      </c>
      <c r="F9">
        <v>141.4</v>
      </c>
      <c r="G9">
        <v>364</v>
      </c>
      <c r="H9">
        <v>1609</v>
      </c>
      <c r="I9">
        <v>2279</v>
      </c>
      <c r="J9">
        <v>2674</v>
      </c>
      <c r="K9">
        <v>3085</v>
      </c>
      <c r="L9">
        <v>3418</v>
      </c>
      <c r="M9">
        <v>3793</v>
      </c>
      <c r="N9">
        <v>4604</v>
      </c>
      <c r="O9">
        <v>5485</v>
      </c>
      <c r="P9">
        <v>6771</v>
      </c>
      <c r="Q9">
        <v>7592</v>
      </c>
      <c r="R9">
        <v>8760</v>
      </c>
      <c r="S9">
        <v>9624</v>
      </c>
      <c r="T9">
        <v>12869.49</v>
      </c>
      <c r="U9">
        <v>14391</v>
      </c>
      <c r="V9">
        <v>16551.37</v>
      </c>
    </row>
    <row r="10" spans="1:22" ht="18" customHeight="1">
      <c r="A10" t="s">
        <v>64</v>
      </c>
      <c r="J10">
        <v>3.2</v>
      </c>
      <c r="K10">
        <v>11.2</v>
      </c>
      <c r="L10">
        <v>23.14</v>
      </c>
      <c r="M10">
        <v>51.39</v>
      </c>
      <c r="N10">
        <v>89.009999999999991</v>
      </c>
      <c r="O10">
        <v>117.91</v>
      </c>
      <c r="P10">
        <v>183.62</v>
      </c>
      <c r="Q10">
        <v>240.29000000000002</v>
      </c>
      <c r="R10">
        <v>305.43</v>
      </c>
      <c r="S10">
        <v>376.64000000000004</v>
      </c>
      <c r="T10">
        <v>508.05</v>
      </c>
      <c r="U10">
        <v>444.75</v>
      </c>
      <c r="V10">
        <v>532.62</v>
      </c>
    </row>
    <row r="11" spans="1:22">
      <c r="A11" t="s">
        <v>69</v>
      </c>
      <c r="J11">
        <v>82.91</v>
      </c>
      <c r="K11">
        <v>182.95</v>
      </c>
      <c r="L11">
        <v>290.95999999999998</v>
      </c>
      <c r="M11">
        <v>436.87000000000012</v>
      </c>
      <c r="N11">
        <v>609.26</v>
      </c>
      <c r="O11">
        <v>821.13999999999987</v>
      </c>
      <c r="P11">
        <v>975.87900000000025</v>
      </c>
      <c r="Q11">
        <v>1367.5788237000002</v>
      </c>
      <c r="R11">
        <v>2026.2137554000003</v>
      </c>
      <c r="S11">
        <v>2573.9805299999998</v>
      </c>
      <c r="T11">
        <v>3095.6100381182669</v>
      </c>
      <c r="U11">
        <v>3652.1248820000001</v>
      </c>
      <c r="V11">
        <v>4075.1464609999994</v>
      </c>
    </row>
    <row r="12" spans="1:22">
      <c r="A12" t="s">
        <v>497</v>
      </c>
      <c r="I12">
        <v>915.26551180000001</v>
      </c>
      <c r="J12">
        <v>989.33585559999995</v>
      </c>
      <c r="K12">
        <v>1124.9397956999999</v>
      </c>
      <c r="L12">
        <v>1303.0980349999998</v>
      </c>
      <c r="M12">
        <v>1563.8880479999998</v>
      </c>
      <c r="N12">
        <v>2076.2889260000002</v>
      </c>
      <c r="O12">
        <v>2244.3016520000006</v>
      </c>
      <c r="P12">
        <v>2371.4710879999998</v>
      </c>
      <c r="Q12">
        <v>3507.25614</v>
      </c>
      <c r="R12">
        <v>3592.8869699999996</v>
      </c>
      <c r="S12">
        <v>3488.2343600000004</v>
      </c>
      <c r="T12">
        <v>3932.5196900000001</v>
      </c>
      <c r="U12">
        <v>4294.6438799999996</v>
      </c>
      <c r="V12">
        <v>4332.1270000000004</v>
      </c>
    </row>
    <row r="13" spans="1:22">
      <c r="A13" t="s">
        <v>65</v>
      </c>
      <c r="B13">
        <v>0</v>
      </c>
      <c r="C13">
        <v>0</v>
      </c>
      <c r="D13">
        <v>0</v>
      </c>
      <c r="E13">
        <v>0</v>
      </c>
      <c r="F13">
        <v>0</v>
      </c>
      <c r="G13">
        <v>0</v>
      </c>
      <c r="H13">
        <v>146.69</v>
      </c>
      <c r="I13">
        <v>182.82</v>
      </c>
      <c r="J13">
        <v>209.72000000000003</v>
      </c>
      <c r="K13">
        <v>232.98000000000002</v>
      </c>
      <c r="L13">
        <v>273.58</v>
      </c>
      <c r="M13">
        <v>280.41999999999996</v>
      </c>
      <c r="N13">
        <v>354.67</v>
      </c>
      <c r="O13">
        <v>421.75</v>
      </c>
      <c r="P13">
        <v>518.16999999999996</v>
      </c>
      <c r="Q13">
        <v>698.02</v>
      </c>
      <c r="R13">
        <v>814.75</v>
      </c>
      <c r="S13">
        <v>896.01</v>
      </c>
      <c r="T13">
        <v>1025.98</v>
      </c>
      <c r="U13">
        <v>1093.8</v>
      </c>
      <c r="V13">
        <v>1177.01</v>
      </c>
    </row>
    <row r="14" spans="1:22">
      <c r="A14" t="s">
        <v>717</v>
      </c>
      <c r="H14">
        <v>180.749</v>
      </c>
      <c r="I14">
        <v>245.709</v>
      </c>
      <c r="J14">
        <v>289.572</v>
      </c>
      <c r="K14">
        <v>277.315</v>
      </c>
      <c r="L14">
        <v>261.495</v>
      </c>
      <c r="M14">
        <v>274.38499999999999</v>
      </c>
      <c r="N14">
        <v>282.21100000000001</v>
      </c>
      <c r="O14">
        <v>275</v>
      </c>
      <c r="P14">
        <v>301</v>
      </c>
      <c r="Q14">
        <v>325</v>
      </c>
      <c r="R14">
        <v>275</v>
      </c>
      <c r="S14">
        <v>245</v>
      </c>
      <c r="T14">
        <v>275</v>
      </c>
      <c r="U14">
        <v>337.4</v>
      </c>
      <c r="V14">
        <v>378.24852173913041</v>
      </c>
    </row>
    <row r="15" spans="1:22">
      <c r="A15" t="s">
        <v>63</v>
      </c>
      <c r="B15">
        <f t="shared" ref="B15:V15" si="0">SUM(B3:B14)</f>
        <v>5950.0129999999999</v>
      </c>
      <c r="C15">
        <f t="shared" si="0"/>
        <v>7569.0770000000002</v>
      </c>
      <c r="D15">
        <f t="shared" si="0"/>
        <v>8746.18</v>
      </c>
      <c r="E15">
        <f t="shared" si="0"/>
        <v>10127.002</v>
      </c>
      <c r="F15">
        <f t="shared" si="0"/>
        <v>12700.531626</v>
      </c>
      <c r="G15">
        <f t="shared" si="0"/>
        <v>14513.420389739647</v>
      </c>
      <c r="H15">
        <f t="shared" si="0"/>
        <v>18278.752254460444</v>
      </c>
      <c r="I15">
        <f t="shared" si="0"/>
        <v>20090.605511799997</v>
      </c>
      <c r="J15">
        <f t="shared" si="0"/>
        <v>20867.044855600001</v>
      </c>
      <c r="K15">
        <f t="shared" si="0"/>
        <v>21566.3327957</v>
      </c>
      <c r="L15">
        <f t="shared" si="0"/>
        <v>21600.742034999996</v>
      </c>
      <c r="M15">
        <f t="shared" si="0"/>
        <v>22082.908047999998</v>
      </c>
      <c r="N15">
        <f t="shared" si="0"/>
        <v>22833.984925999994</v>
      </c>
      <c r="O15">
        <f t="shared" si="0"/>
        <v>23872.624652000002</v>
      </c>
      <c r="P15">
        <f t="shared" si="0"/>
        <v>25066.999087999997</v>
      </c>
      <c r="Q15">
        <f t="shared" si="0"/>
        <v>27465.264963700007</v>
      </c>
      <c r="R15">
        <f t="shared" si="0"/>
        <v>29151.4417254</v>
      </c>
      <c r="S15">
        <f t="shared" si="0"/>
        <v>28643.864890000001</v>
      </c>
      <c r="T15">
        <f t="shared" si="0"/>
        <v>33396.672194784936</v>
      </c>
      <c r="U15">
        <f t="shared" si="0"/>
        <v>36704.628528666668</v>
      </c>
      <c r="V15">
        <f t="shared" si="0"/>
        <v>39335.78217260028</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1424-DDA0-9C48-86E4-0B9E43377704}">
  <dimension ref="A1:R25"/>
  <sheetViews>
    <sheetView zoomScale="55" zoomScaleNormal="55" workbookViewId="0"/>
  </sheetViews>
  <sheetFormatPr baseColWidth="10" defaultColWidth="10.6640625" defaultRowHeight="16"/>
  <sheetData>
    <row r="1" spans="1:18">
      <c r="A1" t="s">
        <v>721</v>
      </c>
    </row>
    <row r="2" spans="1:18">
      <c r="B2">
        <v>2000</v>
      </c>
      <c r="C2">
        <v>2004</v>
      </c>
      <c r="D2">
        <v>2008</v>
      </c>
      <c r="E2">
        <v>2010</v>
      </c>
      <c r="F2">
        <v>2011</v>
      </c>
      <c r="G2">
        <v>2012</v>
      </c>
      <c r="H2">
        <v>2013</v>
      </c>
      <c r="I2">
        <v>2014</v>
      </c>
      <c r="J2">
        <v>2015</v>
      </c>
      <c r="K2">
        <v>2016</v>
      </c>
      <c r="L2">
        <v>2017</v>
      </c>
      <c r="M2">
        <v>2018</v>
      </c>
      <c r="N2">
        <v>2019</v>
      </c>
      <c r="O2">
        <v>2020</v>
      </c>
      <c r="P2">
        <v>2021</v>
      </c>
      <c r="Q2">
        <v>2022</v>
      </c>
      <c r="R2">
        <v>2023</v>
      </c>
    </row>
    <row r="3" spans="1:18">
      <c r="A3" t="s">
        <v>499</v>
      </c>
      <c r="B3">
        <v>141.40162599999749</v>
      </c>
      <c r="C3">
        <v>364.00038973964547</v>
      </c>
      <c r="D3">
        <v>1936.4422544604581</v>
      </c>
      <c r="E3">
        <v>3622.7955118000018</v>
      </c>
      <c r="F3">
        <v>4248.7348555999997</v>
      </c>
      <c r="G3">
        <v>4914.3827956999812</v>
      </c>
      <c r="H3">
        <v>5570.2720349999954</v>
      </c>
      <c r="I3">
        <v>6399.9480479999902</v>
      </c>
      <c r="J3">
        <v>8015.4349259999835</v>
      </c>
      <c r="K3">
        <v>9365.1046519999745</v>
      </c>
      <c r="L3">
        <v>11121.139087999996</v>
      </c>
      <c r="M3">
        <v>13730.144963699979</v>
      </c>
      <c r="N3">
        <v>15774.281725399991</v>
      </c>
      <c r="O3">
        <v>17203.864890000012</v>
      </c>
      <c r="P3">
        <v>21706.652194784918</v>
      </c>
      <c r="Q3">
        <v>24213.718528666654</v>
      </c>
      <c r="R3">
        <v>27046.521972600225</v>
      </c>
    </row>
    <row r="4" spans="1:18">
      <c r="A4" t="s">
        <v>500</v>
      </c>
      <c r="B4">
        <v>12559.131626</v>
      </c>
      <c r="C4">
        <v>14149.420389739647</v>
      </c>
      <c r="D4">
        <v>16342.313254460445</v>
      </c>
      <c r="E4">
        <v>16467.810999999998</v>
      </c>
      <c r="F4">
        <v>16618.307000000001</v>
      </c>
      <c r="G4">
        <v>16651.948</v>
      </c>
      <c r="H4">
        <v>16030.468999999999</v>
      </c>
      <c r="I4">
        <v>15682.955</v>
      </c>
      <c r="J4">
        <v>14818.545</v>
      </c>
      <c r="K4">
        <v>14507.523000000001</v>
      </c>
      <c r="L4">
        <v>13945.859</v>
      </c>
      <c r="M4">
        <v>13735.12</v>
      </c>
      <c r="N4">
        <v>13377.161</v>
      </c>
      <c r="O4">
        <v>11440</v>
      </c>
      <c r="P4">
        <v>11690.022466666665</v>
      </c>
      <c r="Q4">
        <v>12490.909766666666</v>
      </c>
      <c r="R4">
        <v>12289.26018986115</v>
      </c>
    </row>
    <row r="5" spans="1:18">
      <c r="B5">
        <f t="shared" ref="B5:Q5" si="0">SUM(B3:B4)</f>
        <v>12700.533251999997</v>
      </c>
      <c r="C5">
        <f t="shared" si="0"/>
        <v>14513.420779479293</v>
      </c>
      <c r="D5">
        <f t="shared" si="0"/>
        <v>18278.755508920902</v>
      </c>
      <c r="E5">
        <f t="shared" si="0"/>
        <v>20090.606511800001</v>
      </c>
      <c r="F5">
        <f t="shared" si="0"/>
        <v>20867.0418556</v>
      </c>
      <c r="G5">
        <f t="shared" si="0"/>
        <v>21566.330795699982</v>
      </c>
      <c r="H5">
        <f t="shared" si="0"/>
        <v>21600.741034999995</v>
      </c>
      <c r="I5">
        <f t="shared" si="0"/>
        <v>22082.903047999989</v>
      </c>
      <c r="J5">
        <f t="shared" si="0"/>
        <v>22833.979925999985</v>
      </c>
      <c r="K5">
        <f t="shared" si="0"/>
        <v>23872.627651999974</v>
      </c>
      <c r="L5">
        <f t="shared" si="0"/>
        <v>25066.998087999997</v>
      </c>
      <c r="M5">
        <f t="shared" si="0"/>
        <v>27465.264963699978</v>
      </c>
      <c r="N5">
        <f t="shared" si="0"/>
        <v>29151.442725399989</v>
      </c>
      <c r="O5">
        <f t="shared" si="0"/>
        <v>28643.864890000012</v>
      </c>
      <c r="P5">
        <f t="shared" si="0"/>
        <v>33396.674661451587</v>
      </c>
      <c r="Q5">
        <f t="shared" si="0"/>
        <v>36704.628295333321</v>
      </c>
      <c r="R5">
        <f>SUM(R3:R4)</f>
        <v>39335.782162461372</v>
      </c>
    </row>
    <row r="7" spans="1:18">
      <c r="B7">
        <v>2000</v>
      </c>
      <c r="C7">
        <v>2004</v>
      </c>
      <c r="D7">
        <v>2008</v>
      </c>
      <c r="E7">
        <v>2010</v>
      </c>
      <c r="F7">
        <v>2011</v>
      </c>
      <c r="G7">
        <v>2012</v>
      </c>
      <c r="H7">
        <v>2013</v>
      </c>
      <c r="I7">
        <v>2014</v>
      </c>
      <c r="J7">
        <v>2015</v>
      </c>
      <c r="K7">
        <v>2016</v>
      </c>
      <c r="L7">
        <v>2017</v>
      </c>
      <c r="M7">
        <v>2018</v>
      </c>
      <c r="N7">
        <v>2019</v>
      </c>
      <c r="O7">
        <v>2020</v>
      </c>
      <c r="P7">
        <v>2021</v>
      </c>
      <c r="Q7">
        <v>2022</v>
      </c>
      <c r="R7">
        <v>2023</v>
      </c>
    </row>
    <row r="8" spans="1:18">
      <c r="A8" t="s">
        <v>499</v>
      </c>
      <c r="B8">
        <f>B3/B5</f>
        <v>1.1133518821166859E-2</v>
      </c>
      <c r="C8">
        <f t="shared" ref="C8:R8" si="1">C3/C5</f>
        <v>2.5080261591692441E-2</v>
      </c>
      <c r="D8">
        <f t="shared" si="1"/>
        <v>0.10593950192699839</v>
      </c>
      <c r="E8">
        <f t="shared" si="1"/>
        <v>0.1803228543484833</v>
      </c>
      <c r="F8">
        <f t="shared" si="1"/>
        <v>0.20360983051652742</v>
      </c>
      <c r="G8">
        <f t="shared" si="1"/>
        <v>0.2278729210942011</v>
      </c>
      <c r="H8">
        <f t="shared" si="1"/>
        <v>0.25787411765061219</v>
      </c>
      <c r="I8">
        <f t="shared" si="1"/>
        <v>0.28981461513863876</v>
      </c>
      <c r="J8">
        <f t="shared" si="1"/>
        <v>0.35103100519385072</v>
      </c>
      <c r="K8">
        <f t="shared" si="1"/>
        <v>0.39229467273224089</v>
      </c>
      <c r="L8">
        <f t="shared" si="1"/>
        <v>0.44365659776883604</v>
      </c>
      <c r="M8">
        <f t="shared" si="1"/>
        <v>0.49990943039678309</v>
      </c>
      <c r="N8">
        <f t="shared" si="1"/>
        <v>0.54111495866568815</v>
      </c>
      <c r="O8">
        <f t="shared" si="1"/>
        <v>0.60061255546579995</v>
      </c>
      <c r="P8">
        <f t="shared" si="1"/>
        <v>0.6499644774466129</v>
      </c>
      <c r="Q8">
        <f t="shared" si="1"/>
        <v>0.65969115213040364</v>
      </c>
      <c r="R8">
        <f t="shared" si="1"/>
        <v>0.6875806323335566</v>
      </c>
    </row>
    <row r="9" spans="1:18">
      <c r="A9" t="s">
        <v>500</v>
      </c>
      <c r="B9">
        <f>B4/B5</f>
        <v>0.98886648117883313</v>
      </c>
      <c r="C9">
        <f t="shared" ref="C9:R9" si="2">C4/C5</f>
        <v>0.97491973840830759</v>
      </c>
      <c r="D9">
        <f t="shared" si="2"/>
        <v>0.8940604980730017</v>
      </c>
      <c r="E9">
        <f t="shared" si="2"/>
        <v>0.81967714565151661</v>
      </c>
      <c r="F9">
        <f t="shared" si="2"/>
        <v>0.79639016948347263</v>
      </c>
      <c r="G9">
        <f t="shared" si="2"/>
        <v>0.7721270789057989</v>
      </c>
      <c r="H9">
        <f t="shared" si="2"/>
        <v>0.74212588234938781</v>
      </c>
      <c r="I9">
        <f t="shared" si="2"/>
        <v>0.71018538486136129</v>
      </c>
      <c r="J9">
        <f t="shared" si="2"/>
        <v>0.64896899480614922</v>
      </c>
      <c r="K9">
        <f t="shared" si="2"/>
        <v>0.60770532726775917</v>
      </c>
      <c r="L9">
        <f t="shared" si="2"/>
        <v>0.55634340223116396</v>
      </c>
      <c r="M9">
        <f t="shared" si="2"/>
        <v>0.50009056960321696</v>
      </c>
      <c r="N9">
        <f t="shared" si="2"/>
        <v>0.45888504133431191</v>
      </c>
      <c r="O9">
        <f t="shared" si="2"/>
        <v>0.39938744453420005</v>
      </c>
      <c r="P9">
        <f t="shared" si="2"/>
        <v>0.35003552255338699</v>
      </c>
      <c r="Q9">
        <f t="shared" si="2"/>
        <v>0.34030884786959625</v>
      </c>
      <c r="R9">
        <f t="shared" si="2"/>
        <v>0.31241936766644351</v>
      </c>
    </row>
    <row r="13" spans="1:18">
      <c r="A13" t="s">
        <v>501</v>
      </c>
    </row>
    <row r="14" spans="1:18">
      <c r="A14" t="s">
        <v>499</v>
      </c>
      <c r="B14" t="s">
        <v>12</v>
      </c>
    </row>
    <row r="15" spans="1:18">
      <c r="B15" t="s">
        <v>502</v>
      </c>
    </row>
    <row r="16" spans="1:18">
      <c r="B16" t="s">
        <v>503</v>
      </c>
    </row>
    <row r="17" spans="1:2">
      <c r="B17" t="s">
        <v>497</v>
      </c>
    </row>
    <row r="18" spans="1:2">
      <c r="B18" t="s">
        <v>64</v>
      </c>
    </row>
    <row r="19" spans="1:2">
      <c r="B19" t="s">
        <v>504</v>
      </c>
    </row>
    <row r="21" spans="1:2">
      <c r="A21" t="s">
        <v>500</v>
      </c>
      <c r="B21" t="s">
        <v>505</v>
      </c>
    </row>
    <row r="22" spans="1:2">
      <c r="B22" t="s">
        <v>433</v>
      </c>
    </row>
    <row r="23" spans="1:2">
      <c r="B23" t="s">
        <v>506</v>
      </c>
    </row>
    <row r="24" spans="1:2">
      <c r="B24" t="s">
        <v>507</v>
      </c>
    </row>
    <row r="25" spans="1:2">
      <c r="B25" t="s">
        <v>10</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1810A-77BD-9249-9145-FA7572830FE2}">
  <dimension ref="A1:V7"/>
  <sheetViews>
    <sheetView zoomScale="55" zoomScaleNormal="55" workbookViewId="0"/>
  </sheetViews>
  <sheetFormatPr baseColWidth="10" defaultColWidth="11" defaultRowHeight="16"/>
  <cols>
    <col min="1" max="1" width="12.83203125" customWidth="1"/>
  </cols>
  <sheetData>
    <row r="1" spans="1:22">
      <c r="A1" t="s">
        <v>722</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ht="17" customHeight="1">
      <c r="A3" t="s">
        <v>71</v>
      </c>
      <c r="B3">
        <v>1459.32</v>
      </c>
      <c r="C3">
        <v>1956.79</v>
      </c>
      <c r="D3">
        <v>2346.92</v>
      </c>
      <c r="E3">
        <v>2471.19</v>
      </c>
      <c r="F3">
        <v>2989.91</v>
      </c>
      <c r="G3">
        <v>2927.95</v>
      </c>
      <c r="H3">
        <v>3187.32</v>
      </c>
      <c r="I3">
        <v>3354.56</v>
      </c>
      <c r="J3">
        <v>3359.63</v>
      </c>
      <c r="K3">
        <v>3272.2</v>
      </c>
      <c r="L3">
        <v>3113.12</v>
      </c>
      <c r="M3">
        <v>3067.53</v>
      </c>
      <c r="N3">
        <v>2742.82</v>
      </c>
      <c r="O3">
        <v>2756.17</v>
      </c>
      <c r="P3">
        <v>2559.31</v>
      </c>
      <c r="Q3">
        <v>2623.1</v>
      </c>
      <c r="R3">
        <v>2564.12</v>
      </c>
      <c r="S3">
        <v>2315.79</v>
      </c>
      <c r="T3">
        <v>2526.6999999999998</v>
      </c>
      <c r="U3">
        <v>2571.4299999999998</v>
      </c>
      <c r="V3">
        <v>2404.38</v>
      </c>
    </row>
    <row r="4" spans="1:22">
      <c r="A4" t="s">
        <v>433</v>
      </c>
      <c r="B4">
        <v>769.2</v>
      </c>
      <c r="C4">
        <v>894.9</v>
      </c>
      <c r="D4">
        <v>985.9</v>
      </c>
      <c r="E4">
        <v>1043.4000000000001</v>
      </c>
      <c r="F4">
        <v>1256.2</v>
      </c>
      <c r="G4">
        <v>1513.9</v>
      </c>
      <c r="H4">
        <v>1956.6299999999999</v>
      </c>
      <c r="I4">
        <v>2022.5099999999998</v>
      </c>
      <c r="J4">
        <v>2062.9100000000003</v>
      </c>
      <c r="K4">
        <v>2036.1399999999999</v>
      </c>
      <c r="L4">
        <v>2028.7800000000002</v>
      </c>
      <c r="M4">
        <v>1907.0000000000002</v>
      </c>
      <c r="N4">
        <v>1877.3999999999999</v>
      </c>
      <c r="O4">
        <v>1831.56</v>
      </c>
      <c r="P4">
        <v>1834.9</v>
      </c>
      <c r="Q4">
        <v>1860.5000000000002</v>
      </c>
      <c r="R4">
        <v>1814.9999999999998</v>
      </c>
      <c r="S4">
        <v>1521.5500000000002</v>
      </c>
      <c r="T4">
        <v>1466.4399999999998</v>
      </c>
      <c r="U4">
        <v>1468.43</v>
      </c>
      <c r="V4">
        <v>1478.79</v>
      </c>
    </row>
    <row r="5" spans="1:22">
      <c r="A5" t="s">
        <v>17</v>
      </c>
      <c r="B5">
        <v>2190</v>
      </c>
      <c r="C5">
        <v>2925</v>
      </c>
      <c r="D5">
        <v>2790</v>
      </c>
      <c r="E5">
        <v>3310</v>
      </c>
      <c r="F5">
        <v>3999.96</v>
      </c>
      <c r="G5">
        <v>4317.22</v>
      </c>
      <c r="H5">
        <v>4688.82</v>
      </c>
      <c r="I5">
        <v>4358.17</v>
      </c>
      <c r="J5">
        <v>4263.87</v>
      </c>
      <c r="K5">
        <v>4335.78</v>
      </c>
      <c r="L5">
        <v>3726.87</v>
      </c>
      <c r="M5">
        <v>3581.11</v>
      </c>
      <c r="N5">
        <v>3190.56</v>
      </c>
      <c r="O5">
        <v>2846.31</v>
      </c>
      <c r="P5">
        <v>2529.52</v>
      </c>
      <c r="Q5">
        <v>2396.09</v>
      </c>
      <c r="R5">
        <v>2088.79</v>
      </c>
      <c r="S5">
        <v>1695.5</v>
      </c>
      <c r="T5">
        <v>1709.73</v>
      </c>
      <c r="U5">
        <v>1708.13</v>
      </c>
      <c r="V5">
        <v>1689.56</v>
      </c>
    </row>
    <row r="6" spans="1:22">
      <c r="A6" t="s">
        <v>10</v>
      </c>
      <c r="B6">
        <v>771</v>
      </c>
      <c r="C6">
        <v>775</v>
      </c>
      <c r="D6">
        <v>993.9</v>
      </c>
      <c r="E6">
        <v>1011.2</v>
      </c>
      <c r="F6">
        <v>1300</v>
      </c>
      <c r="G6">
        <v>1847.1</v>
      </c>
      <c r="H6">
        <v>2394.4</v>
      </c>
      <c r="I6">
        <v>2134.5</v>
      </c>
      <c r="J6">
        <v>2088</v>
      </c>
      <c r="K6">
        <v>1922</v>
      </c>
      <c r="L6">
        <v>1968.4</v>
      </c>
      <c r="M6">
        <v>1779.9</v>
      </c>
      <c r="N6">
        <v>1591.4</v>
      </c>
      <c r="O6">
        <v>1449.4</v>
      </c>
      <c r="P6">
        <v>1314.7</v>
      </c>
      <c r="Q6">
        <v>1247.1500000000001</v>
      </c>
      <c r="R6">
        <v>1175.7</v>
      </c>
      <c r="S6">
        <v>1079.25</v>
      </c>
      <c r="T6">
        <v>982.8</v>
      </c>
      <c r="U6">
        <v>946.7</v>
      </c>
      <c r="V6">
        <v>917.73</v>
      </c>
    </row>
    <row r="7" spans="1:22">
      <c r="A7" t="s">
        <v>513</v>
      </c>
      <c r="B7">
        <f t="shared" ref="B7:V7" si="0">SUM(B3:B6)</f>
        <v>5189.5200000000004</v>
      </c>
      <c r="C7">
        <f t="shared" si="0"/>
        <v>6551.6900000000005</v>
      </c>
      <c r="D7">
        <f t="shared" si="0"/>
        <v>7116.7199999999993</v>
      </c>
      <c r="E7">
        <f t="shared" si="0"/>
        <v>7835.79</v>
      </c>
      <c r="F7">
        <f t="shared" si="0"/>
        <v>9546.07</v>
      </c>
      <c r="G7">
        <f t="shared" si="0"/>
        <v>10606.17</v>
      </c>
      <c r="H7">
        <f t="shared" si="0"/>
        <v>12227.17</v>
      </c>
      <c r="I7">
        <f t="shared" si="0"/>
        <v>11869.74</v>
      </c>
      <c r="J7">
        <f t="shared" si="0"/>
        <v>11774.41</v>
      </c>
      <c r="K7">
        <f t="shared" si="0"/>
        <v>11566.119999999999</v>
      </c>
      <c r="L7">
        <f t="shared" si="0"/>
        <v>10837.17</v>
      </c>
      <c r="M7">
        <f t="shared" si="0"/>
        <v>10335.540000000001</v>
      </c>
      <c r="N7">
        <f t="shared" si="0"/>
        <v>9402.18</v>
      </c>
      <c r="O7">
        <f t="shared" si="0"/>
        <v>8883.4399999999987</v>
      </c>
      <c r="P7">
        <f t="shared" si="0"/>
        <v>8238.43</v>
      </c>
      <c r="Q7">
        <f t="shared" si="0"/>
        <v>8126.84</v>
      </c>
      <c r="R7">
        <f t="shared" si="0"/>
        <v>7643.61</v>
      </c>
      <c r="S7">
        <f t="shared" si="0"/>
        <v>6612.09</v>
      </c>
      <c r="T7">
        <f t="shared" si="0"/>
        <v>6685.6699999999992</v>
      </c>
      <c r="U7">
        <f t="shared" si="0"/>
        <v>6694.69</v>
      </c>
      <c r="V7">
        <f t="shared" si="0"/>
        <v>6490.4599999999991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7449-2AE7-1C48-862C-D5D80E94C148}">
  <dimension ref="A1:V10"/>
  <sheetViews>
    <sheetView zoomScale="55" zoomScaleNormal="55" workbookViewId="0"/>
  </sheetViews>
  <sheetFormatPr baseColWidth="10" defaultColWidth="10.6640625" defaultRowHeight="16"/>
  <sheetData>
    <row r="1" spans="1:22">
      <c r="A1" t="s">
        <v>723</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430</v>
      </c>
      <c r="F3">
        <v>1241</v>
      </c>
      <c r="G3">
        <v>1602</v>
      </c>
      <c r="H3">
        <v>1822</v>
      </c>
      <c r="I3">
        <v>2232</v>
      </c>
      <c r="J3">
        <v>2674</v>
      </c>
      <c r="K3">
        <v>3085</v>
      </c>
      <c r="L3">
        <v>3418</v>
      </c>
      <c r="M3">
        <v>3793</v>
      </c>
      <c r="N3">
        <v>4604</v>
      </c>
      <c r="O3">
        <v>5485</v>
      </c>
      <c r="P3">
        <v>6771</v>
      </c>
      <c r="Q3">
        <v>7592</v>
      </c>
      <c r="R3">
        <v>8760</v>
      </c>
      <c r="S3">
        <v>9624</v>
      </c>
      <c r="T3">
        <v>12869.49</v>
      </c>
      <c r="U3">
        <v>14391</v>
      </c>
      <c r="V3">
        <v>16551.3711</v>
      </c>
    </row>
    <row r="4" spans="1:22">
      <c r="A4" t="s">
        <v>431</v>
      </c>
      <c r="B4">
        <v>873.22299999999996</v>
      </c>
      <c r="C4">
        <v>1250.4870000000001</v>
      </c>
      <c r="D4">
        <v>1588.5160000000001</v>
      </c>
      <c r="E4">
        <v>1567.692</v>
      </c>
      <c r="F4">
        <v>2111.4110000000001</v>
      </c>
      <c r="G4">
        <v>2136.652</v>
      </c>
      <c r="H4">
        <v>2344.5</v>
      </c>
      <c r="I4">
        <v>2491.4</v>
      </c>
      <c r="J4">
        <v>2530.6</v>
      </c>
      <c r="K4">
        <v>2426.4</v>
      </c>
      <c r="L4">
        <v>2322.6</v>
      </c>
      <c r="M4">
        <v>2294.9</v>
      </c>
      <c r="N4">
        <v>2091.5</v>
      </c>
      <c r="O4">
        <v>1931</v>
      </c>
      <c r="P4">
        <v>1652.6151910000001</v>
      </c>
      <c r="Q4">
        <v>1634.6550319999999</v>
      </c>
      <c r="R4">
        <v>1607.1398830000001</v>
      </c>
      <c r="S4">
        <v>1381.4315079999999</v>
      </c>
      <c r="T4">
        <v>1516.9285460000001</v>
      </c>
      <c r="U4">
        <v>1624.1</v>
      </c>
      <c r="V4">
        <v>1480.3</v>
      </c>
    </row>
    <row r="5" spans="1:22">
      <c r="A5" t="s">
        <v>432</v>
      </c>
      <c r="B5">
        <v>40.333999999999996</v>
      </c>
      <c r="C5">
        <v>61.231999999999999</v>
      </c>
      <c r="D5">
        <v>169.92911999999998</v>
      </c>
      <c r="E5">
        <v>285.72640000000001</v>
      </c>
      <c r="F5">
        <v>546.28533000000004</v>
      </c>
      <c r="G5">
        <v>708.41648602544217</v>
      </c>
      <c r="H5">
        <v>1026.9592998262888</v>
      </c>
      <c r="I5">
        <v>1112.8</v>
      </c>
      <c r="J5">
        <v>1232.6600000000001</v>
      </c>
      <c r="K5">
        <v>1233.23</v>
      </c>
      <c r="L5">
        <v>1266.58</v>
      </c>
      <c r="M5">
        <v>1223.5</v>
      </c>
      <c r="N5">
        <v>1235.3</v>
      </c>
      <c r="O5">
        <v>1348</v>
      </c>
      <c r="P5">
        <v>1329</v>
      </c>
      <c r="Q5">
        <v>1268</v>
      </c>
      <c r="R5">
        <v>1296</v>
      </c>
      <c r="S5">
        <v>1017</v>
      </c>
      <c r="T5">
        <v>1161.1088999999999</v>
      </c>
      <c r="U5">
        <v>1349.72</v>
      </c>
      <c r="V5">
        <v>1196.17</v>
      </c>
    </row>
    <row r="6" spans="1:22">
      <c r="A6" t="s">
        <v>433</v>
      </c>
      <c r="B6">
        <v>559.70000000000005</v>
      </c>
      <c r="C6">
        <v>723.6</v>
      </c>
      <c r="D6">
        <v>767.9</v>
      </c>
      <c r="E6">
        <v>809.99999999999989</v>
      </c>
      <c r="F6">
        <v>1050.5</v>
      </c>
      <c r="G6">
        <v>1266.9000000000001</v>
      </c>
      <c r="H6">
        <v>1560.03</v>
      </c>
      <c r="I6">
        <v>1596.6</v>
      </c>
      <c r="J6">
        <v>1596.6</v>
      </c>
      <c r="K6">
        <v>1576.6</v>
      </c>
      <c r="L6">
        <v>1573.6</v>
      </c>
      <c r="M6">
        <v>1571.6</v>
      </c>
      <c r="N6">
        <v>1525.2</v>
      </c>
      <c r="O6">
        <v>1550.6</v>
      </c>
      <c r="P6">
        <v>1521.3</v>
      </c>
      <c r="Q6">
        <v>1513.1</v>
      </c>
      <c r="R6">
        <v>1453</v>
      </c>
      <c r="S6">
        <v>1149.4000000000001</v>
      </c>
      <c r="T6">
        <v>1069.94</v>
      </c>
      <c r="U6">
        <v>1108.22</v>
      </c>
      <c r="V6">
        <v>1103.79</v>
      </c>
    </row>
    <row r="7" spans="1:22">
      <c r="A7" t="s">
        <v>17</v>
      </c>
      <c r="B7">
        <v>1642.5</v>
      </c>
      <c r="C7">
        <v>2193.75</v>
      </c>
      <c r="D7">
        <v>2036.7</v>
      </c>
      <c r="E7">
        <v>2416.2999999999997</v>
      </c>
      <c r="F7">
        <v>2880</v>
      </c>
      <c r="G7">
        <v>3572.1478897396473</v>
      </c>
      <c r="H7">
        <v>3880.4952544604448</v>
      </c>
      <c r="I7">
        <v>3491</v>
      </c>
      <c r="J7">
        <v>3427</v>
      </c>
      <c r="K7">
        <v>3549</v>
      </c>
      <c r="L7">
        <v>2935</v>
      </c>
      <c r="M7">
        <v>2646</v>
      </c>
      <c r="N7">
        <v>2304</v>
      </c>
      <c r="O7">
        <v>2130</v>
      </c>
      <c r="P7">
        <v>1835</v>
      </c>
      <c r="Q7">
        <v>1655.9</v>
      </c>
      <c r="R7">
        <v>1408</v>
      </c>
      <c r="S7">
        <v>978.8</v>
      </c>
      <c r="T7">
        <v>967.1</v>
      </c>
      <c r="U7">
        <v>951</v>
      </c>
      <c r="V7">
        <v>937.98942961165051</v>
      </c>
    </row>
    <row r="8" spans="1:22">
      <c r="A8" t="s">
        <v>10</v>
      </c>
      <c r="B8">
        <v>385.5</v>
      </c>
      <c r="C8">
        <v>358.49152049158141</v>
      </c>
      <c r="D8">
        <v>422.54605733311678</v>
      </c>
      <c r="E8">
        <v>392.05145363001463</v>
      </c>
      <c r="F8">
        <v>479.69215256347792</v>
      </c>
      <c r="G8">
        <v>647</v>
      </c>
      <c r="H8">
        <v>691.68</v>
      </c>
      <c r="I8">
        <v>606</v>
      </c>
      <c r="J8">
        <v>593</v>
      </c>
      <c r="K8">
        <v>573</v>
      </c>
      <c r="L8">
        <v>558</v>
      </c>
      <c r="M8">
        <v>472</v>
      </c>
      <c r="N8">
        <v>434</v>
      </c>
      <c r="O8">
        <v>243</v>
      </c>
      <c r="P8">
        <v>175</v>
      </c>
      <c r="Q8">
        <v>136</v>
      </c>
      <c r="R8">
        <v>116</v>
      </c>
      <c r="S8">
        <v>78</v>
      </c>
      <c r="T8">
        <v>73</v>
      </c>
      <c r="U8">
        <v>72</v>
      </c>
      <c r="V8">
        <v>69.8</v>
      </c>
    </row>
    <row r="9" spans="1:22">
      <c r="A9" t="s">
        <v>434</v>
      </c>
      <c r="B9">
        <v>140.05028000000001</v>
      </c>
      <c r="C9">
        <v>183.50242081966323</v>
      </c>
      <c r="D9">
        <v>199.42364709332466</v>
      </c>
      <c r="E9">
        <v>218.87079414520056</v>
      </c>
      <c r="F9">
        <v>283.61953930253907</v>
      </c>
      <c r="G9">
        <v>302.5</v>
      </c>
      <c r="H9">
        <v>463.03</v>
      </c>
      <c r="I9">
        <v>481.58</v>
      </c>
      <c r="J9">
        <v>483.95</v>
      </c>
      <c r="K9">
        <v>486.4</v>
      </c>
      <c r="L9">
        <v>513.5</v>
      </c>
      <c r="M9">
        <v>521</v>
      </c>
      <c r="N9">
        <v>542</v>
      </c>
      <c r="O9">
        <v>569</v>
      </c>
      <c r="P9">
        <v>624</v>
      </c>
      <c r="Q9">
        <v>654</v>
      </c>
      <c r="R9">
        <v>671</v>
      </c>
      <c r="S9">
        <v>412</v>
      </c>
      <c r="T9">
        <v>438</v>
      </c>
      <c r="U9">
        <v>565</v>
      </c>
      <c r="V9">
        <v>662.59090909090912</v>
      </c>
    </row>
    <row r="10" spans="1:22">
      <c r="A10" t="s">
        <v>435</v>
      </c>
      <c r="B10">
        <f t="shared" ref="B10:R10" si="0">SUM(B3:B9)</f>
        <v>3641.30728</v>
      </c>
      <c r="C10">
        <f t="shared" si="0"/>
        <v>4771.0629413112438</v>
      </c>
      <c r="D10">
        <f t="shared" si="0"/>
        <v>5185.014824426441</v>
      </c>
      <c r="E10">
        <f t="shared" si="0"/>
        <v>5690.6406477752143</v>
      </c>
      <c r="F10">
        <f t="shared" si="0"/>
        <v>8592.5080218660169</v>
      </c>
      <c r="G10">
        <f t="shared" si="0"/>
        <v>10235.61637576509</v>
      </c>
      <c r="H10">
        <f t="shared" si="0"/>
        <v>11788.694554286734</v>
      </c>
      <c r="I10">
        <f t="shared" si="0"/>
        <v>12011.38</v>
      </c>
      <c r="J10">
        <f t="shared" si="0"/>
        <v>12537.810000000001</v>
      </c>
      <c r="K10">
        <f t="shared" si="0"/>
        <v>12929.63</v>
      </c>
      <c r="L10">
        <f t="shared" si="0"/>
        <v>12587.28</v>
      </c>
      <c r="M10">
        <f t="shared" si="0"/>
        <v>12522</v>
      </c>
      <c r="N10">
        <f t="shared" si="0"/>
        <v>12736</v>
      </c>
      <c r="O10">
        <f t="shared" si="0"/>
        <v>13256.6</v>
      </c>
      <c r="P10">
        <f t="shared" si="0"/>
        <v>13907.915191</v>
      </c>
      <c r="Q10">
        <f t="shared" si="0"/>
        <v>14453.655032000001</v>
      </c>
      <c r="R10">
        <f t="shared" si="0"/>
        <v>15311.139883</v>
      </c>
      <c r="S10">
        <f>SUM(S3:S9)</f>
        <v>14640.631507999999</v>
      </c>
      <c r="T10">
        <f>SUM(T3:T9)</f>
        <v>18095.567445999997</v>
      </c>
      <c r="U10">
        <f>SUM(U3:U9)</f>
        <v>20061.04</v>
      </c>
      <c r="V10">
        <f>SUM(V3:V9)</f>
        <v>22002.011438702557</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6CF0-3510-3C40-A6D1-4F996DE1817D}">
  <dimension ref="A1:U3"/>
  <sheetViews>
    <sheetView zoomScale="55" zoomScaleNormal="55" workbookViewId="0"/>
  </sheetViews>
  <sheetFormatPr baseColWidth="10" defaultColWidth="11" defaultRowHeight="16"/>
  <cols>
    <col min="1" max="1" width="26" customWidth="1"/>
  </cols>
  <sheetData>
    <row r="1" spans="1:21">
      <c r="A1" t="s">
        <v>861</v>
      </c>
    </row>
    <row r="2" spans="1:21">
      <c r="B2">
        <v>2004</v>
      </c>
      <c r="C2">
        <v>2005</v>
      </c>
      <c r="D2">
        <v>2006</v>
      </c>
      <c r="E2">
        <v>2007</v>
      </c>
      <c r="F2">
        <v>2008</v>
      </c>
      <c r="G2">
        <v>2009</v>
      </c>
      <c r="H2">
        <v>2010</v>
      </c>
      <c r="I2">
        <v>2011</v>
      </c>
      <c r="J2">
        <v>2012</v>
      </c>
      <c r="K2">
        <v>2013</v>
      </c>
      <c r="L2">
        <v>2014</v>
      </c>
      <c r="M2">
        <v>2015</v>
      </c>
      <c r="N2">
        <v>2016</v>
      </c>
      <c r="O2">
        <v>2017</v>
      </c>
      <c r="P2">
        <v>2018</v>
      </c>
      <c r="Q2">
        <v>2019</v>
      </c>
      <c r="R2">
        <v>2020</v>
      </c>
      <c r="S2">
        <v>2021</v>
      </c>
      <c r="T2">
        <v>2022</v>
      </c>
      <c r="U2">
        <v>2023</v>
      </c>
    </row>
    <row r="3" spans="1:21">
      <c r="A3" t="s">
        <v>436</v>
      </c>
      <c r="B3">
        <v>0.67427139126545532</v>
      </c>
      <c r="C3">
        <v>0.66694191272814118</v>
      </c>
      <c r="D3">
        <v>0.69066830501031029</v>
      </c>
      <c r="E3">
        <v>0.69467030472227698</v>
      </c>
      <c r="F3">
        <v>0.69414727727788894</v>
      </c>
      <c r="G3">
        <v>0.7023163079435869</v>
      </c>
      <c r="H3">
        <v>0.72364014848417391</v>
      </c>
      <c r="I3">
        <v>0.70838246452807796</v>
      </c>
      <c r="J3">
        <v>0.70932484386726402</v>
      </c>
      <c r="K3">
        <v>0.66335042747654716</v>
      </c>
      <c r="L3">
        <v>0.6277012659293858</v>
      </c>
      <c r="M3">
        <v>0.63985820227778667</v>
      </c>
      <c r="N3">
        <v>0.65447400316459603</v>
      </c>
      <c r="O3">
        <v>0.65019283366034475</v>
      </c>
      <c r="P3">
        <v>0.65056363415616836</v>
      </c>
      <c r="Q3">
        <v>0.66239067040750566</v>
      </c>
      <c r="R3">
        <v>0.66312141141639902</v>
      </c>
      <c r="S3">
        <v>0.71934261547806777</v>
      </c>
      <c r="T3">
        <v>0.7134581623146431</v>
      </c>
      <c r="U3">
        <v>0.74468920329757149</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712A-B07E-A548-A8FF-D4B4BAA25FC4}">
  <dimension ref="A1:U3"/>
  <sheetViews>
    <sheetView zoomScale="55" zoomScaleNormal="55" workbookViewId="0"/>
  </sheetViews>
  <sheetFormatPr baseColWidth="10" defaultColWidth="10.6640625" defaultRowHeight="16"/>
  <sheetData>
    <row r="1" spans="1:21" ht="16" customHeight="1">
      <c r="A1" t="s">
        <v>724</v>
      </c>
    </row>
    <row r="2" spans="1:21">
      <c r="B2">
        <v>2004</v>
      </c>
      <c r="C2">
        <v>2005</v>
      </c>
      <c r="D2">
        <v>2006</v>
      </c>
      <c r="E2">
        <v>2007</v>
      </c>
      <c r="F2">
        <v>2008</v>
      </c>
      <c r="G2">
        <v>2009</v>
      </c>
      <c r="H2">
        <v>2010</v>
      </c>
      <c r="I2">
        <v>2011</v>
      </c>
      <c r="J2">
        <v>2012</v>
      </c>
      <c r="K2">
        <v>2013</v>
      </c>
      <c r="L2">
        <v>2014</v>
      </c>
      <c r="M2">
        <v>2015</v>
      </c>
      <c r="N2">
        <v>2016</v>
      </c>
      <c r="O2">
        <v>2017</v>
      </c>
      <c r="P2">
        <v>2018</v>
      </c>
      <c r="Q2">
        <v>2019</v>
      </c>
      <c r="R2">
        <v>2020</v>
      </c>
      <c r="S2">
        <v>2021</v>
      </c>
      <c r="T2">
        <v>2022</v>
      </c>
      <c r="U2">
        <v>2023</v>
      </c>
    </row>
    <row r="3" spans="1:21">
      <c r="A3" t="s">
        <v>437</v>
      </c>
      <c r="B3">
        <v>16.899999999999999</v>
      </c>
      <c r="C3">
        <v>16.7</v>
      </c>
      <c r="D3">
        <v>17.2</v>
      </c>
      <c r="E3">
        <v>17.399999999999999</v>
      </c>
      <c r="F3">
        <v>17.399999999999999</v>
      </c>
      <c r="G3">
        <v>15.9</v>
      </c>
      <c r="H3">
        <v>17.100000000000001</v>
      </c>
      <c r="I3">
        <v>17.399999999999999</v>
      </c>
      <c r="J3">
        <v>17.5</v>
      </c>
      <c r="K3">
        <v>16.7</v>
      </c>
      <c r="L3">
        <v>16.3</v>
      </c>
      <c r="M3">
        <v>16.100000000000001</v>
      </c>
      <c r="N3">
        <v>16.7</v>
      </c>
      <c r="O3">
        <v>17</v>
      </c>
      <c r="P3">
        <v>16.5</v>
      </c>
      <c r="Q3">
        <v>16.7</v>
      </c>
      <c r="R3">
        <v>16.100000000000001</v>
      </c>
      <c r="S3">
        <v>18.5</v>
      </c>
      <c r="T3">
        <v>19.2</v>
      </c>
      <c r="U3">
        <v>20.100000000000001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A5A5-AA1F-9A46-8822-B0B525F7BE81}">
  <dimension ref="A1:U6"/>
  <sheetViews>
    <sheetView zoomScale="70" zoomScaleNormal="70" workbookViewId="0"/>
  </sheetViews>
  <sheetFormatPr baseColWidth="10" defaultColWidth="10.6640625" defaultRowHeight="16"/>
  <cols>
    <col min="1" max="1" width="33.5" customWidth="1"/>
  </cols>
  <sheetData>
    <row r="1" spans="1:21">
      <c r="A1" t="s">
        <v>725</v>
      </c>
    </row>
    <row r="2" spans="1:21">
      <c r="B2">
        <v>2004</v>
      </c>
      <c r="C2">
        <v>2005</v>
      </c>
      <c r="D2">
        <v>2006</v>
      </c>
      <c r="E2">
        <v>2007</v>
      </c>
      <c r="F2">
        <v>2008</v>
      </c>
      <c r="G2">
        <v>2009</v>
      </c>
      <c r="H2">
        <v>2010</v>
      </c>
      <c r="I2">
        <v>2011</v>
      </c>
      <c r="J2">
        <v>2012</v>
      </c>
      <c r="K2">
        <v>2013</v>
      </c>
      <c r="L2">
        <v>2014</v>
      </c>
      <c r="M2">
        <v>2015</v>
      </c>
      <c r="N2">
        <v>2016</v>
      </c>
      <c r="O2">
        <v>2017</v>
      </c>
      <c r="P2">
        <v>2018</v>
      </c>
      <c r="Q2">
        <v>2019</v>
      </c>
      <c r="R2">
        <v>2020</v>
      </c>
      <c r="S2">
        <v>2021</v>
      </c>
      <c r="T2">
        <v>2022</v>
      </c>
      <c r="U2">
        <v>2023</v>
      </c>
    </row>
    <row r="3" spans="1:21">
      <c r="A3" t="s">
        <v>438</v>
      </c>
      <c r="B3">
        <v>11.410658307210031</v>
      </c>
      <c r="C3">
        <v>17.453416149068321</v>
      </c>
      <c r="D3">
        <v>27.607361963190183</v>
      </c>
      <c r="E3">
        <v>37.72036474164134</v>
      </c>
      <c r="F3">
        <v>48.108108108108112</v>
      </c>
      <c r="G3">
        <v>54.226190476190474</v>
      </c>
      <c r="H3">
        <v>65.647058823529406</v>
      </c>
      <c r="I3">
        <v>77.959183673469397</v>
      </c>
      <c r="J3">
        <v>88.649425287356323</v>
      </c>
      <c r="K3">
        <v>97.10227272727272</v>
      </c>
      <c r="L3">
        <v>106.84507042253522</v>
      </c>
      <c r="M3">
        <v>128.24512534818942</v>
      </c>
      <c r="N3">
        <v>151.51933701657458</v>
      </c>
      <c r="O3">
        <v>184.49591280653951</v>
      </c>
      <c r="P3">
        <v>204.85698866702643</v>
      </c>
      <c r="Q3">
        <v>232.97872340425531</v>
      </c>
      <c r="R3">
        <v>253.07668034080152</v>
      </c>
      <c r="S3">
        <v>336.55404168519055</v>
      </c>
      <c r="T3">
        <v>369.5780579881353</v>
      </c>
      <c r="U3">
        <v>412.78325061725315</v>
      </c>
    </row>
    <row r="4" spans="1:21">
      <c r="A4" t="s">
        <v>439</v>
      </c>
      <c r="B4">
        <v>92.906269592476491</v>
      </c>
      <c r="C4">
        <v>93.596894409937875</v>
      </c>
      <c r="D4">
        <v>99.424846625766861</v>
      </c>
      <c r="E4">
        <v>100.26474164133739</v>
      </c>
      <c r="F4">
        <v>101.9012012012012</v>
      </c>
      <c r="G4">
        <v>92.369940476190479</v>
      </c>
      <c r="H4">
        <v>106.49</v>
      </c>
      <c r="I4">
        <v>109.71603498542275</v>
      </c>
      <c r="J4">
        <v>105.16178160919542</v>
      </c>
      <c r="K4">
        <v>101.9653409090909</v>
      </c>
      <c r="L4">
        <v>99.10985915492958</v>
      </c>
      <c r="M4">
        <v>92.668523676880227</v>
      </c>
      <c r="N4">
        <v>90.580110497237555</v>
      </c>
      <c r="O4">
        <v>81.608290871934585</v>
      </c>
      <c r="P4">
        <v>78.699363518618441</v>
      </c>
      <c r="Q4">
        <v>77.575145372340415</v>
      </c>
      <c r="R4">
        <v>63.391917402966229</v>
      </c>
      <c r="S4">
        <v>70.32632712675543</v>
      </c>
      <c r="T4">
        <v>76.643467988392089</v>
      </c>
      <c r="U4">
        <v>66.95</v>
      </c>
    </row>
    <row r="5" spans="1:21">
      <c r="A5" t="s">
        <v>440</v>
      </c>
      <c r="B5">
        <v>177.05462134230919</v>
      </c>
      <c r="C5">
        <v>182.4513554997927</v>
      </c>
      <c r="D5">
        <v>189.10892006580369</v>
      </c>
      <c r="E5">
        <v>194.25986441649056</v>
      </c>
      <c r="F5">
        <v>194.54684684684688</v>
      </c>
      <c r="G5">
        <v>181.01874999999998</v>
      </c>
      <c r="H5">
        <v>181.62294117647059</v>
      </c>
      <c r="I5">
        <v>177.85860058309044</v>
      </c>
      <c r="J5">
        <v>177.72988505747125</v>
      </c>
      <c r="K5">
        <v>158.52556818181819</v>
      </c>
      <c r="L5">
        <v>146.7774647887324</v>
      </c>
      <c r="M5">
        <v>133.84958217270193</v>
      </c>
      <c r="N5">
        <v>124.10497237569058</v>
      </c>
      <c r="O5">
        <v>113.22343324250676</v>
      </c>
      <c r="P5">
        <v>106.82676740420936</v>
      </c>
      <c r="Q5">
        <v>97.021276595744723</v>
      </c>
      <c r="R5">
        <v>68.849268959713868</v>
      </c>
      <c r="S5">
        <v>66.63458772457443</v>
      </c>
      <c r="T5">
        <v>69.242147975037881</v>
      </c>
      <c r="U5">
        <v>69.186481250531301</v>
      </c>
    </row>
    <row r="6" spans="1:21">
      <c r="A6" t="s">
        <v>441</v>
      </c>
      <c r="B6">
        <f t="shared" ref="B6:T6" si="0">SUM(B3:B5)</f>
        <v>281.37154924199569</v>
      </c>
      <c r="C6">
        <f t="shared" si="0"/>
        <v>293.50166605879889</v>
      </c>
      <c r="D6">
        <f t="shared" si="0"/>
        <v>316.14112865476073</v>
      </c>
      <c r="E6">
        <f t="shared" si="0"/>
        <v>332.24497079946929</v>
      </c>
      <c r="F6">
        <f t="shared" si="0"/>
        <v>344.55615615615619</v>
      </c>
      <c r="G6">
        <f t="shared" si="0"/>
        <v>327.61488095238093</v>
      </c>
      <c r="H6">
        <f t="shared" si="0"/>
        <v>353.76</v>
      </c>
      <c r="I6">
        <f t="shared" si="0"/>
        <v>365.5338192419826</v>
      </c>
      <c r="J6">
        <f t="shared" si="0"/>
        <v>371.54109195402299</v>
      </c>
      <c r="K6">
        <f t="shared" si="0"/>
        <v>357.59318181818179</v>
      </c>
      <c r="L6">
        <f t="shared" si="0"/>
        <v>352.73239436619718</v>
      </c>
      <c r="M6">
        <f t="shared" si="0"/>
        <v>354.76323119777157</v>
      </c>
      <c r="N6">
        <f t="shared" si="0"/>
        <v>366.20441988950273</v>
      </c>
      <c r="O6">
        <f t="shared" si="0"/>
        <v>379.32763692098086</v>
      </c>
      <c r="P6">
        <f t="shared" si="0"/>
        <v>390.38311958985423</v>
      </c>
      <c r="Q6">
        <f t="shared" si="0"/>
        <v>407.57514537234044</v>
      </c>
      <c r="R6">
        <f t="shared" si="0"/>
        <v>385.31786670348163</v>
      </c>
      <c r="S6">
        <f t="shared" si="0"/>
        <v>473.5149565365204</v>
      </c>
      <c r="T6">
        <f t="shared" si="0"/>
        <v>515.46367395156528</v>
      </c>
      <c r="U6">
        <f>SUM(U3:U5)</f>
        <v>548.91973186778444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DBED0-4C11-2A4D-9071-5BBAABCBD218}">
  <dimension ref="A1:G37"/>
  <sheetViews>
    <sheetView zoomScale="40" zoomScaleNormal="40" workbookViewId="0"/>
  </sheetViews>
  <sheetFormatPr baseColWidth="10" defaultColWidth="10.6640625" defaultRowHeight="16"/>
  <cols>
    <col min="1" max="1" width="23.6640625" customWidth="1"/>
    <col min="2" max="3" width="10.83203125" customWidth="1"/>
    <col min="12" max="12" width="16" customWidth="1"/>
  </cols>
  <sheetData>
    <row r="1" spans="1:7" ht="21.5" customHeight="1">
      <c r="A1" t="s">
        <v>870</v>
      </c>
    </row>
    <row r="2" spans="1:7">
      <c r="B2">
        <v>2014</v>
      </c>
      <c r="C2">
        <v>2016</v>
      </c>
      <c r="D2">
        <v>2018</v>
      </c>
      <c r="E2">
        <v>2020</v>
      </c>
      <c r="F2">
        <v>2022</v>
      </c>
      <c r="G2">
        <v>2023</v>
      </c>
    </row>
    <row r="3" spans="1:7">
      <c r="A3" t="s">
        <v>179</v>
      </c>
      <c r="B3">
        <v>2028.4</v>
      </c>
      <c r="C3">
        <v>2769.5</v>
      </c>
      <c r="D3">
        <v>3784.1</v>
      </c>
      <c r="E3">
        <v>4724.5</v>
      </c>
      <c r="F3">
        <v>7281.8</v>
      </c>
      <c r="G3">
        <v>8223.6</v>
      </c>
    </row>
    <row r="4" spans="1:7">
      <c r="A4" t="s">
        <v>157</v>
      </c>
      <c r="F4">
        <v>3838.8</v>
      </c>
      <c r="G4">
        <v>4194.8999999999996</v>
      </c>
    </row>
    <row r="5" spans="1:7">
      <c r="A5" t="s">
        <v>443</v>
      </c>
      <c r="B5">
        <v>483.3</v>
      </c>
      <c r="C5">
        <v>1128.9000000000001</v>
      </c>
      <c r="D5">
        <v>2071</v>
      </c>
      <c r="E5">
        <v>2928.5</v>
      </c>
    </row>
    <row r="6" spans="1:7">
      <c r="A6" t="s">
        <v>159</v>
      </c>
      <c r="C6">
        <v>131.4</v>
      </c>
      <c r="D6">
        <v>435.5</v>
      </c>
      <c r="E6">
        <v>825.2</v>
      </c>
      <c r="F6">
        <v>1529.3</v>
      </c>
      <c r="G6">
        <v>2375</v>
      </c>
    </row>
    <row r="7" spans="1:7">
      <c r="A7" t="s">
        <v>193</v>
      </c>
      <c r="E7">
        <v>53.1</v>
      </c>
      <c r="F7">
        <v>339.5</v>
      </c>
      <c r="G7">
        <v>455</v>
      </c>
    </row>
    <row r="8" spans="1:7">
      <c r="A8" t="s">
        <v>160</v>
      </c>
      <c r="B8">
        <v>125.8</v>
      </c>
      <c r="C8">
        <v>123.3</v>
      </c>
      <c r="D8">
        <v>161.4</v>
      </c>
      <c r="E8">
        <v>207.1</v>
      </c>
      <c r="F8">
        <v>366.4</v>
      </c>
      <c r="G8">
        <v>418.9</v>
      </c>
    </row>
    <row r="9" spans="1:7">
      <c r="A9" t="s">
        <v>138</v>
      </c>
      <c r="B9">
        <v>34.799999999999997</v>
      </c>
      <c r="C9">
        <v>30.9</v>
      </c>
      <c r="D9">
        <v>46</v>
      </c>
      <c r="E9">
        <v>29.3</v>
      </c>
      <c r="F9">
        <v>201.5</v>
      </c>
      <c r="G9">
        <v>218.8</v>
      </c>
    </row>
    <row r="10" spans="1:7">
      <c r="A10" t="s">
        <v>445</v>
      </c>
      <c r="D10">
        <v>46.1</v>
      </c>
      <c r="E10">
        <v>103.1</v>
      </c>
      <c r="F10">
        <v>197.7</v>
      </c>
      <c r="G10">
        <v>198.3</v>
      </c>
    </row>
    <row r="11" spans="1:7">
      <c r="A11" t="s">
        <v>192</v>
      </c>
      <c r="B11">
        <v>88</v>
      </c>
      <c r="C11">
        <v>93.8</v>
      </c>
      <c r="D11">
        <v>116.4</v>
      </c>
      <c r="E11">
        <v>92.2</v>
      </c>
      <c r="F11">
        <v>119.5</v>
      </c>
      <c r="G11">
        <v>138.4</v>
      </c>
    </row>
    <row r="12" spans="1:7">
      <c r="A12" t="s">
        <v>113</v>
      </c>
      <c r="B12">
        <v>55.3</v>
      </c>
      <c r="C12">
        <v>55</v>
      </c>
      <c r="D12">
        <v>75.8</v>
      </c>
      <c r="E12">
        <v>53.7</v>
      </c>
      <c r="F12">
        <v>112.9</v>
      </c>
      <c r="G12">
        <v>136.1</v>
      </c>
    </row>
    <row r="13" spans="1:7">
      <c r="A13" t="s">
        <v>446</v>
      </c>
      <c r="B13">
        <v>52.5</v>
      </c>
      <c r="C13">
        <v>70</v>
      </c>
      <c r="D13">
        <v>95.4</v>
      </c>
      <c r="E13">
        <v>99.7</v>
      </c>
      <c r="F13">
        <v>101.8</v>
      </c>
      <c r="G13">
        <v>105.3</v>
      </c>
    </row>
    <row r="14" spans="1:7">
      <c r="A14" t="s">
        <v>444</v>
      </c>
      <c r="B14">
        <v>99.9</v>
      </c>
      <c r="C14">
        <v>106.2</v>
      </c>
      <c r="D14">
        <v>86.9</v>
      </c>
      <c r="E14">
        <v>124.3</v>
      </c>
      <c r="F14">
        <v>165.2</v>
      </c>
      <c r="G14">
        <v>94.7</v>
      </c>
    </row>
    <row r="15" spans="1:7">
      <c r="A15" t="s">
        <v>120</v>
      </c>
      <c r="B15">
        <v>126</v>
      </c>
      <c r="C15">
        <v>133.1</v>
      </c>
      <c r="D15">
        <v>65.7</v>
      </c>
    </row>
    <row r="16" spans="1:7">
      <c r="A16" t="s">
        <v>123</v>
      </c>
      <c r="B16">
        <v>41.9</v>
      </c>
      <c r="C16">
        <v>47.9</v>
      </c>
      <c r="D16">
        <v>49.7</v>
      </c>
      <c r="E16">
        <v>39.200000000000003</v>
      </c>
      <c r="F16">
        <v>63.9</v>
      </c>
      <c r="G16">
        <v>73.599999999999994</v>
      </c>
    </row>
    <row r="17" spans="1:7">
      <c r="A17" t="s">
        <v>115</v>
      </c>
      <c r="B17">
        <v>19.7</v>
      </c>
      <c r="C17">
        <v>30.3</v>
      </c>
      <c r="D17">
        <v>42</v>
      </c>
      <c r="E17">
        <v>38.200000000000003</v>
      </c>
      <c r="F17">
        <v>85.7</v>
      </c>
      <c r="G17">
        <v>73.099999999999994</v>
      </c>
    </row>
    <row r="18" spans="1:7">
      <c r="A18" t="s">
        <v>448</v>
      </c>
      <c r="E18">
        <v>76.3</v>
      </c>
      <c r="F18">
        <v>51.3</v>
      </c>
      <c r="G18">
        <v>60.7</v>
      </c>
    </row>
    <row r="19" spans="1:7">
      <c r="A19" t="s">
        <v>121</v>
      </c>
      <c r="B19">
        <v>41.2</v>
      </c>
      <c r="C19">
        <v>47.9</v>
      </c>
      <c r="D19">
        <v>51.7</v>
      </c>
      <c r="E19">
        <v>18.3</v>
      </c>
      <c r="F19">
        <v>44.8</v>
      </c>
      <c r="G19">
        <v>59.7</v>
      </c>
    </row>
    <row r="20" spans="1:7">
      <c r="A20" t="s">
        <v>168</v>
      </c>
      <c r="C20">
        <v>9.9</v>
      </c>
      <c r="D20">
        <v>19.3</v>
      </c>
      <c r="E20">
        <v>24.1</v>
      </c>
      <c r="F20">
        <v>49.5</v>
      </c>
      <c r="G20">
        <v>58.9</v>
      </c>
    </row>
    <row r="21" spans="1:7">
      <c r="A21" t="s">
        <v>451</v>
      </c>
      <c r="E21">
        <v>10.3</v>
      </c>
      <c r="F21">
        <v>23.2</v>
      </c>
      <c r="G21">
        <v>35.4</v>
      </c>
    </row>
    <row r="22" spans="1:7">
      <c r="A22" t="s">
        <v>449</v>
      </c>
      <c r="B22">
        <v>22.2</v>
      </c>
      <c r="C22">
        <v>18.100000000000001</v>
      </c>
      <c r="D22">
        <v>27.6</v>
      </c>
      <c r="E22">
        <v>18.2</v>
      </c>
      <c r="F22">
        <v>25.4</v>
      </c>
      <c r="G22">
        <v>31.5</v>
      </c>
    </row>
    <row r="23" spans="1:7">
      <c r="A23" t="s">
        <v>447</v>
      </c>
      <c r="B23">
        <v>49.3</v>
      </c>
      <c r="C23">
        <v>73.5</v>
      </c>
      <c r="D23">
        <v>50.8</v>
      </c>
      <c r="E23">
        <v>32</v>
      </c>
      <c r="F23">
        <v>26.1</v>
      </c>
      <c r="G23">
        <v>23.8</v>
      </c>
    </row>
    <row r="24" spans="1:7">
      <c r="A24" t="s">
        <v>450</v>
      </c>
      <c r="B24">
        <v>29.9</v>
      </c>
      <c r="C24">
        <v>26.8</v>
      </c>
      <c r="D24">
        <v>16.2</v>
      </c>
    </row>
    <row r="25" spans="1:7">
      <c r="A25" t="s">
        <v>125</v>
      </c>
      <c r="B25">
        <v>31.6</v>
      </c>
      <c r="C25">
        <v>14.8</v>
      </c>
      <c r="D25">
        <v>22.5</v>
      </c>
    </row>
    <row r="26" spans="1:7">
      <c r="A26" t="s">
        <v>452</v>
      </c>
      <c r="B26">
        <v>14.2</v>
      </c>
      <c r="C26">
        <v>10.9</v>
      </c>
      <c r="D26">
        <v>7.6</v>
      </c>
      <c r="E26">
        <v>7</v>
      </c>
      <c r="F26">
        <v>2.1</v>
      </c>
      <c r="G26">
        <v>21.7</v>
      </c>
    </row>
    <row r="27" spans="1:7">
      <c r="A27" t="s">
        <v>455</v>
      </c>
      <c r="F27">
        <v>4.9000000000000004</v>
      </c>
      <c r="G27">
        <v>18.7</v>
      </c>
    </row>
    <row r="28" spans="1:7">
      <c r="A28" t="s">
        <v>453</v>
      </c>
      <c r="E28">
        <v>10.3</v>
      </c>
      <c r="F28">
        <v>17.5</v>
      </c>
      <c r="G28">
        <v>7.3</v>
      </c>
    </row>
    <row r="29" spans="1:7">
      <c r="A29" t="s">
        <v>454</v>
      </c>
      <c r="C29">
        <v>11.6</v>
      </c>
      <c r="D29">
        <v>18.3</v>
      </c>
    </row>
    <row r="30" spans="1:7">
      <c r="A30" t="s">
        <v>456</v>
      </c>
      <c r="B30">
        <v>3.9</v>
      </c>
      <c r="C30">
        <v>2.7</v>
      </c>
      <c r="D30">
        <v>2.2000000000000002</v>
      </c>
      <c r="E30">
        <v>2</v>
      </c>
      <c r="F30">
        <v>3.5</v>
      </c>
      <c r="G30">
        <v>3.8</v>
      </c>
    </row>
    <row r="32" spans="1:7">
      <c r="A32" t="s">
        <v>457</v>
      </c>
      <c r="B32">
        <v>3793</v>
      </c>
      <c r="C32">
        <v>5485</v>
      </c>
      <c r="D32">
        <v>7592</v>
      </c>
      <c r="E32">
        <v>9624</v>
      </c>
      <c r="F32">
        <v>14391</v>
      </c>
      <c r="G32">
        <v>16551</v>
      </c>
    </row>
    <row r="33" spans="1:7">
      <c r="A33" t="s">
        <v>458</v>
      </c>
      <c r="B33">
        <v>66.2</v>
      </c>
      <c r="C33">
        <v>71.099999999999994</v>
      </c>
      <c r="D33">
        <v>77.099999999999994</v>
      </c>
      <c r="E33">
        <v>79.5</v>
      </c>
      <c r="F33">
        <v>77.3</v>
      </c>
      <c r="G33">
        <v>75</v>
      </c>
    </row>
    <row r="34" spans="1:7">
      <c r="A34" t="s">
        <v>143</v>
      </c>
      <c r="B34">
        <v>69.5</v>
      </c>
      <c r="C34">
        <v>75.7</v>
      </c>
      <c r="D34">
        <v>84.899999999999991</v>
      </c>
      <c r="E34">
        <v>88.699999999999989</v>
      </c>
      <c r="F34">
        <v>90.3</v>
      </c>
      <c r="G34">
        <v>92</v>
      </c>
    </row>
    <row r="35" spans="1:7">
      <c r="A35" t="s">
        <v>144</v>
      </c>
      <c r="B35">
        <v>81.699999999999989</v>
      </c>
      <c r="C35">
        <v>84.600000000000009</v>
      </c>
      <c r="D35">
        <v>93.099999999999966</v>
      </c>
      <c r="E35">
        <v>94.499999999999972</v>
      </c>
      <c r="F35">
        <v>97.9</v>
      </c>
      <c r="G35">
        <v>99.199999999999989</v>
      </c>
    </row>
    <row r="36" spans="1:7">
      <c r="A36" t="s">
        <v>498</v>
      </c>
      <c r="B36">
        <v>16.095438966517271</v>
      </c>
      <c r="C36">
        <v>12.165907019143114</v>
      </c>
      <c r="D36">
        <v>9.0608535300316131</v>
      </c>
      <c r="E36">
        <v>5.4727763923524515</v>
      </c>
      <c r="F36">
        <v>6.1434229726912646</v>
      </c>
      <c r="G36">
        <v>6.0896622560570366</v>
      </c>
    </row>
    <row r="37" spans="1:7">
      <c r="A37" t="s">
        <v>345</v>
      </c>
      <c r="B37">
        <v>3069.2</v>
      </c>
      <c r="C37">
        <v>3004.9900000000011</v>
      </c>
      <c r="D37">
        <v>3272.2099999999991</v>
      </c>
      <c r="E37">
        <v>3420.7300000000009</v>
      </c>
      <c r="F37">
        <v>3405.51</v>
      </c>
      <c r="G37">
        <v>3334.25</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9A995-F9D5-B745-8DA3-0EEC95F69A8D}">
  <dimension ref="A1:P16"/>
  <sheetViews>
    <sheetView zoomScale="55" zoomScaleNormal="55" workbookViewId="0"/>
  </sheetViews>
  <sheetFormatPr baseColWidth="10" defaultColWidth="10.6640625" defaultRowHeight="16"/>
  <sheetData>
    <row r="1" spans="1:16">
      <c r="A1" t="s">
        <v>726</v>
      </c>
    </row>
    <row r="2" spans="1:16">
      <c r="B2">
        <v>2009</v>
      </c>
      <c r="C2">
        <v>2010</v>
      </c>
      <c r="D2">
        <v>2011</v>
      </c>
      <c r="E2">
        <v>2012</v>
      </c>
      <c r="F2">
        <v>2013</v>
      </c>
      <c r="G2">
        <v>2014</v>
      </c>
      <c r="H2">
        <v>2015</v>
      </c>
      <c r="I2">
        <v>2016</v>
      </c>
      <c r="J2">
        <v>2017</v>
      </c>
      <c r="K2">
        <v>2018</v>
      </c>
      <c r="L2">
        <v>2019</v>
      </c>
      <c r="M2">
        <v>2020</v>
      </c>
      <c r="N2">
        <v>2021</v>
      </c>
      <c r="O2">
        <v>2022</v>
      </c>
      <c r="P2">
        <v>2023</v>
      </c>
    </row>
    <row r="3" spans="1:16">
      <c r="A3" t="s">
        <v>442</v>
      </c>
      <c r="B3">
        <v>91.58</v>
      </c>
      <c r="C3">
        <v>92.66</v>
      </c>
      <c r="D3">
        <v>91.83</v>
      </c>
      <c r="E3">
        <v>91.21</v>
      </c>
      <c r="F3">
        <v>89.06</v>
      </c>
      <c r="G3">
        <v>87.96</v>
      </c>
      <c r="H3">
        <v>87.59</v>
      </c>
      <c r="I3">
        <v>87.91</v>
      </c>
      <c r="J3">
        <v>85.95</v>
      </c>
      <c r="K3">
        <v>86.6</v>
      </c>
      <c r="L3">
        <v>87.93</v>
      </c>
      <c r="M3">
        <v>86.71</v>
      </c>
      <c r="N3">
        <v>86.68</v>
      </c>
      <c r="O3">
        <v>84.68</v>
      </c>
      <c r="P3">
        <v>85.46</v>
      </c>
    </row>
    <row r="4" spans="1:16">
      <c r="A4" t="s">
        <v>459</v>
      </c>
      <c r="B4">
        <v>2.89</v>
      </c>
      <c r="C4">
        <v>3.96</v>
      </c>
      <c r="D4">
        <v>4.79</v>
      </c>
      <c r="E4">
        <v>5.64</v>
      </c>
      <c r="F4">
        <v>7.15</v>
      </c>
      <c r="G4">
        <v>7.03</v>
      </c>
      <c r="H4">
        <v>6.69</v>
      </c>
      <c r="I4">
        <v>7.76</v>
      </c>
      <c r="J4">
        <v>9.0299999999999994</v>
      </c>
      <c r="K4">
        <v>8.86</v>
      </c>
      <c r="L4">
        <v>7.87</v>
      </c>
      <c r="M4">
        <v>9.06</v>
      </c>
      <c r="N4">
        <v>9.11</v>
      </c>
      <c r="O4">
        <v>11.02</v>
      </c>
      <c r="P4">
        <v>10.6</v>
      </c>
    </row>
    <row r="5" spans="1:16">
      <c r="A5" t="s">
        <v>460</v>
      </c>
      <c r="B5">
        <v>3.52</v>
      </c>
      <c r="C5">
        <v>2.65</v>
      </c>
      <c r="D5">
        <v>2.62</v>
      </c>
      <c r="E5">
        <v>2.4300000000000002</v>
      </c>
      <c r="F5">
        <v>2.83</v>
      </c>
      <c r="G5">
        <v>3.65</v>
      </c>
      <c r="H5">
        <v>4.7</v>
      </c>
      <c r="I5">
        <v>3.34</v>
      </c>
    </row>
    <row r="6" spans="1:16">
      <c r="A6" t="s">
        <v>461</v>
      </c>
      <c r="J6">
        <v>3.79</v>
      </c>
      <c r="K6">
        <v>3.07</v>
      </c>
      <c r="L6">
        <v>2.89</v>
      </c>
      <c r="M6">
        <v>2.73</v>
      </c>
      <c r="N6">
        <v>2.5</v>
      </c>
      <c r="O6">
        <v>2.4700000000000002</v>
      </c>
      <c r="P6">
        <v>2.44</v>
      </c>
    </row>
    <row r="7" spans="1:16">
      <c r="A7" t="s">
        <v>462</v>
      </c>
      <c r="B7">
        <v>0</v>
      </c>
      <c r="C7">
        <v>0</v>
      </c>
      <c r="D7">
        <v>0</v>
      </c>
      <c r="E7">
        <v>0.01</v>
      </c>
      <c r="F7">
        <v>0.02</v>
      </c>
      <c r="G7">
        <v>0.11</v>
      </c>
      <c r="H7">
        <v>0.28999999999999998</v>
      </c>
      <c r="I7">
        <v>0.32</v>
      </c>
      <c r="J7">
        <v>0.56999999999999995</v>
      </c>
      <c r="K7">
        <v>0.56000000000000005</v>
      </c>
      <c r="L7">
        <v>0.79</v>
      </c>
      <c r="M7">
        <v>0.96</v>
      </c>
      <c r="N7">
        <v>1.28</v>
      </c>
      <c r="O7">
        <v>1.34</v>
      </c>
      <c r="P7">
        <v>1.05</v>
      </c>
    </row>
    <row r="8" spans="1:16">
      <c r="A8" t="s">
        <v>463</v>
      </c>
      <c r="B8">
        <v>0.35</v>
      </c>
      <c r="C8">
        <v>0.48</v>
      </c>
      <c r="D8">
        <v>0.4</v>
      </c>
      <c r="E8">
        <v>0.36</v>
      </c>
      <c r="F8">
        <v>0.33</v>
      </c>
      <c r="G8">
        <v>0.35</v>
      </c>
      <c r="H8">
        <v>0.22</v>
      </c>
      <c r="I8">
        <v>0.06</v>
      </c>
      <c r="J8">
        <v>0.03</v>
      </c>
      <c r="K8">
        <v>0.01</v>
      </c>
      <c r="L8">
        <v>0.01</v>
      </c>
      <c r="M8">
        <v>0.01</v>
      </c>
      <c r="N8">
        <v>0.01</v>
      </c>
      <c r="O8">
        <v>0.03</v>
      </c>
      <c r="P8">
        <v>0</v>
      </c>
    </row>
    <row r="9" spans="1:16">
      <c r="A9" t="s">
        <v>464</v>
      </c>
      <c r="B9">
        <v>0.12</v>
      </c>
      <c r="C9">
        <v>0.11</v>
      </c>
      <c r="D9">
        <v>7.0000000000000007E-2</v>
      </c>
      <c r="E9">
        <v>0.04</v>
      </c>
      <c r="F9">
        <v>0.13</v>
      </c>
      <c r="G9">
        <v>0.25</v>
      </c>
      <c r="H9">
        <v>7.0000000000000007E-2</v>
      </c>
      <c r="I9">
        <v>0.03</v>
      </c>
      <c r="J9">
        <v>0.03</v>
      </c>
      <c r="K9">
        <v>0.01</v>
      </c>
      <c r="L9">
        <v>0.01</v>
      </c>
      <c r="M9">
        <v>0</v>
      </c>
      <c r="N9">
        <v>0</v>
      </c>
      <c r="O9">
        <v>0</v>
      </c>
      <c r="P9">
        <v>0</v>
      </c>
    </row>
    <row r="10" spans="1:16">
      <c r="A10" t="s">
        <v>465</v>
      </c>
      <c r="B10">
        <v>0.01</v>
      </c>
      <c r="C10">
        <v>0.02</v>
      </c>
      <c r="D10">
        <v>0.01</v>
      </c>
      <c r="E10">
        <v>0.02</v>
      </c>
      <c r="F10">
        <v>0.06</v>
      </c>
      <c r="G10">
        <v>0.06</v>
      </c>
      <c r="H10">
        <v>0.06</v>
      </c>
      <c r="I10">
        <v>0.06</v>
      </c>
      <c r="J10">
        <v>0.11</v>
      </c>
      <c r="K10">
        <v>0.08</v>
      </c>
      <c r="L10">
        <v>0.03</v>
      </c>
      <c r="M10">
        <v>0.03</v>
      </c>
      <c r="N10">
        <v>0.02</v>
      </c>
      <c r="O10">
        <v>0.05</v>
      </c>
      <c r="P10">
        <v>0.05</v>
      </c>
    </row>
    <row r="11" spans="1:16">
      <c r="A11" t="s">
        <v>466</v>
      </c>
      <c r="K11">
        <v>0.2</v>
      </c>
      <c r="L11">
        <v>0</v>
      </c>
      <c r="M11">
        <v>0.05</v>
      </c>
      <c r="N11">
        <v>6.5000000000000002E-2</v>
      </c>
      <c r="O11">
        <v>0.1</v>
      </c>
    </row>
    <row r="12" spans="1:16">
      <c r="A12" t="s">
        <v>467</v>
      </c>
      <c r="B12">
        <v>0.05</v>
      </c>
      <c r="C12">
        <v>0.03</v>
      </c>
      <c r="D12">
        <v>0.04</v>
      </c>
      <c r="E12">
        <v>0.05</v>
      </c>
      <c r="F12">
        <v>0.04</v>
      </c>
      <c r="G12">
        <v>0.05</v>
      </c>
      <c r="H12">
        <v>0.03</v>
      </c>
      <c r="I12">
        <v>0.06</v>
      </c>
      <c r="J12">
        <v>0.06</v>
      </c>
      <c r="K12">
        <v>0</v>
      </c>
      <c r="L12">
        <v>0</v>
      </c>
      <c r="M12">
        <v>0</v>
      </c>
      <c r="N12">
        <v>0</v>
      </c>
      <c r="O12">
        <v>0</v>
      </c>
      <c r="P12">
        <v>0.01</v>
      </c>
    </row>
    <row r="13" spans="1:16">
      <c r="A13" t="s">
        <v>343</v>
      </c>
      <c r="B13">
        <f t="shared" ref="B13:P13" si="0">100-(B3+B4+B5+B6+B7+B8+B9+B10+B11+B12)</f>
        <v>1.480000000000004</v>
      </c>
      <c r="C13">
        <f t="shared" si="0"/>
        <v>9.0000000000003411E-2</v>
      </c>
      <c r="D13">
        <f t="shared" si="0"/>
        <v>0.23999999999998067</v>
      </c>
      <c r="E13">
        <f t="shared" si="0"/>
        <v>0.23999999999999488</v>
      </c>
      <c r="F13">
        <f t="shared" si="0"/>
        <v>0.37999999999999545</v>
      </c>
      <c r="G13">
        <f t="shared" si="0"/>
        <v>0.54000000000000625</v>
      </c>
      <c r="H13">
        <f t="shared" si="0"/>
        <v>0.34999999999999432</v>
      </c>
      <c r="I13">
        <f t="shared" si="0"/>
        <v>0.45999999999999375</v>
      </c>
      <c r="J13">
        <f t="shared" si="0"/>
        <v>0.42999999999999261</v>
      </c>
      <c r="K13">
        <f t="shared" si="0"/>
        <v>0.60999999999999943</v>
      </c>
      <c r="L13">
        <f t="shared" si="0"/>
        <v>0.46999999999997044</v>
      </c>
      <c r="M13">
        <f t="shared" si="0"/>
        <v>0.45000000000000284</v>
      </c>
      <c r="N13">
        <f t="shared" si="0"/>
        <v>0.33499999999999375</v>
      </c>
      <c r="O13">
        <f t="shared" si="0"/>
        <v>0.31000000000000227</v>
      </c>
      <c r="P13">
        <f t="shared" si="0"/>
        <v>0.39000000000001478</v>
      </c>
    </row>
    <row r="14" spans="1:16">
      <c r="A14" t="s">
        <v>143</v>
      </c>
      <c r="B14">
        <f t="shared" ref="B14:I14" si="1">B3+B4+B5+B8</f>
        <v>98.339999999999989</v>
      </c>
      <c r="C14">
        <f t="shared" si="1"/>
        <v>99.75</v>
      </c>
      <c r="D14">
        <f t="shared" si="1"/>
        <v>99.640000000000015</v>
      </c>
      <c r="E14">
        <f t="shared" si="1"/>
        <v>99.64</v>
      </c>
      <c r="F14">
        <f t="shared" si="1"/>
        <v>99.37</v>
      </c>
      <c r="G14">
        <f t="shared" si="1"/>
        <v>98.99</v>
      </c>
      <c r="H14">
        <f t="shared" si="1"/>
        <v>99.2</v>
      </c>
      <c r="I14">
        <f t="shared" si="1"/>
        <v>99.070000000000007</v>
      </c>
      <c r="J14">
        <f t="shared" ref="J14:P14" si="2">J3+J4+J6+J7</f>
        <v>99.34</v>
      </c>
      <c r="K14">
        <f t="shared" si="2"/>
        <v>99.089999999999989</v>
      </c>
      <c r="L14">
        <f t="shared" si="2"/>
        <v>99.480000000000018</v>
      </c>
      <c r="M14">
        <f t="shared" si="2"/>
        <v>99.46</v>
      </c>
      <c r="N14">
        <f t="shared" si="2"/>
        <v>99.570000000000007</v>
      </c>
      <c r="O14">
        <f t="shared" si="2"/>
        <v>99.51</v>
      </c>
      <c r="P14">
        <f t="shared" si="2"/>
        <v>99.549999999999983</v>
      </c>
    </row>
    <row r="15" spans="1:16">
      <c r="A15" t="s">
        <v>345</v>
      </c>
      <c r="B15">
        <f t="shared" ref="B15:P15" si="3">SUMSQ(B3,B4,B5,B6,B7,B8,B9,B10,B11,B12)</f>
        <v>8407.7783999999992</v>
      </c>
      <c r="C15">
        <f t="shared" si="3"/>
        <v>8608.8234999999986</v>
      </c>
      <c r="D15">
        <f t="shared" si="3"/>
        <v>8462.7240000000002</v>
      </c>
      <c r="E15">
        <f t="shared" si="3"/>
        <v>8357.112799999999</v>
      </c>
      <c r="F15">
        <f t="shared" si="3"/>
        <v>7990.9463999999998</v>
      </c>
      <c r="G15">
        <f t="shared" si="3"/>
        <v>7799.9081999999989</v>
      </c>
      <c r="H15">
        <f t="shared" si="3"/>
        <v>7738.9961000000003</v>
      </c>
      <c r="I15">
        <f t="shared" si="3"/>
        <v>7799.6553999999987</v>
      </c>
      <c r="J15">
        <f t="shared" si="3"/>
        <v>7483.6498999999994</v>
      </c>
      <c r="K15">
        <f t="shared" si="3"/>
        <v>7587.8446999999996</v>
      </c>
      <c r="L15">
        <f t="shared" si="3"/>
        <v>7802.5991000000013</v>
      </c>
      <c r="M15">
        <f t="shared" si="3"/>
        <v>7609.0856999999987</v>
      </c>
      <c r="N15">
        <f t="shared" si="3"/>
        <v>7604.3076250000013</v>
      </c>
      <c r="O15">
        <f t="shared" si="3"/>
        <v>7300.052700000002</v>
      </c>
      <c r="P15">
        <f t="shared" si="3"/>
        <v>7422.8302999999978</v>
      </c>
    </row>
    <row r="16" spans="1:16">
      <c r="A16" t="s">
        <v>862</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15253-E034-BD45-B4EE-72F071D7F506}">
  <dimension ref="A1:A23"/>
  <sheetViews>
    <sheetView zoomScale="55" zoomScaleNormal="55" workbookViewId="0"/>
  </sheetViews>
  <sheetFormatPr baseColWidth="10" defaultColWidth="11" defaultRowHeight="16"/>
  <sheetData>
    <row r="1" spans="1:1">
      <c r="A1" t="s">
        <v>727</v>
      </c>
    </row>
    <row r="23" spans="1:1">
      <c r="A23" t="s">
        <v>508</v>
      </c>
    </row>
  </sheetData>
  <pageMargins left="0.7" right="0.7" top="0.75" bottom="0.75" header="0.3" footer="0.3"/>
  <pageSetup orientation="portrait" horizontalDpi="0" verticalDpi="0"/>
  <headerFooter>
    <oddHeader>&amp;R&amp;"Calibri"&amp;12&amp;K000000 Unclassified / Non classifié&amp;1#_x000D_</oddHead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8A03-B2CE-E145-81BA-FBC9021BB8A9}">
  <dimension ref="A1:N14"/>
  <sheetViews>
    <sheetView zoomScale="55" zoomScaleNormal="55" workbookViewId="0"/>
  </sheetViews>
  <sheetFormatPr baseColWidth="10" defaultColWidth="11" defaultRowHeight="16"/>
  <cols>
    <col min="1" max="1" width="13.6640625" bestFit="1" customWidth="1"/>
    <col min="2" max="2" width="11.6640625" bestFit="1" customWidth="1"/>
    <col min="3" max="13" width="13.6640625" bestFit="1" customWidth="1"/>
    <col min="14" max="14" width="12" bestFit="1" customWidth="1"/>
    <col min="15" max="16" width="11.6640625" bestFit="1" customWidth="1"/>
    <col min="17" max="27" width="15.83203125" customWidth="1"/>
  </cols>
  <sheetData>
    <row r="1" spans="1:14">
      <c r="A1" t="s">
        <v>728</v>
      </c>
    </row>
    <row r="2" spans="1:14">
      <c r="B2">
        <v>2011</v>
      </c>
      <c r="C2">
        <v>2012</v>
      </c>
      <c r="D2">
        <v>2013</v>
      </c>
      <c r="E2">
        <v>2014</v>
      </c>
      <c r="F2">
        <v>2015</v>
      </c>
      <c r="G2">
        <v>2016</v>
      </c>
      <c r="H2">
        <v>2017</v>
      </c>
      <c r="I2">
        <v>2018</v>
      </c>
      <c r="J2">
        <v>2019</v>
      </c>
      <c r="K2">
        <v>2020</v>
      </c>
      <c r="L2">
        <v>2021</v>
      </c>
      <c r="M2">
        <v>2022</v>
      </c>
      <c r="N2">
        <v>2023</v>
      </c>
    </row>
    <row r="3" spans="1:14">
      <c r="A3" t="s">
        <v>157</v>
      </c>
      <c r="B3">
        <v>50.683681071879569</v>
      </c>
      <c r="C3">
        <v>51.864210236287235</v>
      </c>
      <c r="D3">
        <v>52.853302199163885</v>
      </c>
      <c r="E3">
        <v>52.79966711412623</v>
      </c>
      <c r="F3">
        <v>50.505050505050505</v>
      </c>
      <c r="G3">
        <v>54.068427583761746</v>
      </c>
      <c r="H3">
        <v>49.192165357884285</v>
      </c>
      <c r="I3">
        <v>50.995418912831944</v>
      </c>
      <c r="J3">
        <v>52.878100908163603</v>
      </c>
      <c r="K3">
        <v>50.95246366741938</v>
      </c>
      <c r="L3">
        <v>47.9815464666761</v>
      </c>
      <c r="M3">
        <v>43.37213448652161</v>
      </c>
      <c r="N3">
        <v>41.765155557686207</v>
      </c>
    </row>
    <row r="4" spans="1:14">
      <c r="A4" t="s">
        <v>471</v>
      </c>
      <c r="B4">
        <v>0</v>
      </c>
      <c r="C4">
        <v>0</v>
      </c>
      <c r="D4">
        <v>0</v>
      </c>
      <c r="E4">
        <v>0</v>
      </c>
      <c r="F4">
        <v>0</v>
      </c>
      <c r="G4">
        <v>0</v>
      </c>
      <c r="H4">
        <v>0</v>
      </c>
      <c r="I4">
        <v>0.5168268107836318</v>
      </c>
      <c r="J4">
        <v>1.6529289632658637</v>
      </c>
      <c r="K4">
        <v>3.4740316136876839</v>
      </c>
      <c r="L4">
        <v>8.1193887971940431</v>
      </c>
      <c r="M4">
        <v>10.647844620411849</v>
      </c>
      <c r="N4">
        <v>13.163710839117353</v>
      </c>
    </row>
    <row r="5" spans="1:14" ht="17" customHeight="1">
      <c r="A5" t="s">
        <v>509</v>
      </c>
      <c r="B5">
        <v>3</v>
      </c>
      <c r="C5">
        <v>2</v>
      </c>
      <c r="D5">
        <v>2</v>
      </c>
      <c r="E5">
        <v>5.2164115565530267</v>
      </c>
      <c r="F5">
        <v>4.9820236260914221</v>
      </c>
      <c r="G5">
        <v>5.1586598120900549</v>
      </c>
      <c r="H5">
        <v>6.1287119776153078</v>
      </c>
      <c r="I5">
        <v>5.4457493224345308</v>
      </c>
      <c r="J5">
        <v>5.8103944474478215</v>
      </c>
      <c r="K5">
        <v>5.429139405168586</v>
      </c>
      <c r="L5">
        <v>9.0018026142878718</v>
      </c>
      <c r="M5">
        <v>8.2602371813040953</v>
      </c>
      <c r="N5">
        <v>9.0038699023077271</v>
      </c>
    </row>
    <row r="6" spans="1:14">
      <c r="A6" t="s">
        <v>445</v>
      </c>
      <c r="B6">
        <v>0</v>
      </c>
      <c r="C6">
        <v>0</v>
      </c>
      <c r="D6">
        <v>0</v>
      </c>
      <c r="E6">
        <v>0</v>
      </c>
      <c r="F6">
        <v>5.9921246361924325</v>
      </c>
      <c r="G6">
        <v>8.8636766530756965</v>
      </c>
      <c r="H6">
        <v>9.0260853867677593</v>
      </c>
      <c r="I6">
        <v>10.760501238487475</v>
      </c>
      <c r="J6">
        <v>11.567084573660791</v>
      </c>
      <c r="K6">
        <v>10.808098353695017</v>
      </c>
      <c r="L6">
        <v>10.176790483360856</v>
      </c>
      <c r="M6">
        <v>10.019555652126678</v>
      </c>
      <c r="N6">
        <v>9.5765195642240624</v>
      </c>
    </row>
    <row r="7" spans="1:14" ht="18" customHeight="1">
      <c r="A7" t="s">
        <v>510</v>
      </c>
      <c r="B7">
        <v>12.841936273842295</v>
      </c>
      <c r="C7">
        <v>17.620473995528968</v>
      </c>
      <c r="D7">
        <v>19.830295918355805</v>
      </c>
      <c r="E7">
        <v>20.53320387771576</v>
      </c>
      <c r="F7">
        <v>19.688409518917993</v>
      </c>
      <c r="G7">
        <v>14.181882644921115</v>
      </c>
      <c r="H7">
        <v>16.698257965520355</v>
      </c>
      <c r="I7">
        <v>14.503284277961379</v>
      </c>
      <c r="J7">
        <v>15.285076043766043</v>
      </c>
      <c r="K7">
        <v>15.440140505278595</v>
      </c>
      <c r="L7">
        <v>13.735416206983302</v>
      </c>
      <c r="M7">
        <v>11.397782724657388</v>
      </c>
      <c r="N7">
        <v>11.597494647152299</v>
      </c>
    </row>
    <row r="8" spans="1:14">
      <c r="A8" t="s">
        <v>511</v>
      </c>
      <c r="B8">
        <v>0</v>
      </c>
      <c r="C8">
        <v>0</v>
      </c>
      <c r="D8">
        <v>0</v>
      </c>
      <c r="E8">
        <v>14.666574198368398</v>
      </c>
      <c r="F8">
        <v>12.840267077555215</v>
      </c>
      <c r="G8">
        <v>11.522779648998405</v>
      </c>
      <c r="H8">
        <v>11.733911002798088</v>
      </c>
      <c r="I8">
        <v>11.696196998355951</v>
      </c>
      <c r="J8">
        <v>0</v>
      </c>
      <c r="K8">
        <v>0</v>
      </c>
      <c r="L8">
        <v>0</v>
      </c>
      <c r="M8">
        <v>0</v>
      </c>
      <c r="N8">
        <v>0</v>
      </c>
    </row>
    <row r="9" spans="1:14">
      <c r="A9" t="s">
        <v>470</v>
      </c>
      <c r="B9">
        <v>6</v>
      </c>
      <c r="C9">
        <v>6.1</v>
      </c>
      <c r="D9">
        <v>5.8999999999999995</v>
      </c>
      <c r="E9">
        <v>6.385781999999999</v>
      </c>
      <c r="F9">
        <v>5.9921246361924325</v>
      </c>
      <c r="G9">
        <v>6.2045736571529879</v>
      </c>
      <c r="H9">
        <v>7.2208683094142074</v>
      </c>
      <c r="I9">
        <v>6.0820224391450948</v>
      </c>
      <c r="J9">
        <v>7.4359829402105078</v>
      </c>
      <c r="K9">
        <v>9.6500878157991217</v>
      </c>
      <c r="L9">
        <v>8.0091708497208192</v>
      </c>
      <c r="M9">
        <v>8.8291133964284594</v>
      </c>
      <c r="N9">
        <v>8.9679781872332356</v>
      </c>
    </row>
    <row r="10" spans="1:14">
      <c r="A10" t="s">
        <v>468</v>
      </c>
      <c r="B10">
        <v>0</v>
      </c>
      <c r="C10">
        <v>0</v>
      </c>
      <c r="D10">
        <v>2.2999999999999998</v>
      </c>
      <c r="E10">
        <v>0</v>
      </c>
      <c r="F10">
        <v>0</v>
      </c>
      <c r="G10">
        <v>0</v>
      </c>
      <c r="H10">
        <v>0</v>
      </c>
      <c r="I10">
        <v>0</v>
      </c>
      <c r="J10">
        <v>5.370432123485366</v>
      </c>
      <c r="K10">
        <v>4.2460386389516138</v>
      </c>
      <c r="L10">
        <v>2.9758845817770019</v>
      </c>
      <c r="M10">
        <v>2.4800880327046233</v>
      </c>
      <c r="N10">
        <v>2.3060515338599745</v>
      </c>
    </row>
    <row r="11" spans="1:14">
      <c r="A11" t="s">
        <v>469</v>
      </c>
      <c r="B11">
        <v>0</v>
      </c>
      <c r="C11">
        <v>0</v>
      </c>
      <c r="D11">
        <v>0</v>
      </c>
      <c r="E11">
        <v>0</v>
      </c>
      <c r="F11">
        <v>0</v>
      </c>
      <c r="G11">
        <v>0</v>
      </c>
      <c r="H11">
        <v>0</v>
      </c>
      <c r="I11">
        <v>0</v>
      </c>
      <c r="J11">
        <v>0</v>
      </c>
      <c r="K11">
        <v>0</v>
      </c>
      <c r="L11">
        <v>0</v>
      </c>
      <c r="M11">
        <v>4.9932439058453078</v>
      </c>
      <c r="N11">
        <v>3.6192197684191267</v>
      </c>
    </row>
    <row r="12" spans="1:14">
      <c r="A12" t="s">
        <v>343</v>
      </c>
      <c r="B12">
        <v>27.474382654278131</v>
      </c>
      <c r="C12">
        <v>22.41531576818381</v>
      </c>
      <c r="D12">
        <v>17.116401882480304</v>
      </c>
      <c r="F12">
        <v>0</v>
      </c>
      <c r="G12">
        <v>0</v>
      </c>
      <c r="H12">
        <v>0</v>
      </c>
      <c r="I12">
        <v>0</v>
      </c>
      <c r="J12">
        <v>0</v>
      </c>
      <c r="K12">
        <v>0</v>
      </c>
      <c r="L12">
        <v>0</v>
      </c>
      <c r="M12">
        <v>0</v>
      </c>
      <c r="N12">
        <v>0</v>
      </c>
    </row>
    <row r="13" spans="1:14">
      <c r="A13" t="s">
        <v>143</v>
      </c>
      <c r="B13">
        <f>B3+B7+B9+B5</f>
        <v>72.525617345721855</v>
      </c>
      <c r="C13">
        <f>C3+C8+C7+C9</f>
        <v>75.584684231816198</v>
      </c>
      <c r="D13">
        <f>D3+D8+D7+D9</f>
        <v>78.583598117519699</v>
      </c>
      <c r="E13">
        <f>E3+E8+E7+E9</f>
        <v>94.385227190210401</v>
      </c>
      <c r="F13">
        <f>F3+F6+F8+F7</f>
        <v>89.025851737716138</v>
      </c>
      <c r="G13">
        <f>G3+G6+G8+G7</f>
        <v>88.636766530756972</v>
      </c>
      <c r="H13">
        <f>H3+H6+H8+H7</f>
        <v>86.650419712970489</v>
      </c>
      <c r="I13">
        <f>I3+I6+I8+I7</f>
        <v>87.955401427636744</v>
      </c>
      <c r="J13">
        <f>J3+J6+J7+J9</f>
        <v>87.166244465800943</v>
      </c>
      <c r="K13">
        <f>K3+K6+K7+K9</f>
        <v>86.850790342192113</v>
      </c>
      <c r="L13">
        <f>L3+L5+L6+L7</f>
        <v>80.895555771308139</v>
      </c>
      <c r="M13">
        <f>M3+M4+M6+M7</f>
        <v>75.437317483717536</v>
      </c>
      <c r="N13">
        <f>N3+N4+N6+N7</f>
        <v>76.102880608179916</v>
      </c>
    </row>
    <row r="14" spans="1:14">
      <c r="A14" t="s">
        <v>345</v>
      </c>
      <c r="B14">
        <f t="shared" ref="B14:N14" si="0">SUMSQ(B3,B4,B5,B6,B7,B8,B9,B10,B11,B12)</f>
        <v>3533.592556491129</v>
      </c>
      <c r="C14">
        <f t="shared" si="0"/>
        <v>3544.0337882483041</v>
      </c>
      <c r="D14">
        <f t="shared" si="0"/>
        <v>3523.7834029682763</v>
      </c>
      <c r="E14">
        <f t="shared" si="0"/>
        <v>3492.5148688414934</v>
      </c>
      <c r="F14">
        <f t="shared" si="0"/>
        <v>3199.8977292475329</v>
      </c>
      <c r="G14">
        <f t="shared" si="0"/>
        <v>3400.9683767083634</v>
      </c>
      <c r="H14">
        <f t="shared" si="0"/>
        <v>3007.557886157771</v>
      </c>
      <c r="I14">
        <f t="shared" si="0"/>
        <v>3130.381708655827</v>
      </c>
      <c r="J14">
        <f t="shared" si="0"/>
        <v>3284.1527921244656</v>
      </c>
      <c r="K14">
        <f t="shared" si="0"/>
        <v>3104.0639719353426</v>
      </c>
      <c r="L14">
        <f t="shared" si="0"/>
        <v>2814.417155745758</v>
      </c>
      <c r="M14">
        <f t="shared" si="0"/>
        <v>2402.0876744935299</v>
      </c>
      <c r="N14">
        <f t="shared" si="0"/>
        <v>2323.734042261623</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7F9F-4CCE-284D-9EA0-F98259EA7E5D}">
  <dimension ref="A1:Q8"/>
  <sheetViews>
    <sheetView zoomScale="55" zoomScaleNormal="55" workbookViewId="0"/>
  </sheetViews>
  <sheetFormatPr baseColWidth="10" defaultColWidth="11" defaultRowHeight="16"/>
  <cols>
    <col min="1" max="1" width="21.83203125" customWidth="1"/>
    <col min="2" max="9" width="12.6640625" bestFit="1" customWidth="1"/>
    <col min="10" max="10" width="13.6640625" bestFit="1" customWidth="1"/>
  </cols>
  <sheetData>
    <row r="1" spans="1:17" ht="16.25" customHeight="1">
      <c r="A1" t="s">
        <v>729</v>
      </c>
    </row>
    <row r="2" spans="1:17">
      <c r="B2">
        <v>2011</v>
      </c>
      <c r="C2">
        <v>2012</v>
      </c>
      <c r="D2">
        <v>2013</v>
      </c>
      <c r="E2">
        <v>2014</v>
      </c>
      <c r="F2">
        <v>2015</v>
      </c>
      <c r="G2">
        <v>2016</v>
      </c>
      <c r="H2">
        <v>2017</v>
      </c>
      <c r="I2">
        <v>2018</v>
      </c>
      <c r="J2">
        <v>2019</v>
      </c>
      <c r="K2">
        <v>2020</v>
      </c>
      <c r="L2">
        <v>2021</v>
      </c>
      <c r="M2">
        <v>2022</v>
      </c>
      <c r="N2">
        <v>2023</v>
      </c>
    </row>
    <row r="3" spans="1:17">
      <c r="A3" t="s">
        <v>474</v>
      </c>
      <c r="B3">
        <v>14.041401199999999</v>
      </c>
      <c r="C3">
        <v>15.050544779999999</v>
      </c>
      <c r="D3">
        <v>16.057126060000002</v>
      </c>
      <c r="E3">
        <v>18.881652684999999</v>
      </c>
      <c r="F3">
        <v>22.318524015000001</v>
      </c>
      <c r="G3">
        <v>24.54710614</v>
      </c>
      <c r="H3">
        <v>26.028553070000001</v>
      </c>
      <c r="I3">
        <v>27.152999999999999</v>
      </c>
      <c r="J3">
        <v>31.398</v>
      </c>
      <c r="K3">
        <v>35</v>
      </c>
      <c r="L3">
        <v>35.5</v>
      </c>
      <c r="M3">
        <v>37.65</v>
      </c>
      <c r="N3">
        <v>37.424999999999997</v>
      </c>
    </row>
    <row r="4" spans="1:17" ht="17" customHeight="1">
      <c r="A4" t="s">
        <v>472</v>
      </c>
      <c r="B4">
        <f t="shared" ref="B4:N4" si="0">B6/12</f>
        <v>1.0765782168995119</v>
      </c>
      <c r="C4">
        <f t="shared" si="0"/>
        <v>1.2480168397820173</v>
      </c>
      <c r="D4">
        <f t="shared" si="0"/>
        <v>1.3981331351645372</v>
      </c>
      <c r="E4">
        <f t="shared" si="0"/>
        <v>2.1330230288578154</v>
      </c>
      <c r="F4">
        <f t="shared" si="0"/>
        <v>2.7488376901074392</v>
      </c>
      <c r="G4">
        <f t="shared" si="0"/>
        <v>3.8324273119389383</v>
      </c>
      <c r="H4">
        <f t="shared" si="0"/>
        <v>5.6031415297825715</v>
      </c>
      <c r="I4">
        <f t="shared" si="0"/>
        <v>6.355958212106704</v>
      </c>
      <c r="J4">
        <f t="shared" si="0"/>
        <v>6.9378092022846465</v>
      </c>
      <c r="K4">
        <f t="shared" si="0"/>
        <v>6.9726190476190482</v>
      </c>
      <c r="L4">
        <f t="shared" si="0"/>
        <v>9.3011737089201887</v>
      </c>
      <c r="M4">
        <f t="shared" si="0"/>
        <v>8.4966799468791496</v>
      </c>
      <c r="N4">
        <f t="shared" si="0"/>
        <v>9.3406145624582511</v>
      </c>
      <c r="O4">
        <f>N4/D4</f>
        <v>6.6807761918603088</v>
      </c>
      <c r="P4">
        <f>N4/B4</f>
        <v>8.6762061648978221</v>
      </c>
      <c r="Q4">
        <f>N4/I4</f>
        <v>1.4695840108996363</v>
      </c>
    </row>
    <row r="5" spans="1:17">
      <c r="A5" t="s">
        <v>475</v>
      </c>
      <c r="B5">
        <v>181.4</v>
      </c>
      <c r="C5">
        <v>225.4</v>
      </c>
      <c r="D5">
        <v>269.39999999999998</v>
      </c>
      <c r="E5">
        <v>483.3</v>
      </c>
      <c r="F5">
        <v>736.2</v>
      </c>
      <c r="G5">
        <v>1128.9000000000001</v>
      </c>
      <c r="H5">
        <v>1750.1</v>
      </c>
      <c r="I5">
        <v>2071</v>
      </c>
      <c r="J5">
        <v>2614</v>
      </c>
      <c r="K5">
        <v>2928.5</v>
      </c>
      <c r="L5">
        <v>3962.3</v>
      </c>
      <c r="M5">
        <v>3838.8</v>
      </c>
      <c r="N5">
        <v>4194.87</v>
      </c>
    </row>
    <row r="6" spans="1:17">
      <c r="A6" t="s">
        <v>473</v>
      </c>
      <c r="B6">
        <f t="shared" ref="B6:N6" si="1">B5/B3</f>
        <v>12.918938602794144</v>
      </c>
      <c r="C6">
        <f t="shared" si="1"/>
        <v>14.976202077384206</v>
      </c>
      <c r="D6">
        <f t="shared" si="1"/>
        <v>16.777597621974447</v>
      </c>
      <c r="E6">
        <f t="shared" si="1"/>
        <v>25.596276346293784</v>
      </c>
      <c r="F6">
        <f t="shared" si="1"/>
        <v>32.986052281289268</v>
      </c>
      <c r="G6">
        <f t="shared" si="1"/>
        <v>45.989127743267261</v>
      </c>
      <c r="H6">
        <f t="shared" si="1"/>
        <v>67.237698357390855</v>
      </c>
      <c r="I6">
        <f t="shared" si="1"/>
        <v>76.271498545280451</v>
      </c>
      <c r="J6">
        <f t="shared" si="1"/>
        <v>83.253710427415754</v>
      </c>
      <c r="K6">
        <f t="shared" si="1"/>
        <v>83.671428571428578</v>
      </c>
      <c r="L6">
        <f t="shared" si="1"/>
        <v>111.61408450704226</v>
      </c>
      <c r="M6">
        <f t="shared" si="1"/>
        <v>101.9601593625498</v>
      </c>
      <c r="N6">
        <f t="shared" si="1"/>
        <v>112.08737474949901</v>
      </c>
    </row>
    <row r="7" spans="1:17" ht="17" customHeight="1"/>
    <row r="8" spans="1:17" ht="14.5" customHeight="1">
      <c r="A8" t="s">
        <v>863</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454D-5CD9-E946-9D31-FAD96E14DE15}">
  <dimension ref="A1:G64"/>
  <sheetViews>
    <sheetView zoomScale="40" zoomScaleNormal="40" workbookViewId="0"/>
  </sheetViews>
  <sheetFormatPr baseColWidth="10" defaultColWidth="10.6640625" defaultRowHeight="16"/>
  <sheetData>
    <row r="1" spans="1:7" ht="23.5" customHeight="1">
      <c r="A1" t="s">
        <v>730</v>
      </c>
    </row>
    <row r="2" spans="1:7">
      <c r="B2" t="s">
        <v>476</v>
      </c>
      <c r="C2" t="s">
        <v>476</v>
      </c>
      <c r="D2" t="s">
        <v>477</v>
      </c>
      <c r="E2" t="s">
        <v>476</v>
      </c>
      <c r="F2" t="s">
        <v>476</v>
      </c>
      <c r="G2" t="s">
        <v>476</v>
      </c>
    </row>
    <row r="3" spans="1:7">
      <c r="B3">
        <v>2017</v>
      </c>
      <c r="C3">
        <v>2019</v>
      </c>
      <c r="D3">
        <v>2020</v>
      </c>
      <c r="E3">
        <v>2021</v>
      </c>
      <c r="F3">
        <v>2022</v>
      </c>
      <c r="G3">
        <v>2023</v>
      </c>
    </row>
    <row r="4" spans="1:7">
      <c r="A4" t="s">
        <v>442</v>
      </c>
      <c r="B4">
        <v>24.702327078179369</v>
      </c>
      <c r="C4">
        <v>28.616469355015418</v>
      </c>
      <c r="D4">
        <v>32.200000000000003</v>
      </c>
      <c r="E4">
        <v>32.819339833950117</v>
      </c>
      <c r="F4">
        <v>35.999456185885556</v>
      </c>
      <c r="G4">
        <v>37.416518241406798</v>
      </c>
    </row>
    <row r="5" spans="1:7">
      <c r="A5" t="s">
        <v>443</v>
      </c>
      <c r="B5">
        <v>12.571365359032047</v>
      </c>
      <c r="C5">
        <v>17.152388014521602</v>
      </c>
      <c r="D5">
        <v>19.899999999999999</v>
      </c>
      <c r="E5">
        <v>22.383516806943433</v>
      </c>
      <c r="F5">
        <v>18.978321591892229</v>
      </c>
      <c r="G5">
        <v>19.086242124829926</v>
      </c>
    </row>
    <row r="6" spans="1:7">
      <c r="A6" t="s">
        <v>159</v>
      </c>
      <c r="C6">
        <v>3.5538383124196251</v>
      </c>
      <c r="D6">
        <v>5.6</v>
      </c>
      <c r="E6">
        <v>6.3671095378973224</v>
      </c>
      <c r="F6">
        <v>7.6864170065504878</v>
      </c>
      <c r="G6">
        <v>10.80619625784734</v>
      </c>
    </row>
    <row r="7" spans="1:7">
      <c r="A7" t="s">
        <v>216</v>
      </c>
      <c r="B7">
        <v>14.269911186582881</v>
      </c>
      <c r="C7">
        <v>13.087652635992317</v>
      </c>
      <c r="D7">
        <v>10.7</v>
      </c>
      <c r="E7">
        <v>10.11890807263171</v>
      </c>
      <c r="F7">
        <v>9.0144605116796441</v>
      </c>
      <c r="G7">
        <v>7.5164815244906968</v>
      </c>
    </row>
    <row r="8" spans="1:7">
      <c r="A8" t="s">
        <v>478</v>
      </c>
      <c r="B8">
        <v>7.8229578804308781</v>
      </c>
      <c r="C8">
        <v>7.2807293903736703</v>
      </c>
      <c r="D8">
        <v>4.9000000000000004</v>
      </c>
      <c r="E8">
        <v>5.2770576734374988</v>
      </c>
      <c r="F8">
        <v>4.7469534050179218</v>
      </c>
      <c r="G8">
        <v>3.9371656089173395</v>
      </c>
    </row>
    <row r="9" spans="1:7">
      <c r="A9" t="s">
        <v>121</v>
      </c>
      <c r="B9">
        <v>5.2470680321877774</v>
      </c>
      <c r="C9">
        <v>4.0318335974298369</v>
      </c>
      <c r="D9">
        <v>3.7</v>
      </c>
      <c r="E9">
        <v>2.833272834282913</v>
      </c>
      <c r="F9">
        <v>2.9726602977011494</v>
      </c>
      <c r="G9">
        <v>2.9123584576813539</v>
      </c>
    </row>
    <row r="10" spans="1:7">
      <c r="A10" t="s">
        <v>471</v>
      </c>
      <c r="D10">
        <v>0.7</v>
      </c>
      <c r="E10">
        <v>0.71455566094280221</v>
      </c>
      <c r="F10">
        <v>1.6783092324805342</v>
      </c>
      <c r="G10">
        <v>2.0701593385197556</v>
      </c>
    </row>
    <row r="11" spans="1:7">
      <c r="A11" t="s">
        <v>479</v>
      </c>
      <c r="B11">
        <v>1.102009292222289</v>
      </c>
      <c r="C11">
        <v>1.3811322206477346</v>
      </c>
      <c r="D11">
        <v>1.9</v>
      </c>
      <c r="E11">
        <v>1.4505779319858703</v>
      </c>
      <c r="F11">
        <v>1.8114448152267952</v>
      </c>
      <c r="G11">
        <v>1.905771424717873</v>
      </c>
    </row>
    <row r="12" spans="1:7">
      <c r="A12" t="s">
        <v>115</v>
      </c>
      <c r="B12">
        <v>2.0608677912726665</v>
      </c>
      <c r="C12">
        <v>1.6206185125579742</v>
      </c>
      <c r="D12">
        <v>1.8</v>
      </c>
      <c r="E12">
        <v>1.8030257751847116</v>
      </c>
      <c r="F12">
        <v>1.8085774317142502</v>
      </c>
      <c r="G12">
        <v>1.6974314697500283</v>
      </c>
    </row>
    <row r="13" spans="1:7">
      <c r="A13" t="s">
        <v>123</v>
      </c>
      <c r="B13">
        <v>2.3247229127042353</v>
      </c>
      <c r="C13">
        <v>1.813024837360814</v>
      </c>
      <c r="D13">
        <v>2.2000000000000002</v>
      </c>
      <c r="E13">
        <v>1.6235079007247855</v>
      </c>
      <c r="F13">
        <v>1.7248259005710049</v>
      </c>
      <c r="G13">
        <v>1.5721966458510934</v>
      </c>
    </row>
    <row r="14" spans="1:7">
      <c r="A14" t="s">
        <v>192</v>
      </c>
      <c r="B14">
        <v>3.0622096180534606</v>
      </c>
      <c r="C14">
        <v>2.1125521504495905</v>
      </c>
      <c r="D14">
        <v>1.6</v>
      </c>
      <c r="E14">
        <v>1.6262595392248633</v>
      </c>
      <c r="F14">
        <v>1.2322728958101594</v>
      </c>
      <c r="G14">
        <v>1.0056145120558648</v>
      </c>
    </row>
    <row r="15" spans="1:7">
      <c r="A15" t="s">
        <v>445</v>
      </c>
      <c r="C15">
        <v>0.40919009815821239</v>
      </c>
      <c r="D15">
        <v>1.5</v>
      </c>
      <c r="E15">
        <v>0.95356941708550103</v>
      </c>
      <c r="F15">
        <v>0.97738227660363364</v>
      </c>
      <c r="G15">
        <v>0.90233631511733881</v>
      </c>
    </row>
    <row r="16" spans="1:7">
      <c r="A16" t="s">
        <v>120</v>
      </c>
      <c r="B16">
        <v>3.2271472758905038</v>
      </c>
      <c r="C16">
        <v>2.0735479010520228</v>
      </c>
      <c r="D16">
        <v>0.8</v>
      </c>
      <c r="E16">
        <v>0.849608755107782</v>
      </c>
      <c r="F16">
        <v>0.70599907074527257</v>
      </c>
      <c r="G16">
        <v>0.63928631445081063</v>
      </c>
    </row>
    <row r="17" spans="1:7">
      <c r="A17" t="s">
        <v>480</v>
      </c>
      <c r="C17">
        <v>0.99738445991097291</v>
      </c>
      <c r="D17">
        <v>0.83820356158208709</v>
      </c>
      <c r="E17">
        <v>0.64252953494848852</v>
      </c>
      <c r="F17">
        <v>0.61984921517735758</v>
      </c>
      <c r="G17">
        <v>0.57560794284739081</v>
      </c>
    </row>
    <row r="18" spans="1:7">
      <c r="A18" t="s">
        <v>446</v>
      </c>
      <c r="B18">
        <v>0.73930996120155446</v>
      </c>
      <c r="C18">
        <v>0.69770980014693262</v>
      </c>
      <c r="D18">
        <v>0.7</v>
      </c>
      <c r="E18">
        <v>0.60903032497623144</v>
      </c>
      <c r="F18">
        <v>0.53649734272648619</v>
      </c>
      <c r="G18">
        <v>0.47910454811343173</v>
      </c>
    </row>
    <row r="19" spans="1:7">
      <c r="A19" t="s">
        <v>444</v>
      </c>
      <c r="B19">
        <v>0.66229351814339454</v>
      </c>
      <c r="C19">
        <v>0.68635799017557753</v>
      </c>
      <c r="D19">
        <v>0.8</v>
      </c>
      <c r="E19">
        <v>0.85951177019880898</v>
      </c>
      <c r="F19">
        <v>0.81695711284142869</v>
      </c>
      <c r="G19">
        <v>0.43069360422048852</v>
      </c>
    </row>
    <row r="20" spans="1:7">
      <c r="A20" t="s">
        <v>140</v>
      </c>
      <c r="B20">
        <v>0.75208385411728207</v>
      </c>
      <c r="C20">
        <v>0.62795850535184294</v>
      </c>
      <c r="D20">
        <v>0.6</v>
      </c>
      <c r="E20">
        <v>0.45509213412563959</v>
      </c>
      <c r="F20">
        <v>0.4053887034977135</v>
      </c>
      <c r="G20">
        <v>0.38059919705307282</v>
      </c>
    </row>
    <row r="21" spans="1:7">
      <c r="A21" t="s">
        <v>451</v>
      </c>
      <c r="B21">
        <v>0.6555671444949186</v>
      </c>
      <c r="C21">
        <v>0.49558052167536165</v>
      </c>
      <c r="D21">
        <v>0.5</v>
      </c>
      <c r="E21">
        <v>0.39710969042323679</v>
      </c>
      <c r="F21">
        <v>0.33488073167717219</v>
      </c>
      <c r="G21">
        <v>0.296562530351695</v>
      </c>
    </row>
    <row r="22" spans="1:7">
      <c r="A22" t="s">
        <v>168</v>
      </c>
      <c r="B22">
        <v>9.7404556464473199E-2</v>
      </c>
      <c r="C22">
        <v>0.14081493756374661</v>
      </c>
      <c r="D22">
        <v>0.16416805743090268</v>
      </c>
      <c r="E22">
        <v>0.21472259208187139</v>
      </c>
      <c r="F22">
        <v>0.24451860091459646</v>
      </c>
      <c r="G22">
        <v>0.26798915369307813</v>
      </c>
    </row>
    <row r="23" spans="1:7">
      <c r="A23" t="s">
        <v>481</v>
      </c>
      <c r="B23">
        <v>0.46252759433140567</v>
      </c>
      <c r="C23">
        <v>0.35812552617576637</v>
      </c>
      <c r="D23">
        <v>0.4</v>
      </c>
      <c r="E23">
        <v>0.30505182774062234</v>
      </c>
      <c r="F23">
        <v>0.26696329254727474</v>
      </c>
      <c r="G23">
        <v>0.26389424302544195</v>
      </c>
    </row>
    <row r="24" spans="1:7">
      <c r="A24" t="s">
        <v>482</v>
      </c>
      <c r="B24">
        <v>0.48078878215294729</v>
      </c>
      <c r="C24">
        <v>0.41987303278591093</v>
      </c>
      <c r="D24">
        <v>0.36769742676765194</v>
      </c>
      <c r="E24">
        <v>0.31341951780262933</v>
      </c>
      <c r="F24">
        <v>0.27929149526037061</v>
      </c>
      <c r="G24">
        <v>0.2566979677262054</v>
      </c>
    </row>
    <row r="25" spans="1:7">
      <c r="A25" t="s">
        <v>483</v>
      </c>
      <c r="B25">
        <v>0.44450283633008342</v>
      </c>
      <c r="C25">
        <v>0.40340742365705168</v>
      </c>
      <c r="D25">
        <v>0.3</v>
      </c>
      <c r="E25">
        <v>0.30112855632017327</v>
      </c>
      <c r="F25">
        <v>0.26317852437996464</v>
      </c>
      <c r="G25">
        <v>0.25176146834685531</v>
      </c>
    </row>
    <row r="26" spans="1:7">
      <c r="A26" t="s">
        <v>455</v>
      </c>
      <c r="B26">
        <v>0.19332549643280955</v>
      </c>
      <c r="C26">
        <v>0.18265252665601403</v>
      </c>
      <c r="D26">
        <v>0.17271740351636947</v>
      </c>
      <c r="E26">
        <v>0.13796122000394309</v>
      </c>
      <c r="F26">
        <v>0.14613343962427389</v>
      </c>
      <c r="G26">
        <v>0.18953011931308011</v>
      </c>
    </row>
    <row r="27" spans="1:7">
      <c r="A27" t="s">
        <v>484</v>
      </c>
      <c r="B27">
        <v>0.32657351240577559</v>
      </c>
      <c r="C27">
        <v>0.29638096431946653</v>
      </c>
      <c r="D27">
        <v>0.25955112477716602</v>
      </c>
      <c r="E27">
        <v>0.22123730668420893</v>
      </c>
      <c r="F27">
        <v>0.19335565056487197</v>
      </c>
      <c r="G27">
        <v>0.1678409788979035</v>
      </c>
    </row>
    <row r="28" spans="1:7">
      <c r="A28" t="s">
        <v>485</v>
      </c>
      <c r="F28">
        <v>0.15340055456226864</v>
      </c>
      <c r="G28">
        <v>0.13407924187393483</v>
      </c>
    </row>
    <row r="29" spans="1:7">
      <c r="A29" t="s">
        <v>486</v>
      </c>
      <c r="B29">
        <v>0.30672378768679981</v>
      </c>
      <c r="C29">
        <v>0.23228559132137133</v>
      </c>
      <c r="D29">
        <v>0.2</v>
      </c>
      <c r="E29">
        <v>0.14663389430858026</v>
      </c>
      <c r="F29">
        <v>0.1371400321344704</v>
      </c>
      <c r="G29">
        <v>0.11096297929145651</v>
      </c>
    </row>
    <row r="30" spans="1:7">
      <c r="A30" t="s">
        <v>453</v>
      </c>
      <c r="C30">
        <v>0.36811360658556308</v>
      </c>
      <c r="D30">
        <v>0.3</v>
      </c>
      <c r="E30">
        <v>0.15817105804200846</v>
      </c>
      <c r="F30">
        <v>0.11465884958618039</v>
      </c>
      <c r="G30">
        <v>8.8403875961194672E-2</v>
      </c>
    </row>
    <row r="31" spans="1:7">
      <c r="A31" t="s">
        <v>343</v>
      </c>
      <c r="B31">
        <v>13.586921117086526</v>
      </c>
      <c r="C31">
        <v>10.160271745279569</v>
      </c>
      <c r="D31">
        <v>8.1550331676488241</v>
      </c>
      <c r="E31">
        <v>6.2311248067112945</v>
      </c>
      <c r="F31">
        <v>6.1507058326269144</v>
      </c>
      <c r="G31">
        <v>0.18953011931308011</v>
      </c>
    </row>
    <row r="33" spans="1:7">
      <c r="A33" t="s">
        <v>457</v>
      </c>
      <c r="B33">
        <v>13907.915191</v>
      </c>
      <c r="C33">
        <v>15311.139883</v>
      </c>
      <c r="D33">
        <v>14640.631507999999</v>
      </c>
      <c r="E33">
        <v>18095.567445999997</v>
      </c>
      <c r="F33">
        <v>20061.04</v>
      </c>
      <c r="G33">
        <v>21978.501438702562</v>
      </c>
    </row>
    <row r="34" spans="1:7">
      <c r="A34" t="s">
        <v>458</v>
      </c>
      <c r="B34">
        <v>37.273692437211416</v>
      </c>
      <c r="C34">
        <v>45.768857369537017</v>
      </c>
      <c r="D34">
        <v>52.1</v>
      </c>
      <c r="E34">
        <v>55.20285664089355</v>
      </c>
      <c r="F34">
        <v>54.977777777777789</v>
      </c>
      <c r="G34">
        <v>56.502760366236728</v>
      </c>
    </row>
    <row r="35" spans="1:7">
      <c r="A35" t="s">
        <v>143</v>
      </c>
      <c r="B35">
        <v>59.366561504225174</v>
      </c>
      <c r="C35">
        <v>66.137239395902995</v>
      </c>
      <c r="D35">
        <v>68.400000000000006</v>
      </c>
      <c r="E35">
        <v>71.688874251422575</v>
      </c>
      <c r="F35">
        <v>71.678655296007918</v>
      </c>
      <c r="G35">
        <v>74.825438148574761</v>
      </c>
    </row>
    <row r="36" spans="1:7">
      <c r="A36" t="s">
        <v>144</v>
      </c>
      <c r="B36">
        <v>77.227761062294675</v>
      </c>
      <c r="C36">
        <v>81.617980981278919</v>
      </c>
      <c r="D36">
        <v>85.018973338952179</v>
      </c>
      <c r="E36">
        <v>86.302575906263215</v>
      </c>
      <c r="F36">
        <v>86.421426378719573</v>
      </c>
      <c r="G36">
        <v>93.167374502901779</v>
      </c>
    </row>
    <row r="37" spans="1:7">
      <c r="A37" t="s">
        <v>345</v>
      </c>
      <c r="B37">
        <v>1101.1065333008166</v>
      </c>
      <c r="C37">
        <v>1388.3603434526908</v>
      </c>
      <c r="D37">
        <v>1647.5419424384745</v>
      </c>
      <c r="E37">
        <v>1772.2378960316535</v>
      </c>
      <c r="F37">
        <v>1845.2861990826814</v>
      </c>
      <c r="G37">
        <v>1978.4797619517749</v>
      </c>
    </row>
    <row r="39" spans="1:7">
      <c r="A39" t="s">
        <v>487</v>
      </c>
    </row>
    <row r="64" spans="2:2"/>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207AC-5966-C141-9DB1-948C50425D78}">
  <dimension ref="A1:V6"/>
  <sheetViews>
    <sheetView zoomScale="40" zoomScaleNormal="40" workbookViewId="0"/>
  </sheetViews>
  <sheetFormatPr baseColWidth="10" defaultColWidth="11.83203125" defaultRowHeight="16"/>
  <cols>
    <col min="1" max="1" width="40.5" customWidth="1"/>
    <col min="2" max="2" width="21.83203125" customWidth="1"/>
    <col min="5" max="5" width="10.1640625" bestFit="1" customWidth="1"/>
    <col min="17" max="17" width="11.83203125" customWidth="1"/>
    <col min="22" max="22" width="12.1640625" bestFit="1" customWidth="1"/>
    <col min="25" max="25" width="12.1640625" bestFit="1" customWidth="1"/>
  </cols>
  <sheetData>
    <row r="1" spans="1:22" ht="18" customHeight="1">
      <c r="A1" t="s">
        <v>731</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142</v>
      </c>
      <c r="B3">
        <v>45.6205069028602</v>
      </c>
      <c r="C3">
        <v>40.355921014453479</v>
      </c>
      <c r="D3">
        <v>38.100660929832451</v>
      </c>
      <c r="E3">
        <v>33.15868537720295</v>
      </c>
      <c r="F3">
        <v>34.804234714491557</v>
      </c>
      <c r="G3">
        <v>30.707825565322672</v>
      </c>
      <c r="H3">
        <v>26.625609091760232</v>
      </c>
      <c r="I3">
        <v>27.320996878506172</v>
      </c>
      <c r="J3">
        <v>28.626776093738805</v>
      </c>
      <c r="K3">
        <v>27.628594929240496</v>
      </c>
      <c r="L3">
        <v>28.509716655570106</v>
      </c>
      <c r="M3">
        <v>31.250128087108763</v>
      </c>
      <c r="N3">
        <v>27.559014826937865</v>
      </c>
      <c r="O3">
        <v>27.047973470949483</v>
      </c>
      <c r="P3">
        <v>27.551845134051796</v>
      </c>
      <c r="Q3">
        <v>26.53029493309252</v>
      </c>
      <c r="R3">
        <v>26.04</v>
      </c>
      <c r="S3">
        <v>25.954088787659575</v>
      </c>
      <c r="T3">
        <v>24.361363744563363</v>
      </c>
      <c r="U3">
        <v>23.454240056887773</v>
      </c>
      <c r="V3">
        <v>22.805939979903027</v>
      </c>
    </row>
    <row r="4" spans="1:22">
      <c r="A4" t="s">
        <v>143</v>
      </c>
      <c r="B4">
        <v>63.650392095166517</v>
      </c>
      <c r="C4">
        <v>58.456639290747738</v>
      </c>
      <c r="D4">
        <v>55.569918049598805</v>
      </c>
      <c r="E4">
        <v>54.393224920916545</v>
      </c>
      <c r="F4">
        <v>59.225268215951985</v>
      </c>
      <c r="G4">
        <v>59.178445524071719</v>
      </c>
      <c r="H4">
        <v>62.636383949659148</v>
      </c>
      <c r="I4">
        <v>65.410496958582812</v>
      </c>
      <c r="J4">
        <v>67.166752753413391</v>
      </c>
      <c r="K4">
        <v>66.184685093819397</v>
      </c>
      <c r="L4">
        <v>67.471546147147407</v>
      </c>
      <c r="M4">
        <v>70.063110116604506</v>
      </c>
      <c r="N4">
        <v>66.780177903639967</v>
      </c>
      <c r="O4">
        <v>66.701032067421153</v>
      </c>
      <c r="P4">
        <v>66.768612776066803</v>
      </c>
      <c r="Q4">
        <v>66.149663636028194</v>
      </c>
      <c r="R4">
        <v>57.315552881014064</v>
      </c>
      <c r="S4">
        <v>63.389851890062133</v>
      </c>
      <c r="T4">
        <v>61.149682915512564</v>
      </c>
      <c r="U4">
        <v>60.765901919667876</v>
      </c>
      <c r="V4">
        <v>66.436712430300673</v>
      </c>
    </row>
    <row r="5" spans="1:22">
      <c r="A5" t="s">
        <v>368</v>
      </c>
      <c r="B5">
        <v>4.5318758815015219</v>
      </c>
      <c r="C5">
        <v>2.195501684750333</v>
      </c>
      <c r="D5">
        <v>3.3972879287248943</v>
      </c>
      <c r="E5">
        <v>8.710735231113695</v>
      </c>
      <c r="F5">
        <v>45.451284551588842</v>
      </c>
      <c r="G5">
        <v>49.233900235721322</v>
      </c>
      <c r="H5">
        <v>26.5</v>
      </c>
      <c r="I5">
        <v>29.15</v>
      </c>
      <c r="J5">
        <v>57.91025102828862</v>
      </c>
      <c r="K5">
        <v>56.668096645192676</v>
      </c>
      <c r="L5">
        <v>57.470069308462143</v>
      </c>
      <c r="M5">
        <v>59.656321499830156</v>
      </c>
      <c r="N5">
        <v>55.626060709714473</v>
      </c>
      <c r="O5">
        <v>55.590073913693452</v>
      </c>
      <c r="P5">
        <v>55.505776251294748</v>
      </c>
      <c r="Q5">
        <v>54.539811715559175</v>
      </c>
      <c r="R5">
        <v>53.062454919185043</v>
      </c>
      <c r="S5">
        <v>52.723335871485709</v>
      </c>
      <c r="T5">
        <v>49.803142811335356</v>
      </c>
      <c r="U5">
        <v>48.480984654045692</v>
      </c>
      <c r="V5">
        <v>45.977008114935302</v>
      </c>
    </row>
    <row r="6" spans="1:22">
      <c r="A6" t="s">
        <v>579</v>
      </c>
      <c r="H6">
        <v>1.2182984976611595</v>
      </c>
      <c r="I6">
        <v>1.4610166454504323</v>
      </c>
      <c r="J6">
        <v>2.3998678579146984</v>
      </c>
      <c r="K6">
        <v>2.7949365231155774</v>
      </c>
      <c r="L6">
        <v>3.2364309865908543</v>
      </c>
      <c r="M6">
        <v>4.8469687555844159</v>
      </c>
      <c r="N6">
        <v>6.0272738081892552</v>
      </c>
      <c r="O6">
        <v>7.21</v>
      </c>
      <c r="P6">
        <v>9.1004684442083601</v>
      </c>
      <c r="Q6">
        <v>9.7762019350692437</v>
      </c>
      <c r="R6">
        <v>11.600661843203529</v>
      </c>
      <c r="S6">
        <v>13.358566569933938</v>
      </c>
      <c r="T6">
        <v>16.004657525511643</v>
      </c>
      <c r="U6">
        <v>16.562019254697631</v>
      </c>
      <c r="V6">
        <v>18.875861004753826</v>
      </c>
    </row>
  </sheetData>
  <pageMargins left="0.7" right="0.7" top="0.75" bottom="0.75" header="0.3" footer="0.3"/>
  <pageSetup orientation="portrait" verticalDpi="0" r:id="rId1"/>
  <headerFooter>
    <oddHeader>&amp;R&amp;"Calibri"&amp;12&amp;K000000 Unclassified / Non classifié&amp;1#_x000D_</oddHead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BA6B-6DD5-704A-94F4-37FD95A31F50}">
  <dimension ref="A1:V143"/>
  <sheetViews>
    <sheetView zoomScale="55" zoomScaleNormal="55" workbookViewId="0"/>
  </sheetViews>
  <sheetFormatPr baseColWidth="10" defaultColWidth="11" defaultRowHeight="16"/>
  <cols>
    <col min="1" max="1" width="37.33203125" customWidth="1"/>
    <col min="2" max="26" width="12.33203125" customWidth="1"/>
  </cols>
  <sheetData>
    <row r="1" spans="1:22">
      <c r="A1" t="s">
        <v>732</v>
      </c>
    </row>
    <row r="2" spans="1:22" ht="17" customHeight="1">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645</v>
      </c>
      <c r="B3">
        <v>526.20000000000005</v>
      </c>
      <c r="C3">
        <v>627.9</v>
      </c>
      <c r="D3">
        <v>724.5</v>
      </c>
      <c r="E3">
        <v>763.8</v>
      </c>
      <c r="F3">
        <v>984.9</v>
      </c>
      <c r="G3">
        <v>1208.0999999999999</v>
      </c>
      <c r="H3">
        <v>1560.03</v>
      </c>
      <c r="I3">
        <v>1664.21</v>
      </c>
      <c r="J3">
        <v>1735.61</v>
      </c>
      <c r="K3">
        <v>1719.64</v>
      </c>
      <c r="L3">
        <v>1719.28</v>
      </c>
      <c r="M3">
        <v>1615.3</v>
      </c>
      <c r="N3">
        <v>1608.5</v>
      </c>
      <c r="O3">
        <v>1550.6</v>
      </c>
      <c r="P3">
        <v>1520.8</v>
      </c>
      <c r="Q3">
        <v>1512.3</v>
      </c>
      <c r="R3">
        <v>1452.2</v>
      </c>
      <c r="S3">
        <v>1149.8499999999999</v>
      </c>
      <c r="T3">
        <v>1073.74</v>
      </c>
      <c r="U3">
        <v>1109.93</v>
      </c>
      <c r="V3">
        <v>1103.79</v>
      </c>
    </row>
    <row r="4" spans="1:22">
      <c r="A4" t="s">
        <v>644</v>
      </c>
      <c r="B4">
        <v>243</v>
      </c>
      <c r="C4">
        <v>267</v>
      </c>
      <c r="D4">
        <v>261.39999999999998</v>
      </c>
      <c r="E4">
        <v>279.60000000000002</v>
      </c>
      <c r="F4">
        <v>271.3</v>
      </c>
      <c r="G4">
        <v>305.8</v>
      </c>
      <c r="H4">
        <v>396.6</v>
      </c>
      <c r="I4">
        <v>358.3</v>
      </c>
      <c r="J4">
        <v>327.3</v>
      </c>
      <c r="K4">
        <v>316.5</v>
      </c>
      <c r="L4">
        <v>309.5</v>
      </c>
      <c r="M4">
        <v>291.7</v>
      </c>
      <c r="N4">
        <v>268.89999999999998</v>
      </c>
      <c r="O4">
        <v>280.95999999999998</v>
      </c>
      <c r="P4">
        <v>314.10000000000002</v>
      </c>
      <c r="Q4">
        <v>348.2</v>
      </c>
      <c r="R4">
        <v>362.8</v>
      </c>
      <c r="S4">
        <v>371.7</v>
      </c>
      <c r="T4">
        <v>392.7</v>
      </c>
      <c r="U4">
        <v>358.5</v>
      </c>
      <c r="V4">
        <v>375</v>
      </c>
    </row>
    <row r="5" spans="1:22">
      <c r="A5" t="s">
        <v>643</v>
      </c>
      <c r="H5">
        <v>122.01234427968981</v>
      </c>
      <c r="I5">
        <v>189.48010421278784</v>
      </c>
      <c r="J5">
        <v>238.38900000000001</v>
      </c>
      <c r="K5">
        <v>259.60000000000002</v>
      </c>
      <c r="L5">
        <v>232.34544</v>
      </c>
      <c r="M5">
        <v>262.80200000000002</v>
      </c>
      <c r="N5">
        <v>298.25599999999997</v>
      </c>
      <c r="O5">
        <v>287.62800000000004</v>
      </c>
      <c r="P5">
        <v>422.16971227722769</v>
      </c>
      <c r="Q5">
        <v>467.31881683168314</v>
      </c>
      <c r="R5">
        <v>486.9069162376237</v>
      </c>
      <c r="S5">
        <v>487.84261237623758</v>
      </c>
      <c r="T5">
        <v>470.17245000000003</v>
      </c>
      <c r="U5">
        <v>531.73367138613855</v>
      </c>
      <c r="V5">
        <v>520.69000000000005</v>
      </c>
    </row>
    <row r="6" spans="1:22" ht="15" customHeight="1">
      <c r="A6" t="s">
        <v>642</v>
      </c>
      <c r="B6">
        <f t="shared" ref="B6:V6" si="0">SUM(B3:B5)</f>
        <v>769.2</v>
      </c>
      <c r="C6">
        <f t="shared" si="0"/>
        <v>894.9</v>
      </c>
      <c r="D6">
        <f t="shared" si="0"/>
        <v>985.9</v>
      </c>
      <c r="E6">
        <f t="shared" si="0"/>
        <v>1043.4000000000001</v>
      </c>
      <c r="F6">
        <f t="shared" si="0"/>
        <v>1256.2</v>
      </c>
      <c r="G6">
        <f t="shared" si="0"/>
        <v>1513.8999999999999</v>
      </c>
      <c r="H6">
        <f t="shared" si="0"/>
        <v>2078.64234427969</v>
      </c>
      <c r="I6">
        <f t="shared" si="0"/>
        <v>2211.9901042127876</v>
      </c>
      <c r="J6">
        <f t="shared" si="0"/>
        <v>2301.299</v>
      </c>
      <c r="K6">
        <f t="shared" si="0"/>
        <v>2295.7400000000002</v>
      </c>
      <c r="L6">
        <f t="shared" si="0"/>
        <v>2261.1254399999998</v>
      </c>
      <c r="M6">
        <f t="shared" si="0"/>
        <v>2169.8020000000001</v>
      </c>
      <c r="N6">
        <f t="shared" si="0"/>
        <v>2175.6559999999999</v>
      </c>
      <c r="O6">
        <f t="shared" si="0"/>
        <v>2119.1880000000001</v>
      </c>
      <c r="P6">
        <f t="shared" si="0"/>
        <v>2257.0697122772276</v>
      </c>
      <c r="Q6">
        <f t="shared" si="0"/>
        <v>2327.8188168316833</v>
      </c>
      <c r="R6">
        <f t="shared" si="0"/>
        <v>2301.9069162376236</v>
      </c>
      <c r="S6">
        <f t="shared" si="0"/>
        <v>2009.3926123762376</v>
      </c>
      <c r="T6">
        <f t="shared" si="0"/>
        <v>1936.6124500000001</v>
      </c>
      <c r="U6">
        <f t="shared" si="0"/>
        <v>2000.1636713861385</v>
      </c>
      <c r="V6">
        <f t="shared" si="0"/>
        <v>1999.48</v>
      </c>
    </row>
    <row r="7" spans="1:22" ht="15" customHeight="1"/>
    <row r="8" spans="1:22" ht="15" customHeight="1"/>
    <row r="10" spans="1:22" ht="15" customHeight="1"/>
    <row r="11" spans="1:22" ht="20" customHeight="1"/>
    <row r="110" spans="1:14">
      <c r="A110" t="s">
        <v>641</v>
      </c>
      <c r="B110" t="s">
        <v>640</v>
      </c>
      <c r="C110" t="s">
        <v>639</v>
      </c>
      <c r="D110" t="s">
        <v>638</v>
      </c>
      <c r="E110" t="s">
        <v>637</v>
      </c>
      <c r="F110" t="s">
        <v>636</v>
      </c>
      <c r="G110" t="s">
        <v>635</v>
      </c>
      <c r="H110" t="s">
        <v>634</v>
      </c>
      <c r="I110" t="s">
        <v>633</v>
      </c>
      <c r="J110" t="s">
        <v>632</v>
      </c>
      <c r="K110" t="s">
        <v>631</v>
      </c>
      <c r="L110" t="s">
        <v>630</v>
      </c>
      <c r="M110" t="s">
        <v>629</v>
      </c>
      <c r="N110" t="s">
        <v>628</v>
      </c>
    </row>
    <row r="111" spans="1:14">
      <c r="A111" t="s">
        <v>67</v>
      </c>
      <c r="B111" t="s">
        <v>167</v>
      </c>
      <c r="C111" t="s">
        <v>167</v>
      </c>
      <c r="D111" t="s">
        <v>627</v>
      </c>
      <c r="E111">
        <v>7712</v>
      </c>
      <c r="F111">
        <v>44</v>
      </c>
      <c r="G111">
        <v>1340</v>
      </c>
      <c r="H111">
        <v>0</v>
      </c>
      <c r="I111">
        <v>6372</v>
      </c>
      <c r="J111">
        <v>41055</v>
      </c>
      <c r="K111">
        <v>52584</v>
      </c>
      <c r="L111">
        <v>93639</v>
      </c>
      <c r="N111" t="s">
        <v>626</v>
      </c>
    </row>
    <row r="114" spans="1:10">
      <c r="A114" t="s">
        <v>625</v>
      </c>
    </row>
    <row r="115" spans="1:10">
      <c r="B115">
        <v>2014</v>
      </c>
      <c r="C115">
        <v>2015</v>
      </c>
      <c r="D115">
        <v>2016</v>
      </c>
      <c r="E115">
        <v>2017</v>
      </c>
      <c r="F115">
        <v>2018</v>
      </c>
      <c r="G115">
        <v>2019</v>
      </c>
      <c r="H115">
        <v>2020</v>
      </c>
      <c r="I115">
        <v>2021</v>
      </c>
      <c r="J115">
        <v>2022</v>
      </c>
    </row>
    <row r="116" spans="1:10">
      <c r="A116" t="s">
        <v>624</v>
      </c>
      <c r="B116">
        <v>44.165999999999997</v>
      </c>
      <c r="C116">
        <v>47.738</v>
      </c>
      <c r="D116">
        <v>53.536000000000001</v>
      </c>
      <c r="E116">
        <v>56.128999999999998</v>
      </c>
      <c r="F116">
        <v>59.247999999999998</v>
      </c>
      <c r="G116">
        <v>121.919</v>
      </c>
      <c r="H116">
        <v>209.84299999999999</v>
      </c>
      <c r="I116">
        <v>150.72900000000001</v>
      </c>
      <c r="J116">
        <v>177.739</v>
      </c>
    </row>
    <row r="117" spans="1:10">
      <c r="A117" t="s">
        <v>623</v>
      </c>
      <c r="D117">
        <v>89.944000000000003</v>
      </c>
      <c r="E117">
        <v>101.501</v>
      </c>
      <c r="F117">
        <v>130.214</v>
      </c>
      <c r="G117">
        <v>146.74100000000001</v>
      </c>
      <c r="H117">
        <v>154.46600000000001</v>
      </c>
      <c r="I117">
        <v>150.047</v>
      </c>
      <c r="J117">
        <v>159.08199999999999</v>
      </c>
    </row>
    <row r="118" spans="1:10">
      <c r="A118" t="s">
        <v>622</v>
      </c>
      <c r="G118">
        <v>152</v>
      </c>
      <c r="H118">
        <v>123.1</v>
      </c>
      <c r="I118">
        <v>113.7</v>
      </c>
      <c r="J118">
        <v>125.38</v>
      </c>
    </row>
    <row r="119" spans="1:10">
      <c r="A119" t="s">
        <v>621</v>
      </c>
      <c r="G119">
        <v>65.27</v>
      </c>
      <c r="H119">
        <v>152.255</v>
      </c>
      <c r="I119">
        <v>97.81</v>
      </c>
      <c r="J119">
        <v>123.544</v>
      </c>
    </row>
    <row r="120" spans="1:10">
      <c r="A120" t="s">
        <v>620</v>
      </c>
      <c r="G120">
        <f>G116-G118</f>
        <v>-30.081000000000003</v>
      </c>
      <c r="H120">
        <f>H116-H118</f>
        <v>86.742999999999995</v>
      </c>
      <c r="I120">
        <f>I116-I118</f>
        <v>37.029000000000011</v>
      </c>
      <c r="J120">
        <f>J116-J118</f>
        <v>52.359000000000009</v>
      </c>
    </row>
    <row r="121" spans="1:10">
      <c r="A121" t="s">
        <v>619</v>
      </c>
      <c r="B121">
        <v>44.165999999999997</v>
      </c>
      <c r="C121">
        <v>47.738</v>
      </c>
      <c r="D121">
        <v>53.536000000000001</v>
      </c>
      <c r="E121">
        <v>56.128999999999998</v>
      </c>
      <c r="F121">
        <v>59.247999999999998</v>
      </c>
      <c r="G121">
        <f>G116-G119</f>
        <v>56.649000000000001</v>
      </c>
      <c r="H121">
        <f>H116-H119</f>
        <v>57.587999999999994</v>
      </c>
      <c r="I121">
        <f>I116-I119</f>
        <v>52.919000000000011</v>
      </c>
      <c r="J121">
        <f>J116-J119</f>
        <v>54.195000000000007</v>
      </c>
    </row>
    <row r="123" spans="1:10">
      <c r="B123">
        <v>2014</v>
      </c>
      <c r="C123">
        <v>2015</v>
      </c>
      <c r="D123">
        <v>2016</v>
      </c>
      <c r="E123">
        <v>2017</v>
      </c>
      <c r="F123">
        <v>2018</v>
      </c>
      <c r="G123">
        <v>2019</v>
      </c>
      <c r="H123">
        <v>2020</v>
      </c>
      <c r="I123">
        <v>2021</v>
      </c>
      <c r="J123">
        <v>2022</v>
      </c>
    </row>
    <row r="124" spans="1:10">
      <c r="A124" t="s">
        <v>619</v>
      </c>
      <c r="B124">
        <v>44.165999999999997</v>
      </c>
      <c r="C124">
        <v>47.738</v>
      </c>
      <c r="D124">
        <v>53.536000000000001</v>
      </c>
      <c r="E124">
        <v>56.128999999999998</v>
      </c>
      <c r="F124">
        <v>59.247999999999998</v>
      </c>
      <c r="G124">
        <v>56.649000000000001</v>
      </c>
      <c r="H124">
        <v>57.587999999999994</v>
      </c>
      <c r="I124">
        <v>52.919000000000011</v>
      </c>
      <c r="J124">
        <v>54.195000000000007</v>
      </c>
    </row>
    <row r="125" spans="1:10">
      <c r="A125" t="s">
        <v>618</v>
      </c>
      <c r="C125">
        <v>3.97</v>
      </c>
      <c r="D125">
        <v>4.9000000000000004</v>
      </c>
      <c r="E125">
        <v>4.79</v>
      </c>
      <c r="F125">
        <v>4.22</v>
      </c>
      <c r="G125">
        <v>2.6</v>
      </c>
      <c r="H125">
        <v>3.54</v>
      </c>
      <c r="I125">
        <v>4.8</v>
      </c>
      <c r="J125">
        <f>AVERAGE(E125:I125)</f>
        <v>3.9899999999999998</v>
      </c>
    </row>
    <row r="126" spans="1:10">
      <c r="A126" t="s">
        <v>617</v>
      </c>
      <c r="B126">
        <f t="shared" ref="B126:J126" si="1">B121-B125</f>
        <v>44.165999999999997</v>
      </c>
      <c r="C126">
        <f t="shared" si="1"/>
        <v>43.768000000000001</v>
      </c>
      <c r="D126">
        <f t="shared" si="1"/>
        <v>48.636000000000003</v>
      </c>
      <c r="E126">
        <f t="shared" si="1"/>
        <v>51.338999999999999</v>
      </c>
      <c r="F126">
        <f t="shared" si="1"/>
        <v>55.027999999999999</v>
      </c>
      <c r="G126">
        <f t="shared" si="1"/>
        <v>54.048999999999999</v>
      </c>
      <c r="H126">
        <f t="shared" si="1"/>
        <v>54.047999999999995</v>
      </c>
      <c r="I126">
        <f t="shared" si="1"/>
        <v>48.119000000000014</v>
      </c>
      <c r="J126">
        <f t="shared" si="1"/>
        <v>50.205000000000005</v>
      </c>
    </row>
    <row r="127" spans="1:10">
      <c r="A127" t="s">
        <v>616</v>
      </c>
      <c r="C127">
        <v>43.8</v>
      </c>
      <c r="D127">
        <v>48.6</v>
      </c>
      <c r="E127">
        <v>51.3</v>
      </c>
      <c r="F127">
        <v>55</v>
      </c>
      <c r="G127">
        <v>53.8</v>
      </c>
      <c r="H127">
        <v>53.7</v>
      </c>
      <c r="I127">
        <v>47.1</v>
      </c>
    </row>
    <row r="130" spans="1:10">
      <c r="A130" t="s">
        <v>615</v>
      </c>
    </row>
    <row r="131" spans="1:10">
      <c r="B131">
        <v>2014</v>
      </c>
      <c r="C131">
        <v>2015</v>
      </c>
      <c r="D131">
        <v>2016</v>
      </c>
      <c r="E131">
        <v>2017</v>
      </c>
      <c r="F131">
        <v>2018</v>
      </c>
      <c r="G131">
        <v>2019</v>
      </c>
      <c r="H131">
        <v>2020</v>
      </c>
      <c r="I131">
        <v>2021</v>
      </c>
      <c r="J131">
        <v>2022</v>
      </c>
    </row>
    <row r="132" spans="1:10">
      <c r="A132" t="s">
        <v>614</v>
      </c>
      <c r="C132">
        <v>3969051</v>
      </c>
      <c r="D132">
        <v>4917499</v>
      </c>
      <c r="E132">
        <v>4790104</v>
      </c>
      <c r="F132">
        <v>4224530</v>
      </c>
      <c r="G132">
        <v>2599752</v>
      </c>
    </row>
    <row r="133" spans="1:10">
      <c r="A133" t="s">
        <v>613</v>
      </c>
      <c r="I133">
        <v>57</v>
      </c>
    </row>
    <row r="134" spans="1:10">
      <c r="A134" t="s">
        <v>612</v>
      </c>
      <c r="G134">
        <v>16840</v>
      </c>
      <c r="H134">
        <v>12457</v>
      </c>
    </row>
    <row r="135" spans="1:10">
      <c r="A135" t="s">
        <v>611</v>
      </c>
      <c r="G135">
        <v>92650</v>
      </c>
      <c r="H135">
        <v>112186</v>
      </c>
      <c r="I135">
        <v>143001</v>
      </c>
    </row>
    <row r="136" spans="1:10">
      <c r="A136" t="s">
        <v>610</v>
      </c>
      <c r="G136">
        <v>60772</v>
      </c>
      <c r="H136">
        <v>98383</v>
      </c>
      <c r="I136">
        <v>40785</v>
      </c>
    </row>
    <row r="137" spans="1:10">
      <c r="A137" t="s">
        <v>609</v>
      </c>
      <c r="H137">
        <v>0</v>
      </c>
      <c r="I137">
        <v>4208</v>
      </c>
    </row>
    <row r="138" spans="1:10">
      <c r="A138" t="s">
        <v>608</v>
      </c>
      <c r="G138">
        <v>81666</v>
      </c>
      <c r="H138">
        <v>110006</v>
      </c>
      <c r="I138">
        <v>809457</v>
      </c>
    </row>
    <row r="139" spans="1:10">
      <c r="A139" t="s">
        <v>607</v>
      </c>
      <c r="G139">
        <v>31281</v>
      </c>
      <c r="H139">
        <v>36747</v>
      </c>
      <c r="I139">
        <v>66513</v>
      </c>
    </row>
    <row r="140" spans="1:10">
      <c r="A140" t="s">
        <v>39</v>
      </c>
      <c r="C140">
        <f t="shared" ref="C140:I140" si="2">SUM(C132:C139)</f>
        <v>3969051</v>
      </c>
      <c r="D140">
        <f t="shared" si="2"/>
        <v>4917499</v>
      </c>
      <c r="E140">
        <f t="shared" si="2"/>
        <v>4790104</v>
      </c>
      <c r="F140">
        <f t="shared" si="2"/>
        <v>4224530</v>
      </c>
      <c r="G140">
        <f t="shared" si="2"/>
        <v>2882961</v>
      </c>
      <c r="H140">
        <f t="shared" si="2"/>
        <v>369779</v>
      </c>
      <c r="I140">
        <f t="shared" si="2"/>
        <v>1064021</v>
      </c>
    </row>
    <row r="141" spans="1:10">
      <c r="A141" t="s">
        <v>606</v>
      </c>
      <c r="C141">
        <v>43800000</v>
      </c>
      <c r="D141">
        <v>48600000</v>
      </c>
      <c r="E141">
        <v>51300000</v>
      </c>
      <c r="F141">
        <v>55000000</v>
      </c>
      <c r="G141">
        <v>53800000</v>
      </c>
      <c r="H141">
        <v>53700000</v>
      </c>
      <c r="I141">
        <v>47100000</v>
      </c>
    </row>
    <row r="143" spans="1:10">
      <c r="A143" t="s">
        <v>605</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4CC8-68EC-2B45-B5D9-D5D6DA1FCDA5}">
  <dimension ref="A1:N15"/>
  <sheetViews>
    <sheetView zoomScale="70" zoomScaleNormal="70" workbookViewId="0"/>
  </sheetViews>
  <sheetFormatPr baseColWidth="10" defaultColWidth="11" defaultRowHeight="16"/>
  <cols>
    <col min="1" max="1" width="35" customWidth="1"/>
    <col min="2" max="2" width="8.1640625" customWidth="1"/>
    <col min="3" max="5" width="9" bestFit="1" customWidth="1"/>
    <col min="6" max="14" width="11" customWidth="1"/>
    <col min="17" max="17" width="13.33203125" customWidth="1"/>
    <col min="20" max="20" width="16.6640625" customWidth="1"/>
  </cols>
  <sheetData>
    <row r="1" spans="1:14" ht="16" customHeight="1">
      <c r="A1" t="s">
        <v>733</v>
      </c>
    </row>
    <row r="2" spans="1:14">
      <c r="B2">
        <v>2011</v>
      </c>
      <c r="C2">
        <v>2012</v>
      </c>
      <c r="D2">
        <v>2013</v>
      </c>
      <c r="E2">
        <v>2014</v>
      </c>
      <c r="F2">
        <v>2015</v>
      </c>
      <c r="G2">
        <v>2016</v>
      </c>
      <c r="H2">
        <v>2017</v>
      </c>
      <c r="I2">
        <v>2018</v>
      </c>
      <c r="J2">
        <v>2019</v>
      </c>
      <c r="K2">
        <v>2020</v>
      </c>
      <c r="L2">
        <v>2021</v>
      </c>
      <c r="M2">
        <v>2022</v>
      </c>
      <c r="N2">
        <v>2023</v>
      </c>
    </row>
    <row r="3" spans="1:14">
      <c r="A3" t="s">
        <v>161</v>
      </c>
      <c r="B3">
        <v>48.5</v>
      </c>
      <c r="C3">
        <v>134.05000000000001</v>
      </c>
      <c r="D3">
        <v>229.02</v>
      </c>
      <c r="E3">
        <v>338.9</v>
      </c>
      <c r="F3">
        <v>396.57</v>
      </c>
      <c r="G3">
        <v>520.44000000000005</v>
      </c>
      <c r="H3">
        <v>602.58900000000006</v>
      </c>
      <c r="I3">
        <v>746.29882369999996</v>
      </c>
      <c r="J3">
        <v>968.22375539999996</v>
      </c>
      <c r="K3">
        <v>1125.98173</v>
      </c>
      <c r="L3">
        <v>1312.637802</v>
      </c>
      <c r="M3">
        <v>1456.893082</v>
      </c>
      <c r="N3">
        <v>1522.098761</v>
      </c>
    </row>
    <row r="4" spans="1:14">
      <c r="A4" t="s">
        <v>113</v>
      </c>
      <c r="F4">
        <v>48</v>
      </c>
      <c r="G4">
        <v>81.599999999999994</v>
      </c>
      <c r="H4">
        <v>167.26</v>
      </c>
      <c r="I4">
        <v>261.79000000000002</v>
      </c>
      <c r="J4">
        <v>441</v>
      </c>
      <c r="K4">
        <v>486</v>
      </c>
      <c r="L4">
        <v>513</v>
      </c>
      <c r="M4">
        <v>608.55999999999995</v>
      </c>
      <c r="N4">
        <v>631.56679999999994</v>
      </c>
    </row>
    <row r="5" spans="1:14">
      <c r="A5" t="s">
        <v>158</v>
      </c>
      <c r="K5">
        <v>244.64</v>
      </c>
      <c r="L5">
        <v>377.05399999999997</v>
      </c>
      <c r="M5">
        <v>447.988</v>
      </c>
      <c r="N5">
        <v>541.77800000000002</v>
      </c>
    </row>
    <row r="6" spans="1:14">
      <c r="A6" t="s">
        <v>121</v>
      </c>
      <c r="F6">
        <v>18</v>
      </c>
      <c r="G6">
        <v>46</v>
      </c>
      <c r="H6">
        <v>81.650000000000006</v>
      </c>
      <c r="I6">
        <v>116.14</v>
      </c>
      <c r="J6">
        <v>147.09</v>
      </c>
      <c r="K6">
        <v>211.46</v>
      </c>
      <c r="L6">
        <v>275.33542970000002</v>
      </c>
      <c r="M6">
        <v>334.95</v>
      </c>
      <c r="N6">
        <v>365.21499999999997</v>
      </c>
    </row>
    <row r="7" spans="1:14">
      <c r="A7" t="s">
        <v>179</v>
      </c>
      <c r="G7">
        <v>0</v>
      </c>
      <c r="H7">
        <v>0</v>
      </c>
      <c r="I7">
        <v>44.55</v>
      </c>
      <c r="J7">
        <v>124.63</v>
      </c>
      <c r="K7">
        <v>159.97999999999999</v>
      </c>
      <c r="L7">
        <v>167.53</v>
      </c>
      <c r="M7">
        <v>211.15</v>
      </c>
      <c r="N7">
        <v>288.58</v>
      </c>
    </row>
    <row r="8" spans="1:14">
      <c r="A8" t="s">
        <v>646</v>
      </c>
      <c r="J8">
        <v>36.909999999999997</v>
      </c>
      <c r="K8">
        <v>46.94</v>
      </c>
      <c r="L8">
        <v>97.817999999999998</v>
      </c>
      <c r="M8">
        <v>165.48500000000001</v>
      </c>
      <c r="N8">
        <v>251.32</v>
      </c>
    </row>
    <row r="9" spans="1:14">
      <c r="A9" t="s">
        <v>478</v>
      </c>
      <c r="F9">
        <v>18</v>
      </c>
      <c r="G9">
        <v>46</v>
      </c>
      <c r="K9">
        <v>20.45</v>
      </c>
      <c r="L9">
        <v>64.319999999999993</v>
      </c>
      <c r="M9">
        <v>137.81</v>
      </c>
      <c r="N9">
        <v>146</v>
      </c>
    </row>
    <row r="10" spans="1:14">
      <c r="A10" t="s">
        <v>162</v>
      </c>
      <c r="B10">
        <v>34.409999999999997</v>
      </c>
      <c r="C10">
        <v>48.9</v>
      </c>
      <c r="D10">
        <v>61.94</v>
      </c>
      <c r="E10">
        <v>85.77</v>
      </c>
      <c r="F10">
        <v>105.09</v>
      </c>
      <c r="G10">
        <v>95.7</v>
      </c>
      <c r="H10">
        <v>82.91</v>
      </c>
      <c r="I10">
        <v>147.30000000000001</v>
      </c>
      <c r="J10">
        <v>147.80000000000001</v>
      </c>
      <c r="K10">
        <v>175.4</v>
      </c>
      <c r="L10">
        <v>167</v>
      </c>
      <c r="M10">
        <v>130</v>
      </c>
      <c r="N10">
        <v>134.69999999999999</v>
      </c>
    </row>
    <row r="11" spans="1:14">
      <c r="A11" t="s">
        <v>123</v>
      </c>
      <c r="E11">
        <v>12.2</v>
      </c>
      <c r="F11">
        <v>23.6</v>
      </c>
      <c r="G11">
        <v>31.4</v>
      </c>
      <c r="H11">
        <v>39.700000000000003</v>
      </c>
      <c r="I11">
        <v>47</v>
      </c>
      <c r="J11">
        <v>52.3</v>
      </c>
      <c r="K11">
        <v>55.7</v>
      </c>
      <c r="L11">
        <v>58.33</v>
      </c>
      <c r="M11">
        <v>63.31</v>
      </c>
      <c r="N11">
        <v>68.400000000000006</v>
      </c>
    </row>
    <row r="12" spans="1:14">
      <c r="A12" t="s">
        <v>599</v>
      </c>
      <c r="I12">
        <v>1.4</v>
      </c>
      <c r="J12">
        <v>92.11</v>
      </c>
      <c r="K12">
        <v>17.398800000000001</v>
      </c>
      <c r="L12">
        <v>24.434806418266742</v>
      </c>
      <c r="M12">
        <v>37.768799999999999</v>
      </c>
      <c r="N12">
        <v>54.357900000000001</v>
      </c>
    </row>
    <row r="13" spans="1:14">
      <c r="A13" t="s">
        <v>159</v>
      </c>
      <c r="H13">
        <v>1.77</v>
      </c>
      <c r="I13">
        <v>3.1</v>
      </c>
      <c r="J13">
        <v>7.45</v>
      </c>
      <c r="K13">
        <v>16.43</v>
      </c>
      <c r="L13">
        <v>18.05</v>
      </c>
      <c r="M13">
        <v>34.369999999999997</v>
      </c>
      <c r="N13">
        <v>45.58</v>
      </c>
    </row>
    <row r="14" spans="1:14">
      <c r="A14" t="s">
        <v>115</v>
      </c>
      <c r="J14">
        <v>8.6999999999999993</v>
      </c>
      <c r="K14">
        <v>13.6</v>
      </c>
      <c r="L14">
        <v>20.100000000000001</v>
      </c>
      <c r="M14">
        <v>23.84</v>
      </c>
      <c r="N14">
        <v>25.55</v>
      </c>
    </row>
    <row r="15" spans="1:14">
      <c r="A15" t="s">
        <v>39</v>
      </c>
      <c r="B15">
        <v>82.91</v>
      </c>
      <c r="C15">
        <v>182.95</v>
      </c>
      <c r="D15">
        <v>290.96000000000004</v>
      </c>
      <c r="E15">
        <v>436.87</v>
      </c>
      <c r="F15">
        <v>609.26</v>
      </c>
      <c r="G15">
        <v>821.1400000000001</v>
      </c>
      <c r="H15">
        <v>975.87900000000025</v>
      </c>
      <c r="I15">
        <v>1367.5788236999999</v>
      </c>
      <c r="J15">
        <v>2026.2137554000003</v>
      </c>
      <c r="K15">
        <v>2573.9805299999998</v>
      </c>
      <c r="L15">
        <v>3095.6100381182673</v>
      </c>
      <c r="M15">
        <v>3652.1248820000001</v>
      </c>
      <c r="N15">
        <v>4075.1464609999994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5FD2-43F7-8D4E-9735-284A05040FFB}">
  <dimension ref="A1:D18"/>
  <sheetViews>
    <sheetView zoomScale="55" zoomScaleNormal="55" workbookViewId="0"/>
  </sheetViews>
  <sheetFormatPr baseColWidth="10" defaultColWidth="10.6640625" defaultRowHeight="16"/>
  <cols>
    <col min="4" max="4" width="31.33203125" customWidth="1"/>
  </cols>
  <sheetData>
    <row r="1" spans="1:4" ht="16.5" customHeight="1">
      <c r="A1" t="s">
        <v>734</v>
      </c>
    </row>
    <row r="2" spans="1:4">
      <c r="B2">
        <v>2015</v>
      </c>
      <c r="C2">
        <v>2019</v>
      </c>
      <c r="D2">
        <v>2023</v>
      </c>
    </row>
    <row r="3" spans="1:4">
      <c r="A3" t="s">
        <v>161</v>
      </c>
      <c r="B3">
        <v>65.099999999999994</v>
      </c>
      <c r="C3">
        <v>47.8</v>
      </c>
      <c r="D3">
        <v>37.4</v>
      </c>
    </row>
    <row r="4" spans="1:4">
      <c r="A4" t="s">
        <v>113</v>
      </c>
      <c r="B4">
        <v>7.9</v>
      </c>
      <c r="C4">
        <v>21.8</v>
      </c>
      <c r="D4">
        <v>15.5</v>
      </c>
    </row>
    <row r="5" spans="1:4">
      <c r="A5" t="s">
        <v>158</v>
      </c>
      <c r="D5">
        <v>13.3</v>
      </c>
    </row>
    <row r="6" spans="1:4">
      <c r="A6" t="s">
        <v>121</v>
      </c>
      <c r="B6">
        <v>3</v>
      </c>
      <c r="C6">
        <v>7.3</v>
      </c>
      <c r="D6">
        <v>9</v>
      </c>
    </row>
    <row r="7" spans="1:4">
      <c r="A7" t="s">
        <v>179</v>
      </c>
      <c r="C7">
        <v>6.2</v>
      </c>
      <c r="D7">
        <v>7.1</v>
      </c>
    </row>
    <row r="8" spans="1:4">
      <c r="A8" t="s">
        <v>650</v>
      </c>
      <c r="C8">
        <v>1.8</v>
      </c>
      <c r="D8">
        <v>6.2</v>
      </c>
    </row>
    <row r="9" spans="1:4">
      <c r="A9" t="s">
        <v>478</v>
      </c>
      <c r="B9">
        <v>3</v>
      </c>
      <c r="D9">
        <v>3.6</v>
      </c>
    </row>
    <row r="10" spans="1:4">
      <c r="A10" t="s">
        <v>162</v>
      </c>
      <c r="B10">
        <v>17.2</v>
      </c>
      <c r="C10">
        <v>7.3</v>
      </c>
      <c r="D10">
        <v>3.3</v>
      </c>
    </row>
    <row r="11" spans="1:4">
      <c r="A11" t="s">
        <v>123</v>
      </c>
      <c r="B11">
        <v>3.9</v>
      </c>
      <c r="C11">
        <v>2.6</v>
      </c>
      <c r="D11">
        <v>1.7</v>
      </c>
    </row>
    <row r="12" spans="1:4">
      <c r="A12" t="s">
        <v>599</v>
      </c>
      <c r="C12">
        <v>4.5</v>
      </c>
      <c r="D12">
        <v>1.3</v>
      </c>
    </row>
    <row r="13" spans="1:4">
      <c r="A13" t="s">
        <v>159</v>
      </c>
      <c r="C13">
        <v>0.4</v>
      </c>
      <c r="D13">
        <v>1.1000000000000001</v>
      </c>
    </row>
    <row r="14" spans="1:4">
      <c r="A14" t="s">
        <v>115</v>
      </c>
      <c r="C14">
        <v>0.4</v>
      </c>
      <c r="D14">
        <v>0.6</v>
      </c>
    </row>
    <row r="15" spans="1:4">
      <c r="A15" t="s">
        <v>883</v>
      </c>
      <c r="B15">
        <v>65.099999999999994</v>
      </c>
      <c r="C15">
        <v>47.8</v>
      </c>
      <c r="D15">
        <v>37.4</v>
      </c>
    </row>
    <row r="16" spans="1:4">
      <c r="A16" t="s">
        <v>143</v>
      </c>
      <c r="B16">
        <v>92.2</v>
      </c>
      <c r="C16">
        <v>87.8</v>
      </c>
      <c r="D16">
        <v>78.900000000000006</v>
      </c>
    </row>
    <row r="17" spans="1:4">
      <c r="A17" t="s">
        <v>345</v>
      </c>
      <c r="B17">
        <v>3345.4</v>
      </c>
      <c r="C17">
        <v>2546.3000000000002</v>
      </c>
      <c r="D17">
        <v>2015.7500000000005</v>
      </c>
    </row>
    <row r="18" spans="1:4">
      <c r="A18" t="s">
        <v>513</v>
      </c>
      <c r="B18">
        <v>609.26</v>
      </c>
      <c r="C18">
        <v>2026.2137554000003</v>
      </c>
      <c r="D18">
        <v>4075.1464609999994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DBD3-CBC3-E74E-97A8-190ED77869A0}">
  <dimension ref="A1:D24"/>
  <sheetViews>
    <sheetView zoomScale="40" zoomScaleNormal="40" workbookViewId="0"/>
  </sheetViews>
  <sheetFormatPr baseColWidth="10" defaultColWidth="11" defaultRowHeight="16"/>
  <cols>
    <col min="1" max="1" width="20" customWidth="1"/>
    <col min="2" max="2" width="25.6640625" customWidth="1"/>
    <col min="3" max="3" width="12" customWidth="1"/>
    <col min="8" max="8" width="11.6640625" bestFit="1" customWidth="1"/>
  </cols>
  <sheetData>
    <row r="1" spans="1:4" ht="16.5" customHeight="1">
      <c r="A1" t="s">
        <v>735</v>
      </c>
    </row>
    <row r="2" spans="1:4">
      <c r="B2" t="s">
        <v>476</v>
      </c>
      <c r="D2" t="s">
        <v>648</v>
      </c>
    </row>
    <row r="3" spans="1:4" ht="17" customHeight="1">
      <c r="A3" t="s">
        <v>161</v>
      </c>
      <c r="B3">
        <v>24.226116096741034</v>
      </c>
      <c r="D3">
        <v>7791.25</v>
      </c>
    </row>
    <row r="4" spans="1:4">
      <c r="A4" t="s">
        <v>159</v>
      </c>
      <c r="B4">
        <v>16.331192936088982</v>
      </c>
      <c r="D4">
        <v>5252.2</v>
      </c>
    </row>
    <row r="5" spans="1:4">
      <c r="A5" t="s">
        <v>158</v>
      </c>
      <c r="B5">
        <v>14.922684291909146</v>
      </c>
      <c r="D5">
        <v>4799.2160000000003</v>
      </c>
    </row>
    <row r="6" spans="1:4">
      <c r="A6" t="s">
        <v>113</v>
      </c>
      <c r="B6">
        <v>9.639141331608819</v>
      </c>
      <c r="D6">
        <v>3100</v>
      </c>
    </row>
    <row r="7" spans="1:4">
      <c r="A7" t="s">
        <v>646</v>
      </c>
      <c r="B7">
        <v>9.3164570832312812</v>
      </c>
      <c r="D7">
        <v>2996.223</v>
      </c>
    </row>
    <row r="8" spans="1:4">
      <c r="A8" t="s">
        <v>179</v>
      </c>
      <c r="B8">
        <v>8.6404019136369641</v>
      </c>
      <c r="D8">
        <v>2778.8</v>
      </c>
    </row>
    <row r="9" spans="1:4">
      <c r="A9" t="s">
        <v>121</v>
      </c>
      <c r="B9">
        <v>6.3092439893968209</v>
      </c>
      <c r="D9">
        <v>2029.087</v>
      </c>
    </row>
    <row r="10" spans="1:4">
      <c r="A10" t="s">
        <v>162</v>
      </c>
      <c r="B10">
        <v>3.8867505369390396</v>
      </c>
      <c r="D10">
        <v>1250</v>
      </c>
    </row>
    <row r="11" spans="1:4">
      <c r="A11" t="s">
        <v>478</v>
      </c>
      <c r="B11">
        <v>2.9123266303262749</v>
      </c>
      <c r="D11">
        <v>936.62</v>
      </c>
    </row>
    <row r="12" spans="1:4">
      <c r="A12" t="s">
        <v>123</v>
      </c>
      <c r="B12">
        <v>1.7740062270718644</v>
      </c>
      <c r="D12">
        <v>570.53</v>
      </c>
    </row>
    <row r="13" spans="1:4">
      <c r="A13" t="s">
        <v>115</v>
      </c>
      <c r="B13">
        <v>1.4780534941871781</v>
      </c>
      <c r="D13">
        <v>475.35</v>
      </c>
    </row>
    <row r="14" spans="1:4">
      <c r="A14" t="s">
        <v>599</v>
      </c>
      <c r="B14">
        <v>0.56362546886260401</v>
      </c>
      <c r="D14">
        <v>181.26499999999999</v>
      </c>
    </row>
    <row r="15" spans="1:4">
      <c r="A15" t="s">
        <v>647</v>
      </c>
      <c r="B15">
        <v>32160.540999999997</v>
      </c>
    </row>
    <row r="16" spans="1:4">
      <c r="A16" t="s">
        <v>143</v>
      </c>
      <c r="B16">
        <v>65.119134656347995</v>
      </c>
    </row>
    <row r="17" spans="1:2">
      <c r="A17" t="s">
        <v>345</v>
      </c>
      <c r="B17">
        <v>1399.709483498493</v>
      </c>
    </row>
    <row r="24" spans="1:2" ht="17" customHeight="1"/>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5643-AEB7-8D44-9A19-676B4473D982}">
  <dimension ref="A1:N69"/>
  <sheetViews>
    <sheetView zoomScale="85" zoomScaleNormal="85" workbookViewId="0"/>
  </sheetViews>
  <sheetFormatPr baseColWidth="10" defaultColWidth="11" defaultRowHeight="16"/>
  <cols>
    <col min="1" max="1" width="15.33203125" customWidth="1"/>
    <col min="5" max="5" width="11.5" customWidth="1"/>
    <col min="6" max="8" width="11.6640625" bestFit="1" customWidth="1"/>
    <col min="10" max="10" width="11.6640625" bestFit="1" customWidth="1"/>
    <col min="13" max="13" width="11.6640625" bestFit="1" customWidth="1"/>
    <col min="22" max="23" width="11.6640625" bestFit="1" customWidth="1"/>
  </cols>
  <sheetData>
    <row r="1" spans="1:8" ht="16" customHeight="1">
      <c r="A1" t="s">
        <v>736</v>
      </c>
    </row>
    <row r="2" spans="1:8">
      <c r="B2">
        <v>2015</v>
      </c>
      <c r="C2">
        <v>2019</v>
      </c>
      <c r="D2">
        <v>2023</v>
      </c>
    </row>
    <row r="3" spans="1:8">
      <c r="A3" t="s">
        <v>161</v>
      </c>
      <c r="B3">
        <v>51.739119089865362</v>
      </c>
      <c r="C3">
        <v>38.478321585241346</v>
      </c>
      <c r="D3">
        <v>29.472640920848537</v>
      </c>
    </row>
    <row r="4" spans="1:8">
      <c r="A4" t="s">
        <v>179</v>
      </c>
      <c r="B4">
        <v>20.511950735831334</v>
      </c>
      <c r="C4">
        <v>24.428882421580646</v>
      </c>
      <c r="D4">
        <v>26.680110064171313</v>
      </c>
    </row>
    <row r="5" spans="1:8">
      <c r="A5" t="s">
        <v>113</v>
      </c>
      <c r="B5">
        <v>6.2623943220958145</v>
      </c>
      <c r="C5">
        <v>17.525845368337507</v>
      </c>
      <c r="D5">
        <v>12.229128615609827</v>
      </c>
    </row>
    <row r="6" spans="1:8">
      <c r="A6" t="s">
        <v>158</v>
      </c>
      <c r="D6">
        <v>10.490533769520281</v>
      </c>
    </row>
    <row r="7" spans="1:8">
      <c r="A7" t="s">
        <v>121</v>
      </c>
      <c r="B7">
        <v>2.3483978707859303</v>
      </c>
      <c r="C7">
        <v>5.845525159248897</v>
      </c>
      <c r="D7">
        <v>7.0717162576467647</v>
      </c>
    </row>
    <row r="8" spans="1:8">
      <c r="A8" t="s">
        <v>646</v>
      </c>
      <c r="C8">
        <v>1.4668456973817172</v>
      </c>
      <c r="D8">
        <v>4.8663492186021529</v>
      </c>
    </row>
    <row r="9" spans="1:8" ht="15" customHeight="1">
      <c r="A9" t="s">
        <v>478</v>
      </c>
      <c r="B9">
        <v>2.3483978707859303</v>
      </c>
      <c r="D9">
        <v>2.8270212713509242</v>
      </c>
      <c r="H9" t="s">
        <v>649</v>
      </c>
    </row>
    <row r="10" spans="1:8">
      <c r="A10" t="s">
        <v>162</v>
      </c>
      <c r="B10">
        <v>13.710729568938524</v>
      </c>
      <c r="C10">
        <v>5.8737413728804615</v>
      </c>
      <c r="D10">
        <v>2.6082175702121195</v>
      </c>
    </row>
    <row r="11" spans="1:8">
      <c r="A11" t="s">
        <v>123</v>
      </c>
      <c r="B11">
        <v>3.0790105416971092</v>
      </c>
      <c r="C11">
        <v>2.0784619337053325</v>
      </c>
      <c r="D11">
        <v>1.3244401024685153</v>
      </c>
    </row>
    <row r="12" spans="1:8">
      <c r="A12" t="s">
        <v>599</v>
      </c>
      <c r="C12">
        <v>3.660556954370902</v>
      </c>
      <c r="D12">
        <v>1.052540681958674</v>
      </c>
    </row>
    <row r="13" spans="1:8">
      <c r="A13" t="s">
        <v>159</v>
      </c>
      <c r="C13">
        <v>0.29607153740162001</v>
      </c>
      <c r="D13">
        <v>0.8825728051244871</v>
      </c>
    </row>
    <row r="14" spans="1:8">
      <c r="A14" t="s">
        <v>115</v>
      </c>
      <c r="C14">
        <v>0.3457479698515562</v>
      </c>
      <c r="D14">
        <v>0.49472872248641175</v>
      </c>
    </row>
    <row r="15" spans="1:8">
      <c r="A15" t="s">
        <v>143</v>
      </c>
      <c r="B15">
        <f>SUM(B3:B5)</f>
        <v>78.513464147792519</v>
      </c>
      <c r="C15">
        <f>SUM(C3:C5)</f>
        <v>80.433049375159499</v>
      </c>
      <c r="D15">
        <f>SUM(D3:D4,D5,D6)</f>
        <v>78.872413370149957</v>
      </c>
    </row>
    <row r="16" spans="1:8">
      <c r="A16" t="s">
        <v>345</v>
      </c>
      <c r="B16">
        <f>SUMSQ(B3:B14)</f>
        <v>3345.3885061773308</v>
      </c>
      <c r="C16">
        <f>SUMSQ(C3:C14)</f>
        <v>2473.2563039023371</v>
      </c>
      <c r="D16">
        <f>SUMSQ(D3:D14)</f>
        <v>1932.4387697978357</v>
      </c>
    </row>
    <row r="17" spans="1:4">
      <c r="A17" t="s">
        <v>513</v>
      </c>
      <c r="B17">
        <v>766.5</v>
      </c>
      <c r="C17">
        <v>2516.3000000000002</v>
      </c>
      <c r="D17">
        <v>5164.3999999999996</v>
      </c>
    </row>
    <row r="38" spans="1:14">
      <c r="A38" t="s">
        <v>143</v>
      </c>
    </row>
    <row r="39" spans="1:14">
      <c r="B39">
        <v>2011</v>
      </c>
      <c r="C39">
        <v>2012</v>
      </c>
      <c r="D39">
        <v>2013</v>
      </c>
      <c r="E39">
        <v>2014</v>
      </c>
      <c r="F39">
        <v>2015</v>
      </c>
      <c r="G39">
        <v>2016</v>
      </c>
      <c r="H39">
        <v>2017</v>
      </c>
      <c r="I39">
        <v>2018</v>
      </c>
      <c r="J39">
        <v>2019</v>
      </c>
      <c r="K39">
        <v>2020</v>
      </c>
      <c r="L39">
        <v>2021</v>
      </c>
      <c r="M39">
        <v>2022</v>
      </c>
      <c r="N39">
        <v>2023</v>
      </c>
    </row>
    <row r="40" spans="1:14">
      <c r="A40" t="s">
        <v>161</v>
      </c>
      <c r="B40">
        <v>28.512639623750736</v>
      </c>
      <c r="C40">
        <v>46.361624126720628</v>
      </c>
      <c r="D40">
        <v>57.665869318897144</v>
      </c>
      <c r="E40">
        <v>58.391771050500516</v>
      </c>
      <c r="F40">
        <v>51.739119089865362</v>
      </c>
      <c r="G40">
        <v>49.606344243856874</v>
      </c>
      <c r="H40">
        <v>47.4577058749869</v>
      </c>
      <c r="I40">
        <v>43.137941603995714</v>
      </c>
      <c r="J40">
        <v>38.478321585241346</v>
      </c>
      <c r="K40">
        <v>34.809458234453629</v>
      </c>
      <c r="L40">
        <v>33.696086508492726</v>
      </c>
      <c r="M40">
        <v>31.791949729563136</v>
      </c>
      <c r="N40">
        <v>29.472640920848537</v>
      </c>
    </row>
    <row r="41" spans="1:14">
      <c r="A41" t="s">
        <v>179</v>
      </c>
      <c r="B41">
        <v>51.258083480305707</v>
      </c>
      <c r="C41">
        <v>36.726153420488345</v>
      </c>
      <c r="D41">
        <v>26.738008309203071</v>
      </c>
      <c r="E41">
        <v>24.728200003445959</v>
      </c>
      <c r="F41">
        <v>20.511950735831334</v>
      </c>
      <c r="G41">
        <v>21.732085327029754</v>
      </c>
      <c r="H41">
        <v>23.143338906657192</v>
      </c>
      <c r="I41">
        <v>23.525619598033753</v>
      </c>
      <c r="J41">
        <v>24.428882421580646</v>
      </c>
      <c r="K41">
        <v>25.371745927898932</v>
      </c>
      <c r="L41">
        <v>24.834681647981519</v>
      </c>
      <c r="M41">
        <v>24.911922624371801</v>
      </c>
      <c r="N41">
        <v>26.680110064171313</v>
      </c>
    </row>
    <row r="42" spans="1:14">
      <c r="A42" t="s">
        <v>113</v>
      </c>
      <c r="F42">
        <v>6.2623943220958145</v>
      </c>
      <c r="G42">
        <v>7.7777989591474919</v>
      </c>
      <c r="H42">
        <v>13.17278590324468</v>
      </c>
      <c r="I42">
        <v>15.132117824494488</v>
      </c>
      <c r="J42">
        <v>17.525845368337507</v>
      </c>
      <c r="K42">
        <v>15.024574778797223</v>
      </c>
      <c r="L42">
        <v>13.168973461314934</v>
      </c>
      <c r="M42">
        <v>13.279841305075903</v>
      </c>
      <c r="N42">
        <v>12.229128615609827</v>
      </c>
    </row>
    <row r="43" spans="1:14">
      <c r="A43" t="s">
        <v>158</v>
      </c>
      <c r="K43">
        <v>7.5629876005863208</v>
      </c>
      <c r="L43">
        <v>9.6791698235529058</v>
      </c>
      <c r="M43">
        <v>9.7758800226408979</v>
      </c>
      <c r="N43">
        <v>10.490533769520281</v>
      </c>
    </row>
    <row r="44" spans="1:14">
      <c r="A44" t="s">
        <v>121</v>
      </c>
      <c r="F44">
        <v>2.3483978707859303</v>
      </c>
      <c r="G44">
        <v>4.3845435308919685</v>
      </c>
      <c r="H44">
        <v>6.4304553928011972</v>
      </c>
      <c r="I44">
        <v>6.7131829486870771</v>
      </c>
      <c r="J44">
        <v>5.845525159248897</v>
      </c>
      <c r="K44">
        <v>6.5372357669227581</v>
      </c>
      <c r="L44">
        <v>7.068001884364608</v>
      </c>
      <c r="M44">
        <v>7.3091935801485057</v>
      </c>
      <c r="N44">
        <v>7.0717162576467647</v>
      </c>
    </row>
    <row r="45" spans="1:14">
      <c r="A45" t="s">
        <v>646</v>
      </c>
      <c r="J45">
        <v>1.4668456973817172</v>
      </c>
      <c r="K45">
        <v>1.4511389714336247</v>
      </c>
      <c r="L45">
        <v>2.5110382963721327</v>
      </c>
      <c r="M45">
        <v>3.6111715169752965</v>
      </c>
      <c r="N45">
        <v>4.8663492186021529</v>
      </c>
    </row>
    <row r="46" spans="1:14">
      <c r="A46" t="s">
        <v>478</v>
      </c>
      <c r="F46">
        <v>2.3483978707859303</v>
      </c>
      <c r="G46">
        <v>4.3845435308919685</v>
      </c>
      <c r="K46">
        <v>0.63220690170041804</v>
      </c>
      <c r="L46">
        <v>1.6511274328104804</v>
      </c>
      <c r="M46">
        <v>3.0072547164659369</v>
      </c>
      <c r="N46">
        <v>2.8270212713509242</v>
      </c>
    </row>
    <row r="47" spans="1:14">
      <c r="A47" t="s">
        <v>162</v>
      </c>
      <c r="B47">
        <v>20.229276895943563</v>
      </c>
      <c r="C47">
        <v>16.912222452791038</v>
      </c>
      <c r="D47">
        <v>15.596122371899785</v>
      </c>
      <c r="E47">
        <v>14.777994107410533</v>
      </c>
      <c r="F47">
        <v>13.710729568938524</v>
      </c>
      <c r="G47">
        <v>9.1217568675295961</v>
      </c>
      <c r="H47">
        <v>6.5296883847782876</v>
      </c>
      <c r="I47">
        <v>8.514309009312953</v>
      </c>
      <c r="J47">
        <v>5.8737413728804615</v>
      </c>
      <c r="K47">
        <v>5.4224494160515082</v>
      </c>
      <c r="L47">
        <v>4.2869757661590526</v>
      </c>
      <c r="M47">
        <v>2.8368268858614893</v>
      </c>
      <c r="N47">
        <v>2.6082175702121195</v>
      </c>
    </row>
    <row r="48" spans="1:14">
      <c r="A48" t="s">
        <v>123</v>
      </c>
      <c r="E48">
        <v>2.1020348386429815</v>
      </c>
      <c r="F48">
        <v>3.0790105416971092</v>
      </c>
      <c r="G48">
        <v>2.9929275406523437</v>
      </c>
      <c r="H48">
        <v>3.1266268107067665</v>
      </c>
      <c r="I48">
        <v>2.7167177422790822</v>
      </c>
      <c r="J48">
        <v>2.0784619337053325</v>
      </c>
      <c r="K48">
        <v>1.7219522946070067</v>
      </c>
      <c r="L48">
        <v>1.4973610565272906</v>
      </c>
      <c r="M48">
        <v>1.3815346934145454</v>
      </c>
      <c r="N48">
        <v>1.3244401024685153</v>
      </c>
    </row>
    <row r="49" spans="1:14">
      <c r="A49" t="s">
        <v>599</v>
      </c>
      <c r="I49">
        <v>8.0923507216823717E-2</v>
      </c>
      <c r="J49">
        <v>3.660556954370902</v>
      </c>
      <c r="K49">
        <v>0.53787977708094059</v>
      </c>
      <c r="L49">
        <v>0.62725402973591138</v>
      </c>
      <c r="M49">
        <v>0.82418113297481088</v>
      </c>
      <c r="N49">
        <v>1.052540681958674</v>
      </c>
    </row>
    <row r="50" spans="1:14">
      <c r="A50" t="s">
        <v>159</v>
      </c>
      <c r="H50">
        <v>0.13939872682496163</v>
      </c>
      <c r="I50">
        <v>0.17918776598010966</v>
      </c>
      <c r="J50">
        <v>0.29607153740162001</v>
      </c>
      <c r="K50">
        <v>0.50792955476468793</v>
      </c>
      <c r="L50">
        <v>0.46335276993515506</v>
      </c>
      <c r="M50">
        <v>0.75001338513122595</v>
      </c>
      <c r="N50">
        <v>0.8825728051244871</v>
      </c>
    </row>
    <row r="51" spans="1:14">
      <c r="A51" t="s">
        <v>115</v>
      </c>
      <c r="J51">
        <v>0.3457479698515562</v>
      </c>
      <c r="K51">
        <v>0.42044077570296756</v>
      </c>
      <c r="L51">
        <v>0.51597732275327524</v>
      </c>
      <c r="M51">
        <v>0.52023040737644544</v>
      </c>
      <c r="N51">
        <v>0.49472872248641175</v>
      </c>
    </row>
    <row r="52" spans="1:14">
      <c r="A52" t="s">
        <v>143</v>
      </c>
      <c r="B52">
        <f>SUM(B40:B42)</f>
        <v>79.770723104056444</v>
      </c>
      <c r="C52">
        <f>SUM(C40:C42)</f>
        <v>83.087777547208972</v>
      </c>
      <c r="D52">
        <f>SUM(D40:D42)</f>
        <v>84.403877628100219</v>
      </c>
      <c r="E52">
        <f>SUM(E40:E47,E48)</f>
        <v>99.999999999999986</v>
      </c>
      <c r="F52">
        <f>SUM(F40:F42)</f>
        <v>78.513464147792519</v>
      </c>
      <c r="G52">
        <f>SUM(G40:G42)</f>
        <v>79.116228530034121</v>
      </c>
      <c r="H52">
        <f>SUM(H40:H42)</f>
        <v>83.773830684888765</v>
      </c>
      <c r="I52">
        <f>SUM(I40:I42)</f>
        <v>81.795679026523956</v>
      </c>
      <c r="J52">
        <f>SUM(J40:J42)</f>
        <v>80.433049375159499</v>
      </c>
      <c r="K52">
        <f>SUM(K40:K41,K42,K43)</f>
        <v>82.768766541736113</v>
      </c>
      <c r="L52">
        <f>SUM(L40:L41,L42,L43)</f>
        <v>81.378911441342098</v>
      </c>
      <c r="M52">
        <f>SUM(M40:M41,M42,M43)</f>
        <v>79.759593681651751</v>
      </c>
      <c r="N52">
        <f>SUM(N40:N41,N42,N43)</f>
        <v>78.872413370149957</v>
      </c>
    </row>
    <row r="53" spans="1:14">
      <c r="A53" t="s">
        <v>345</v>
      </c>
      <c r="B53">
        <f t="shared" ref="B53:N53" si="0">SUMSQ(B40:B51)</f>
        <v>3849.5853841206253</v>
      </c>
      <c r="C53">
        <f t="shared" si="0"/>
        <v>3784.2338050252615</v>
      </c>
      <c r="D53">
        <f t="shared" si="0"/>
        <v>4283.5126056864083</v>
      </c>
      <c r="E53">
        <f t="shared" si="0"/>
        <v>4243.8904621260244</v>
      </c>
      <c r="F53">
        <f t="shared" si="0"/>
        <v>3345.3885061773308</v>
      </c>
      <c r="G53">
        <f t="shared" si="0"/>
        <v>3124.1795861127416</v>
      </c>
      <c r="H53">
        <f t="shared" si="0"/>
        <v>3055.1530852974656</v>
      </c>
      <c r="I53">
        <f t="shared" si="0"/>
        <v>2768.2972685248396</v>
      </c>
      <c r="J53">
        <f t="shared" si="0"/>
        <v>2473.2563039023371</v>
      </c>
      <c r="K53">
        <f t="shared" si="0"/>
        <v>2216.6935989972349</v>
      </c>
      <c r="L53">
        <f t="shared" si="0"/>
        <v>2099.7786621630798</v>
      </c>
      <c r="M53">
        <f t="shared" si="0"/>
        <v>1990.2310823856724</v>
      </c>
      <c r="N53">
        <f t="shared" si="0"/>
        <v>1932.4387697978357</v>
      </c>
    </row>
    <row r="56" spans="1:14">
      <c r="B56">
        <v>2011</v>
      </c>
      <c r="C56">
        <v>2012</v>
      </c>
      <c r="D56">
        <v>2013</v>
      </c>
      <c r="E56">
        <v>2014</v>
      </c>
      <c r="F56">
        <v>2015</v>
      </c>
      <c r="G56">
        <v>2016</v>
      </c>
      <c r="H56">
        <v>2017</v>
      </c>
      <c r="I56">
        <v>2018</v>
      </c>
      <c r="J56">
        <v>2019</v>
      </c>
      <c r="K56">
        <v>2020</v>
      </c>
      <c r="L56">
        <v>2021</v>
      </c>
      <c r="M56">
        <v>2022</v>
      </c>
      <c r="N56">
        <v>2023</v>
      </c>
    </row>
    <row r="57" spans="1:14">
      <c r="A57" t="s">
        <v>161</v>
      </c>
      <c r="B57">
        <v>48.5</v>
      </c>
      <c r="C57">
        <v>134.05000000000001</v>
      </c>
      <c r="D57">
        <v>229.02</v>
      </c>
      <c r="E57">
        <v>338.9</v>
      </c>
      <c r="F57">
        <v>396.57</v>
      </c>
      <c r="G57">
        <v>520.44000000000005</v>
      </c>
      <c r="H57">
        <v>602.58900000000006</v>
      </c>
      <c r="I57">
        <v>746.29882369999996</v>
      </c>
      <c r="J57">
        <v>968.22375539999996</v>
      </c>
      <c r="K57">
        <v>1125.98173</v>
      </c>
      <c r="L57">
        <v>1312.637802</v>
      </c>
      <c r="M57">
        <v>1456.893082</v>
      </c>
      <c r="N57">
        <v>1522.098761</v>
      </c>
    </row>
    <row r="58" spans="1:14">
      <c r="A58" t="s">
        <v>179</v>
      </c>
      <c r="B58">
        <v>87.19</v>
      </c>
      <c r="C58">
        <v>106.19</v>
      </c>
      <c r="D58">
        <v>106.19</v>
      </c>
      <c r="E58">
        <v>143.52000000000001</v>
      </c>
      <c r="F58">
        <v>157.22</v>
      </c>
      <c r="G58">
        <v>228</v>
      </c>
      <c r="H58">
        <v>293.86</v>
      </c>
      <c r="I58">
        <v>407</v>
      </c>
      <c r="J58">
        <v>614.70000000000005</v>
      </c>
      <c r="K58">
        <v>820.7</v>
      </c>
      <c r="L58">
        <v>967.43999999999994</v>
      </c>
      <c r="M58">
        <v>1141.6099999999999</v>
      </c>
      <c r="N58">
        <v>1377.88</v>
      </c>
    </row>
    <row r="59" spans="1:14">
      <c r="A59" t="s">
        <v>113</v>
      </c>
      <c r="F59">
        <v>48</v>
      </c>
      <c r="G59">
        <v>81.599999999999994</v>
      </c>
      <c r="H59">
        <v>167.26</v>
      </c>
      <c r="I59">
        <v>261.79000000000002</v>
      </c>
      <c r="J59">
        <v>441</v>
      </c>
      <c r="K59">
        <v>486</v>
      </c>
      <c r="L59">
        <v>513</v>
      </c>
      <c r="M59">
        <v>608.55999999999995</v>
      </c>
      <c r="N59">
        <v>631.56679999999994</v>
      </c>
    </row>
    <row r="60" spans="1:14">
      <c r="A60" t="s">
        <v>158</v>
      </c>
      <c r="K60">
        <v>244.64</v>
      </c>
      <c r="L60">
        <v>377.05399999999997</v>
      </c>
      <c r="M60">
        <v>447.988</v>
      </c>
      <c r="N60">
        <v>541.77800000000002</v>
      </c>
    </row>
    <row r="61" spans="1:14">
      <c r="A61" t="s">
        <v>121</v>
      </c>
      <c r="F61">
        <v>18</v>
      </c>
      <c r="G61">
        <v>46</v>
      </c>
      <c r="H61">
        <v>81.650000000000006</v>
      </c>
      <c r="I61">
        <v>116.14</v>
      </c>
      <c r="J61">
        <v>147.09</v>
      </c>
      <c r="K61">
        <v>211.46</v>
      </c>
      <c r="L61">
        <v>275.33542970000002</v>
      </c>
      <c r="M61">
        <v>334.95</v>
      </c>
      <c r="N61">
        <v>365.21499999999997</v>
      </c>
    </row>
    <row r="62" spans="1:14">
      <c r="A62" t="s">
        <v>162</v>
      </c>
      <c r="B62">
        <v>34.409999999999997</v>
      </c>
      <c r="C62">
        <v>48.9</v>
      </c>
      <c r="D62">
        <v>61.94</v>
      </c>
      <c r="E62">
        <v>85.77</v>
      </c>
      <c r="F62">
        <v>105.09</v>
      </c>
      <c r="G62">
        <v>95.7</v>
      </c>
      <c r="H62">
        <v>82.91</v>
      </c>
      <c r="I62">
        <v>147.30000000000001</v>
      </c>
      <c r="J62">
        <v>147.80000000000001</v>
      </c>
      <c r="K62">
        <v>175.4</v>
      </c>
      <c r="L62">
        <v>167</v>
      </c>
      <c r="M62">
        <v>130</v>
      </c>
      <c r="N62">
        <v>134.69999999999999</v>
      </c>
    </row>
    <row r="63" spans="1:14">
      <c r="A63" t="s">
        <v>514</v>
      </c>
      <c r="J63">
        <v>36.909999999999997</v>
      </c>
      <c r="K63">
        <v>46.94</v>
      </c>
      <c r="L63">
        <v>97.817999999999998</v>
      </c>
      <c r="M63">
        <v>165.48500000000001</v>
      </c>
      <c r="N63">
        <v>251.32</v>
      </c>
    </row>
    <row r="64" spans="1:14">
      <c r="A64" t="s">
        <v>123</v>
      </c>
      <c r="E64">
        <v>12.2</v>
      </c>
      <c r="F64">
        <v>23.6</v>
      </c>
      <c r="G64">
        <v>31.4</v>
      </c>
      <c r="H64">
        <v>39.700000000000003</v>
      </c>
      <c r="I64">
        <v>47</v>
      </c>
      <c r="J64">
        <v>52.3</v>
      </c>
      <c r="K64">
        <v>55.7</v>
      </c>
      <c r="L64">
        <v>58.33</v>
      </c>
      <c r="M64">
        <v>63.31</v>
      </c>
      <c r="N64">
        <v>68.400000000000006</v>
      </c>
    </row>
    <row r="65" spans="1:14">
      <c r="A65" t="s">
        <v>138</v>
      </c>
      <c r="F65">
        <v>18</v>
      </c>
      <c r="G65">
        <v>46</v>
      </c>
      <c r="K65">
        <v>20.45</v>
      </c>
      <c r="L65">
        <v>64.319999999999993</v>
      </c>
      <c r="M65">
        <v>137.81</v>
      </c>
      <c r="N65">
        <v>146</v>
      </c>
    </row>
    <row r="66" spans="1:14">
      <c r="A66" t="s">
        <v>599</v>
      </c>
      <c r="I66">
        <v>1.4</v>
      </c>
      <c r="J66">
        <v>92.11</v>
      </c>
      <c r="K66">
        <v>17.398800000000001</v>
      </c>
      <c r="L66">
        <v>24.434806418266742</v>
      </c>
      <c r="M66">
        <v>37.768799999999999</v>
      </c>
      <c r="N66">
        <v>54.357900000000001</v>
      </c>
    </row>
    <row r="67" spans="1:14">
      <c r="A67" t="s">
        <v>159</v>
      </c>
      <c r="H67">
        <v>1.77</v>
      </c>
      <c r="I67">
        <v>3.1</v>
      </c>
      <c r="J67">
        <v>7.45</v>
      </c>
      <c r="K67">
        <v>16.43</v>
      </c>
      <c r="L67">
        <v>18.05</v>
      </c>
      <c r="M67">
        <v>34.369999999999997</v>
      </c>
      <c r="N67">
        <v>45.58</v>
      </c>
    </row>
    <row r="68" spans="1:14">
      <c r="A68" t="s">
        <v>115</v>
      </c>
      <c r="J68">
        <v>8.6999999999999993</v>
      </c>
      <c r="K68">
        <v>13.6</v>
      </c>
      <c r="L68">
        <v>20.100000000000001</v>
      </c>
      <c r="M68">
        <v>23.84</v>
      </c>
      <c r="N68">
        <v>25.55</v>
      </c>
    </row>
    <row r="69" spans="1:14">
      <c r="A69" t="s">
        <v>39</v>
      </c>
      <c r="B69">
        <v>170.1</v>
      </c>
      <c r="C69">
        <v>289.14</v>
      </c>
      <c r="D69">
        <v>397.2</v>
      </c>
      <c r="E69">
        <v>580.4</v>
      </c>
      <c r="F69">
        <v>766.5</v>
      </c>
      <c r="G69">
        <v>1049.0999999999999</v>
      </c>
      <c r="H69">
        <v>1269.7</v>
      </c>
      <c r="I69">
        <v>1730</v>
      </c>
      <c r="J69">
        <v>2516.3000000000002</v>
      </c>
      <c r="K69">
        <v>3234.7</v>
      </c>
      <c r="L69">
        <v>3895.5</v>
      </c>
      <c r="M69">
        <v>4582.6000000000004</v>
      </c>
      <c r="N69">
        <v>5164.3999999999996</v>
      </c>
    </row>
  </sheetData>
  <pageMargins left="0.7" right="0.7" top="0.75" bottom="0.75" header="0.3" footer="0.3"/>
  <pageSetup orientation="portrait" horizontalDpi="300" verticalDpi="0" r:id="rId1"/>
  <headerFooter>
    <oddHeader>&amp;R&amp;"Calibri"&amp;12&amp;K000000 Unclassified / Non classifié&amp;1#_x000D_</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70F9-31DA-F941-9CC7-C1BDAE1DB6A3}">
  <dimension ref="A1:Y12"/>
  <sheetViews>
    <sheetView zoomScale="55" zoomScaleNormal="55" workbookViewId="0"/>
  </sheetViews>
  <sheetFormatPr baseColWidth="10" defaultColWidth="11" defaultRowHeight="16"/>
  <cols>
    <col min="1" max="1" width="52.1640625" customWidth="1"/>
    <col min="10" max="10" width="12.5" customWidth="1"/>
    <col min="11" max="11" width="11" bestFit="1" customWidth="1"/>
    <col min="12" max="15" width="11" customWidth="1"/>
    <col min="16" max="16" width="11.1640625" bestFit="1" customWidth="1"/>
    <col min="17" max="20" width="11.1640625" customWidth="1"/>
  </cols>
  <sheetData>
    <row r="1" spans="1:25">
      <c r="A1" t="s">
        <v>737</v>
      </c>
    </row>
    <row r="2" spans="1:25">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5">
      <c r="A3" t="s">
        <v>71</v>
      </c>
      <c r="B3">
        <v>1459.3229999999999</v>
      </c>
      <c r="C3">
        <v>1956.7870000000003</v>
      </c>
      <c r="D3">
        <v>2346.9160000000002</v>
      </c>
      <c r="E3">
        <v>2471.192</v>
      </c>
      <c r="F3">
        <v>2989.9110000000001</v>
      </c>
      <c r="G3">
        <v>2927.9520000000002</v>
      </c>
      <c r="H3">
        <v>3187.317</v>
      </c>
      <c r="I3">
        <v>3354.5639999999999</v>
      </c>
      <c r="J3">
        <v>3359.634</v>
      </c>
      <c r="K3">
        <v>3272.2000000000003</v>
      </c>
      <c r="L3">
        <v>3113.12</v>
      </c>
      <c r="M3">
        <v>3067.53</v>
      </c>
      <c r="N3">
        <v>2742.82</v>
      </c>
      <c r="O3">
        <v>2756.17</v>
      </c>
      <c r="P3">
        <v>2559.31</v>
      </c>
      <c r="Q3">
        <v>2623.1</v>
      </c>
      <c r="R3">
        <v>2564.12</v>
      </c>
      <c r="S3">
        <v>2315.7900000000004</v>
      </c>
      <c r="T3">
        <v>2526.6999999999998</v>
      </c>
      <c r="U3">
        <v>2571.4299999999998</v>
      </c>
      <c r="V3">
        <v>2404.3799999999997</v>
      </c>
    </row>
    <row r="4" spans="1:25">
      <c r="A4" t="s">
        <v>652</v>
      </c>
      <c r="B4">
        <v>93.8</v>
      </c>
      <c r="C4">
        <v>142.4</v>
      </c>
      <c r="D4">
        <v>395.18400000000003</v>
      </c>
      <c r="E4">
        <v>664.48</v>
      </c>
      <c r="F4">
        <v>1270.431</v>
      </c>
      <c r="G4">
        <v>2065.201</v>
      </c>
      <c r="H4">
        <v>2931.1410000000001</v>
      </c>
      <c r="I4">
        <v>3474.62</v>
      </c>
      <c r="J4">
        <v>3748.0920000000001</v>
      </c>
      <c r="K4">
        <v>3967.587</v>
      </c>
      <c r="L4">
        <v>4090.9940000000001</v>
      </c>
      <c r="M4">
        <v>4235.6000000000004</v>
      </c>
      <c r="N4">
        <v>4254.6000000000004</v>
      </c>
      <c r="O4">
        <v>4415.6000000000004</v>
      </c>
      <c r="P4">
        <v>4365</v>
      </c>
      <c r="Q4">
        <v>4247.16</v>
      </c>
      <c r="R4">
        <v>4233.1289999999999</v>
      </c>
      <c r="S4">
        <v>3929.1</v>
      </c>
      <c r="T4">
        <v>3960</v>
      </c>
      <c r="U4">
        <v>4091.87</v>
      </c>
      <c r="V4">
        <v>3833.65</v>
      </c>
    </row>
    <row r="5" spans="1:25">
      <c r="A5" t="s">
        <v>651</v>
      </c>
      <c r="J5">
        <v>82.91</v>
      </c>
      <c r="K5">
        <v>182.95</v>
      </c>
      <c r="L5">
        <v>290.96000000000004</v>
      </c>
      <c r="M5">
        <v>436.87</v>
      </c>
      <c r="N5">
        <v>609.26</v>
      </c>
      <c r="O5">
        <v>821.1400000000001</v>
      </c>
      <c r="P5">
        <v>975.87900000000025</v>
      </c>
      <c r="Q5">
        <v>1367.5788236999999</v>
      </c>
      <c r="R5">
        <v>2026.2137554000003</v>
      </c>
      <c r="S5">
        <v>2573.9805299999998</v>
      </c>
      <c r="T5">
        <v>3095.6100381182673</v>
      </c>
      <c r="U5">
        <v>3652.1248820000001</v>
      </c>
      <c r="V5">
        <v>4075.1464609999994</v>
      </c>
      <c r="W5" cm="1">
        <f t="array" ref="W5">W2:W2+W3+W4</f>
        <v>0</v>
      </c>
    </row>
    <row r="6" spans="1:25">
      <c r="A6" t="s">
        <v>18</v>
      </c>
      <c r="B6">
        <f t="shared" ref="B6:U6" si="0">SUM(B3:B5)</f>
        <v>1553.1229999999998</v>
      </c>
      <c r="C6">
        <f t="shared" si="0"/>
        <v>2099.1870000000004</v>
      </c>
      <c r="D6">
        <f t="shared" si="0"/>
        <v>2742.1000000000004</v>
      </c>
      <c r="E6">
        <f t="shared" si="0"/>
        <v>3135.672</v>
      </c>
      <c r="F6">
        <f t="shared" si="0"/>
        <v>4260.3420000000006</v>
      </c>
      <c r="G6">
        <f t="shared" si="0"/>
        <v>4993.1530000000002</v>
      </c>
      <c r="H6">
        <f t="shared" si="0"/>
        <v>6118.4580000000005</v>
      </c>
      <c r="I6">
        <f t="shared" si="0"/>
        <v>6829.1839999999993</v>
      </c>
      <c r="J6">
        <f t="shared" si="0"/>
        <v>7190.6360000000004</v>
      </c>
      <c r="K6">
        <f t="shared" si="0"/>
        <v>7422.7370000000001</v>
      </c>
      <c r="L6">
        <f t="shared" si="0"/>
        <v>7495.0739999999996</v>
      </c>
      <c r="M6">
        <f t="shared" si="0"/>
        <v>7740.0000000000009</v>
      </c>
      <c r="N6">
        <f t="shared" si="0"/>
        <v>7606.68</v>
      </c>
      <c r="O6">
        <f t="shared" si="0"/>
        <v>7992.9100000000008</v>
      </c>
      <c r="P6">
        <f t="shared" si="0"/>
        <v>7900.1889999999994</v>
      </c>
      <c r="Q6">
        <f t="shared" si="0"/>
        <v>8237.8388236999999</v>
      </c>
      <c r="R6">
        <f t="shared" si="0"/>
        <v>8823.4627553999999</v>
      </c>
      <c r="S6">
        <f t="shared" si="0"/>
        <v>8818.8705300000001</v>
      </c>
      <c r="T6">
        <f t="shared" si="0"/>
        <v>9582.3100381182667</v>
      </c>
      <c r="U6">
        <f t="shared" si="0"/>
        <v>10315.424881999999</v>
      </c>
      <c r="V6">
        <f>SUM(V3:V5)</f>
        <v>10313.176460999999</v>
      </c>
      <c r="W6">
        <f>V6/B6</f>
        <v>6.6402831334028276</v>
      </c>
      <c r="X6">
        <f>V6/F6</f>
        <v>2.4207391005229151</v>
      </c>
      <c r="Y6">
        <f>V6/L6</f>
        <v>1.3759939476248</v>
      </c>
    </row>
    <row r="9" spans="1:25">
      <c r="B9">
        <v>1984</v>
      </c>
      <c r="C9">
        <v>1988</v>
      </c>
      <c r="D9">
        <v>1992</v>
      </c>
      <c r="E9">
        <v>1996</v>
      </c>
      <c r="F9">
        <v>2000</v>
      </c>
      <c r="G9">
        <v>2004</v>
      </c>
      <c r="H9">
        <v>2008</v>
      </c>
      <c r="I9">
        <v>2010</v>
      </c>
      <c r="J9">
        <v>2011</v>
      </c>
      <c r="K9">
        <v>2012</v>
      </c>
      <c r="L9">
        <v>2013</v>
      </c>
      <c r="M9">
        <v>2014</v>
      </c>
      <c r="N9">
        <v>2015</v>
      </c>
      <c r="O9">
        <v>2016</v>
      </c>
      <c r="P9">
        <v>2017</v>
      </c>
      <c r="Q9">
        <v>2018</v>
      </c>
      <c r="R9">
        <v>2019</v>
      </c>
      <c r="S9">
        <v>2020</v>
      </c>
      <c r="T9">
        <v>2021</v>
      </c>
      <c r="U9">
        <v>2022</v>
      </c>
      <c r="V9">
        <v>2023</v>
      </c>
    </row>
    <row r="10" spans="1:25">
      <c r="A10" t="s">
        <v>435</v>
      </c>
      <c r="B10">
        <v>913.5569999999999</v>
      </c>
      <c r="C10">
        <v>1311.7190000000001</v>
      </c>
      <c r="D10">
        <v>1758.4451200000001</v>
      </c>
      <c r="E10">
        <v>1853.4184</v>
      </c>
      <c r="F10">
        <v>2657.6963300000002</v>
      </c>
      <c r="G10">
        <v>2845.0684860254423</v>
      </c>
      <c r="H10">
        <v>3371.4592998262888</v>
      </c>
      <c r="I10">
        <v>3604.2</v>
      </c>
      <c r="J10">
        <v>3763.26</v>
      </c>
      <c r="K10">
        <v>3659.63</v>
      </c>
      <c r="L10">
        <v>3589.18</v>
      </c>
      <c r="M10">
        <v>3518.4</v>
      </c>
      <c r="N10">
        <v>3326.8</v>
      </c>
      <c r="O10">
        <v>3279</v>
      </c>
      <c r="P10">
        <v>2981.6151909999999</v>
      </c>
      <c r="Q10">
        <v>2902.6550319999997</v>
      </c>
      <c r="R10">
        <v>2903.1398829999998</v>
      </c>
      <c r="S10">
        <v>2398.4315079999997</v>
      </c>
      <c r="T10">
        <v>2678.0374460000003</v>
      </c>
      <c r="U10">
        <v>2973.8199999999997</v>
      </c>
      <c r="V10">
        <v>2676.4700000000003</v>
      </c>
    </row>
    <row r="11" spans="1:25">
      <c r="A11" t="s">
        <v>658</v>
      </c>
      <c r="B11">
        <v>53.466000000000001</v>
      </c>
      <c r="C11">
        <v>81.168000000000006</v>
      </c>
      <c r="D11">
        <v>225.25488000000004</v>
      </c>
      <c r="E11">
        <v>378.75360000000001</v>
      </c>
      <c r="F11">
        <v>724.14567</v>
      </c>
      <c r="G11">
        <v>1356.7845139745577</v>
      </c>
      <c r="H11">
        <v>1904.1817001737113</v>
      </c>
      <c r="I11">
        <v>2361.8199999999997</v>
      </c>
      <c r="J11">
        <v>2598.3419999999996</v>
      </c>
      <c r="K11">
        <v>2917.3069999999998</v>
      </c>
      <c r="L11">
        <v>3115.3740000000003</v>
      </c>
      <c r="M11">
        <v>3448.9700000000003</v>
      </c>
      <c r="N11">
        <v>3628.5600000000004</v>
      </c>
      <c r="O11">
        <v>3888.7400000000007</v>
      </c>
      <c r="P11">
        <v>4011.8790000000004</v>
      </c>
      <c r="Q11">
        <v>4346.7388236999996</v>
      </c>
      <c r="R11">
        <v>4963.3427554</v>
      </c>
      <c r="S11">
        <v>5486.0805299999993</v>
      </c>
      <c r="T11">
        <v>5894.5011381182667</v>
      </c>
      <c r="U11">
        <v>6394.2748819999997</v>
      </c>
      <c r="V11">
        <v>6712.6264609999998</v>
      </c>
    </row>
    <row r="12" spans="1:25">
      <c r="A12" t="s">
        <v>659</v>
      </c>
      <c r="B12">
        <v>586.09999999999991</v>
      </c>
      <c r="C12">
        <v>706.30000000000018</v>
      </c>
      <c r="D12">
        <v>758.40000000000032</v>
      </c>
      <c r="E12">
        <v>903.5</v>
      </c>
      <c r="F12">
        <v>878.50000000000045</v>
      </c>
      <c r="G12">
        <v>791.30000000000018</v>
      </c>
      <c r="H12">
        <v>842.81700000000092</v>
      </c>
      <c r="I12">
        <v>863.16399999999976</v>
      </c>
      <c r="J12">
        <v>829.03400000000056</v>
      </c>
      <c r="K12">
        <v>845.80000000000018</v>
      </c>
      <c r="L12">
        <v>790.51999999999953</v>
      </c>
      <c r="M12">
        <v>772.63000000000011</v>
      </c>
      <c r="N12">
        <v>651.31999999999971</v>
      </c>
      <c r="O12">
        <v>825.17000000000007</v>
      </c>
      <c r="P12">
        <v>906.69480899999962</v>
      </c>
      <c r="Q12">
        <v>988.4449680000007</v>
      </c>
      <c r="R12">
        <v>956.98011700000006</v>
      </c>
      <c r="S12">
        <v>934.35849200000121</v>
      </c>
      <c r="T12">
        <v>1009.7714539999997</v>
      </c>
      <c r="U12">
        <v>947.32999999999993</v>
      </c>
      <c r="V12">
        <v>924.07999999999811</v>
      </c>
    </row>
  </sheetData>
  <pageMargins left="0.7" right="0.7" top="0.75" bottom="0.75" header="0.3" footer="0.3"/>
  <pageSetup orientation="portrait" r:id="rId1"/>
  <headerFooter>
    <oddHeader>&amp;R&amp;"Calibri"&amp;12&amp;K000000 Unclassified / Non classifié&amp;1#_x000D_</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D596-17F5-DE41-AE7D-F83A116D1CF6}">
  <dimension ref="A1:V29"/>
  <sheetViews>
    <sheetView zoomScale="40" zoomScaleNormal="40" workbookViewId="0"/>
  </sheetViews>
  <sheetFormatPr baseColWidth="10" defaultColWidth="10.6640625" defaultRowHeight="16"/>
  <sheetData>
    <row r="1" spans="1:22" ht="18" customHeight="1">
      <c r="A1" t="s">
        <v>738</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113</v>
      </c>
      <c r="F3">
        <v>627.29999999999995</v>
      </c>
      <c r="G3">
        <v>981.9</v>
      </c>
      <c r="H3">
        <v>51.7</v>
      </c>
      <c r="I3">
        <v>59.2</v>
      </c>
      <c r="J3">
        <v>1727</v>
      </c>
      <c r="K3">
        <v>1804.7</v>
      </c>
      <c r="L3">
        <v>2189</v>
      </c>
      <c r="M3">
        <v>2211.6</v>
      </c>
      <c r="N3">
        <v>2205.6</v>
      </c>
      <c r="O3">
        <v>2305.8000000000002</v>
      </c>
      <c r="P3">
        <v>2350.6999999999998</v>
      </c>
      <c r="Q3">
        <v>2341.1</v>
      </c>
      <c r="R3">
        <v>2541</v>
      </c>
      <c r="S3">
        <v>2426.1</v>
      </c>
      <c r="T3">
        <v>2486.3000000000002</v>
      </c>
      <c r="U3">
        <v>2662.3</v>
      </c>
      <c r="V3">
        <v>2580.4</v>
      </c>
    </row>
    <row r="4" spans="1:22">
      <c r="A4" t="s">
        <v>115</v>
      </c>
      <c r="B4">
        <v>810.9</v>
      </c>
      <c r="C4">
        <v>982.3</v>
      </c>
      <c r="D4">
        <v>1058.2</v>
      </c>
      <c r="E4">
        <v>1116.4000000000001</v>
      </c>
      <c r="F4">
        <v>1255.9000000000001</v>
      </c>
      <c r="G4">
        <v>1230.3</v>
      </c>
      <c r="H4">
        <v>1305.3</v>
      </c>
      <c r="I4">
        <v>1385.3</v>
      </c>
      <c r="J4">
        <v>1410.1</v>
      </c>
      <c r="K4">
        <v>1449.2</v>
      </c>
      <c r="L4">
        <v>1382</v>
      </c>
      <c r="M4">
        <v>1459.5</v>
      </c>
      <c r="N4">
        <v>1150</v>
      </c>
      <c r="O4">
        <v>1241.8</v>
      </c>
      <c r="P4">
        <v>1172.8</v>
      </c>
      <c r="Q4">
        <v>1251.5</v>
      </c>
      <c r="R4">
        <v>1184.9000000000001</v>
      </c>
      <c r="S4">
        <v>1156</v>
      </c>
      <c r="T4">
        <v>1281.3</v>
      </c>
      <c r="U4">
        <v>1266</v>
      </c>
      <c r="V4">
        <v>1201</v>
      </c>
    </row>
    <row r="5" spans="1:22">
      <c r="A5" t="s">
        <v>138</v>
      </c>
      <c r="E5">
        <v>24.6</v>
      </c>
      <c r="F5">
        <v>151.30000000000001</v>
      </c>
      <c r="G5">
        <v>169.5</v>
      </c>
      <c r="H5">
        <v>475.4</v>
      </c>
      <c r="I5">
        <v>1474.9</v>
      </c>
      <c r="J5">
        <v>1589.3</v>
      </c>
      <c r="K5">
        <v>1511.7</v>
      </c>
      <c r="L5">
        <v>1551.4</v>
      </c>
      <c r="M5">
        <v>1544.9</v>
      </c>
      <c r="N5">
        <v>1509.2</v>
      </c>
      <c r="O5">
        <v>1367.4</v>
      </c>
      <c r="P5">
        <v>1203.9000000000001</v>
      </c>
      <c r="Q5">
        <v>1198.3</v>
      </c>
      <c r="R5">
        <v>1206.7</v>
      </c>
      <c r="S5">
        <v>1093.2</v>
      </c>
      <c r="T5">
        <v>1107.2</v>
      </c>
      <c r="U5">
        <v>1167.3</v>
      </c>
      <c r="V5">
        <v>1059.3</v>
      </c>
    </row>
    <row r="6" spans="1:22">
      <c r="A6" t="s">
        <v>121</v>
      </c>
      <c r="B6">
        <v>108.8</v>
      </c>
      <c r="C6">
        <v>61.8</v>
      </c>
      <c r="D6">
        <v>88.7</v>
      </c>
      <c r="E6">
        <v>211</v>
      </c>
      <c r="F6">
        <v>151.30000000000001</v>
      </c>
      <c r="G6">
        <v>185.6</v>
      </c>
      <c r="H6">
        <v>483</v>
      </c>
      <c r="I6">
        <v>606.20000000000005</v>
      </c>
      <c r="J6">
        <v>719.3</v>
      </c>
      <c r="K6">
        <v>743.4</v>
      </c>
      <c r="L6">
        <v>786</v>
      </c>
      <c r="M6">
        <v>776.8</v>
      </c>
      <c r="N6">
        <v>850.4</v>
      </c>
      <c r="O6">
        <v>1020.1</v>
      </c>
      <c r="P6">
        <v>1106.4000000000001</v>
      </c>
      <c r="Q6">
        <v>1141.0999999999999</v>
      </c>
      <c r="R6">
        <v>1054.7</v>
      </c>
      <c r="S6">
        <v>1039.9000000000001</v>
      </c>
      <c r="T6">
        <v>1133.3</v>
      </c>
      <c r="U6">
        <v>1305.4000000000001</v>
      </c>
      <c r="V6">
        <v>1355.7</v>
      </c>
    </row>
    <row r="7" spans="1:22">
      <c r="A7" t="s">
        <v>161</v>
      </c>
      <c r="J7">
        <v>48.5</v>
      </c>
      <c r="K7">
        <v>134.1</v>
      </c>
      <c r="L7">
        <v>229</v>
      </c>
      <c r="M7">
        <v>338.9</v>
      </c>
      <c r="N7">
        <v>396.6</v>
      </c>
      <c r="O7">
        <v>520.4</v>
      </c>
      <c r="P7">
        <v>602.6</v>
      </c>
      <c r="Q7">
        <v>746.3</v>
      </c>
      <c r="R7">
        <v>968.2</v>
      </c>
      <c r="S7">
        <v>1126</v>
      </c>
      <c r="T7">
        <v>1312.6</v>
      </c>
      <c r="U7">
        <v>1456.9</v>
      </c>
      <c r="V7">
        <v>1522.1</v>
      </c>
    </row>
    <row r="8" spans="1:22">
      <c r="A8" t="s">
        <v>123</v>
      </c>
      <c r="F8">
        <v>233.2</v>
      </c>
      <c r="G8">
        <v>271.2</v>
      </c>
      <c r="H8">
        <v>342.9</v>
      </c>
      <c r="I8">
        <v>377.3</v>
      </c>
      <c r="J8">
        <v>379.6</v>
      </c>
      <c r="K8">
        <v>406</v>
      </c>
      <c r="L8">
        <v>395.2</v>
      </c>
      <c r="M8">
        <v>405.6</v>
      </c>
      <c r="N8">
        <v>456</v>
      </c>
      <c r="O8">
        <v>451.5</v>
      </c>
      <c r="P8">
        <v>493.3</v>
      </c>
      <c r="Q8">
        <v>470.1</v>
      </c>
      <c r="R8">
        <v>479.3</v>
      </c>
      <c r="S8">
        <v>451.3</v>
      </c>
      <c r="T8">
        <v>479.2</v>
      </c>
      <c r="U8">
        <v>474.2</v>
      </c>
      <c r="V8">
        <v>454.6</v>
      </c>
    </row>
    <row r="9" spans="1:22">
      <c r="A9" t="s">
        <v>591</v>
      </c>
      <c r="H9">
        <v>1515.8</v>
      </c>
      <c r="I9">
        <v>1691.8</v>
      </c>
    </row>
    <row r="10" spans="1:22">
      <c r="A10" t="s">
        <v>130</v>
      </c>
      <c r="B10">
        <v>84.8</v>
      </c>
      <c r="C10">
        <v>141.6</v>
      </c>
      <c r="D10">
        <v>243.9</v>
      </c>
      <c r="E10">
        <v>325.2</v>
      </c>
      <c r="F10">
        <v>619.29999999999995</v>
      </c>
      <c r="G10">
        <v>690.3</v>
      </c>
      <c r="H10">
        <v>1030.7</v>
      </c>
    </row>
    <row r="11" spans="1:22">
      <c r="A11" t="s">
        <v>582</v>
      </c>
      <c r="C11">
        <v>20.100000000000001</v>
      </c>
      <c r="D11">
        <v>88.9</v>
      </c>
      <c r="E11">
        <v>110.1</v>
      </c>
      <c r="F11">
        <v>207.7</v>
      </c>
      <c r="G11">
        <v>370.8</v>
      </c>
      <c r="H11">
        <v>490.9</v>
      </c>
      <c r="I11">
        <v>523.70000000000005</v>
      </c>
      <c r="J11">
        <v>553.9</v>
      </c>
      <c r="K11">
        <v>561.6</v>
      </c>
    </row>
    <row r="12" spans="1:22">
      <c r="A12" t="s">
        <v>158</v>
      </c>
      <c r="S12">
        <v>244.6</v>
      </c>
      <c r="T12">
        <v>377.1</v>
      </c>
      <c r="U12">
        <v>448</v>
      </c>
      <c r="V12">
        <v>541.79999999999995</v>
      </c>
    </row>
    <row r="13" spans="1:22">
      <c r="A13" t="s">
        <v>162</v>
      </c>
      <c r="J13">
        <v>34.4</v>
      </c>
      <c r="K13">
        <v>48.9</v>
      </c>
      <c r="L13">
        <v>61.9</v>
      </c>
      <c r="M13">
        <v>85.8</v>
      </c>
      <c r="N13">
        <v>105.1</v>
      </c>
      <c r="O13">
        <v>95.7</v>
      </c>
      <c r="P13">
        <v>82.9</v>
      </c>
      <c r="Q13">
        <v>147.30000000000001</v>
      </c>
      <c r="R13">
        <v>147.80000000000001</v>
      </c>
      <c r="S13">
        <v>175.4</v>
      </c>
      <c r="T13">
        <v>167</v>
      </c>
      <c r="U13">
        <v>130</v>
      </c>
      <c r="V13">
        <v>134.69999999999999</v>
      </c>
    </row>
    <row r="14" spans="1:22">
      <c r="A14" t="s">
        <v>124</v>
      </c>
      <c r="B14">
        <v>147.744</v>
      </c>
      <c r="C14">
        <v>228.768</v>
      </c>
      <c r="D14">
        <v>192.38399999999999</v>
      </c>
      <c r="E14">
        <v>216.19200000000001</v>
      </c>
      <c r="F14">
        <v>497</v>
      </c>
    </row>
    <row r="15" spans="1:22">
      <c r="A15" t="s">
        <v>129</v>
      </c>
      <c r="B15">
        <v>73.900000000000006</v>
      </c>
      <c r="C15">
        <v>113</v>
      </c>
      <c r="D15">
        <v>142.4</v>
      </c>
      <c r="E15">
        <v>169.5</v>
      </c>
      <c r="F15">
        <v>266.35230000000001</v>
      </c>
      <c r="G15">
        <v>449.8</v>
      </c>
    </row>
    <row r="16" spans="1:22">
      <c r="A16" t="s">
        <v>590</v>
      </c>
      <c r="H16">
        <v>97.7</v>
      </c>
      <c r="I16">
        <v>61.9</v>
      </c>
      <c r="J16">
        <v>66.5</v>
      </c>
      <c r="K16">
        <v>73.2</v>
      </c>
      <c r="L16">
        <v>76.900000000000006</v>
      </c>
      <c r="M16">
        <v>65.034689999999998</v>
      </c>
      <c r="N16">
        <v>91.322630000000004</v>
      </c>
      <c r="O16">
        <v>90.805689999999998</v>
      </c>
      <c r="P16">
        <v>71.728610000000003</v>
      </c>
      <c r="Q16">
        <v>65.923869999999994</v>
      </c>
      <c r="R16">
        <v>64.41</v>
      </c>
    </row>
    <row r="17" spans="1:22">
      <c r="A17" t="s">
        <v>179</v>
      </c>
      <c r="Q17">
        <v>44.55</v>
      </c>
      <c r="R17">
        <v>124.63</v>
      </c>
      <c r="S17">
        <v>159.97999999999999</v>
      </c>
      <c r="T17">
        <v>167.53</v>
      </c>
      <c r="U17">
        <v>211.15</v>
      </c>
      <c r="V17">
        <v>288.58</v>
      </c>
    </row>
    <row r="18" spans="1:22">
      <c r="A18" t="s">
        <v>446</v>
      </c>
      <c r="D18">
        <v>17.8</v>
      </c>
      <c r="E18">
        <v>24.7</v>
      </c>
      <c r="F18">
        <v>32.200000000000003</v>
      </c>
      <c r="G18">
        <v>39.299999999999997</v>
      </c>
      <c r="H18">
        <v>49.3</v>
      </c>
      <c r="I18">
        <v>47</v>
      </c>
      <c r="J18">
        <v>49.1</v>
      </c>
      <c r="K18">
        <v>50.4</v>
      </c>
      <c r="L18">
        <v>50.8</v>
      </c>
      <c r="M18">
        <v>47.5</v>
      </c>
      <c r="N18">
        <v>42.7</v>
      </c>
      <c r="O18">
        <v>41</v>
      </c>
      <c r="P18">
        <v>40.4</v>
      </c>
      <c r="Q18">
        <v>38.6</v>
      </c>
      <c r="R18">
        <v>36.299999999999997</v>
      </c>
      <c r="S18">
        <v>34.299999999999997</v>
      </c>
      <c r="T18">
        <v>32.200000000000003</v>
      </c>
      <c r="U18">
        <v>30.4</v>
      </c>
      <c r="V18">
        <v>28.9</v>
      </c>
    </row>
    <row r="19" spans="1:22">
      <c r="A19" t="s">
        <v>587</v>
      </c>
      <c r="B19">
        <v>58.4</v>
      </c>
      <c r="C19">
        <v>72.5</v>
      </c>
      <c r="D19">
        <v>227.5</v>
      </c>
      <c r="E19">
        <v>307.7</v>
      </c>
    </row>
    <row r="20" spans="1:22">
      <c r="A20" t="s">
        <v>514</v>
      </c>
      <c r="R20">
        <v>36.9</v>
      </c>
      <c r="S20">
        <v>46.9</v>
      </c>
      <c r="T20">
        <v>97.8</v>
      </c>
      <c r="U20">
        <v>165.5</v>
      </c>
      <c r="V20">
        <v>251.3</v>
      </c>
    </row>
    <row r="21" spans="1:22">
      <c r="A21" t="s">
        <v>597</v>
      </c>
      <c r="K21">
        <v>41.6</v>
      </c>
      <c r="L21">
        <v>42.4</v>
      </c>
      <c r="M21">
        <v>43.2</v>
      </c>
      <c r="N21">
        <v>45.4</v>
      </c>
      <c r="O21">
        <v>44.4</v>
      </c>
      <c r="P21">
        <v>45.6</v>
      </c>
      <c r="Q21">
        <v>44.4</v>
      </c>
      <c r="R21">
        <v>49.3</v>
      </c>
      <c r="S21">
        <v>48.2</v>
      </c>
      <c r="T21">
        <v>46.9</v>
      </c>
      <c r="U21">
        <v>46.6</v>
      </c>
      <c r="V21">
        <v>45.7</v>
      </c>
    </row>
    <row r="22" spans="1:22">
      <c r="A22" t="s">
        <v>159</v>
      </c>
      <c r="P22">
        <v>1.8</v>
      </c>
      <c r="Q22">
        <v>3.1</v>
      </c>
      <c r="R22">
        <v>7.5</v>
      </c>
      <c r="S22">
        <v>16.399999999999999</v>
      </c>
      <c r="T22">
        <v>18.100000000000001</v>
      </c>
      <c r="U22">
        <v>34.4</v>
      </c>
      <c r="V22">
        <v>45.6</v>
      </c>
    </row>
    <row r="23" spans="1:22">
      <c r="A23" t="s">
        <v>132</v>
      </c>
      <c r="B23">
        <v>55.4</v>
      </c>
      <c r="C23">
        <v>67.400000000000006</v>
      </c>
      <c r="D23">
        <v>105.5</v>
      </c>
      <c r="E23">
        <v>65.099999999999994</v>
      </c>
      <c r="F23">
        <v>52</v>
      </c>
    </row>
    <row r="24" spans="1:22">
      <c r="A24" t="s">
        <v>583</v>
      </c>
      <c r="F24">
        <v>101.3</v>
      </c>
      <c r="G24">
        <v>239.1</v>
      </c>
    </row>
    <row r="25" spans="1:22">
      <c r="A25" t="s">
        <v>128</v>
      </c>
      <c r="B25">
        <v>69.900000000000006</v>
      </c>
      <c r="C25">
        <v>81.8</v>
      </c>
    </row>
    <row r="26" spans="1:22">
      <c r="A26" t="s">
        <v>119</v>
      </c>
      <c r="B26">
        <v>34.750700000000002</v>
      </c>
      <c r="C26">
        <v>48.0852</v>
      </c>
      <c r="D26">
        <v>67.009180000000001</v>
      </c>
    </row>
    <row r="27" spans="1:22">
      <c r="A27" t="s">
        <v>588</v>
      </c>
      <c r="B27">
        <v>89.3</v>
      </c>
    </row>
    <row r="28" spans="1:22">
      <c r="A28" t="s">
        <v>343</v>
      </c>
      <c r="B28">
        <v>0.7</v>
      </c>
      <c r="C28">
        <v>22</v>
      </c>
      <c r="D28">
        <v>58.1</v>
      </c>
      <c r="E28">
        <v>55.5</v>
      </c>
      <c r="F28">
        <v>337.3</v>
      </c>
      <c r="G28">
        <v>258.2</v>
      </c>
      <c r="H28">
        <v>253.6</v>
      </c>
      <c r="I28">
        <v>531.20000000000005</v>
      </c>
      <c r="J28">
        <v>440.8</v>
      </c>
      <c r="K28">
        <v>525.4</v>
      </c>
      <c r="L28">
        <v>666.9</v>
      </c>
      <c r="M28">
        <v>672.5</v>
      </c>
      <c r="N28">
        <v>692.2</v>
      </c>
      <c r="O28">
        <v>738.6</v>
      </c>
      <c r="P28">
        <v>714.5</v>
      </c>
      <c r="Q28">
        <v>607.29999999999995</v>
      </c>
      <c r="R28">
        <v>751.6</v>
      </c>
      <c r="S28">
        <v>694.2</v>
      </c>
      <c r="T28">
        <v>695.1</v>
      </c>
      <c r="U28">
        <v>710.5</v>
      </c>
      <c r="V28">
        <v>682.6</v>
      </c>
    </row>
    <row r="29" spans="1:22">
      <c r="A29" t="s">
        <v>39</v>
      </c>
      <c r="B29">
        <v>1553.1</v>
      </c>
      <c r="C29">
        <v>2099.1999999999998</v>
      </c>
      <c r="D29">
        <v>2742.1</v>
      </c>
      <c r="E29">
        <v>3135.7</v>
      </c>
      <c r="F29">
        <v>4260.3</v>
      </c>
      <c r="G29">
        <v>4993.2</v>
      </c>
      <c r="H29">
        <v>6118.5</v>
      </c>
      <c r="I29">
        <v>6829.2</v>
      </c>
      <c r="J29">
        <v>7190.6</v>
      </c>
      <c r="K29">
        <v>7422.7</v>
      </c>
      <c r="L29">
        <v>7495.1</v>
      </c>
      <c r="M29">
        <v>7740</v>
      </c>
      <c r="N29">
        <v>7606.7</v>
      </c>
      <c r="O29">
        <v>7992.9</v>
      </c>
      <c r="P29">
        <v>7900.2</v>
      </c>
      <c r="Q29">
        <v>8237.7999999999993</v>
      </c>
      <c r="R29">
        <v>8823.5</v>
      </c>
      <c r="S29">
        <v>8818.9</v>
      </c>
      <c r="T29">
        <v>9582.2999999999993</v>
      </c>
      <c r="U29">
        <v>10315.4</v>
      </c>
      <c r="V29">
        <v>10313.200000000001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1ECA-EDE2-824E-84B0-ED1851D28F8F}">
  <dimension ref="A1:V13"/>
  <sheetViews>
    <sheetView zoomScale="60" zoomScaleNormal="60" workbookViewId="0"/>
  </sheetViews>
  <sheetFormatPr baseColWidth="10" defaultColWidth="10.6640625" defaultRowHeight="16"/>
  <sheetData>
    <row r="1" spans="1:22">
      <c r="A1" t="s">
        <v>739</v>
      </c>
    </row>
    <row r="2" spans="1:22">
      <c r="A2" t="s">
        <v>657</v>
      </c>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803</v>
      </c>
      <c r="B3">
        <v>74.479226693571604</v>
      </c>
      <c r="C3">
        <v>69.820935438338736</v>
      </c>
      <c r="D3">
        <v>62.798730899675419</v>
      </c>
      <c r="E3">
        <v>62.682002454338331</v>
      </c>
      <c r="F3">
        <v>70.404911155019931</v>
      </c>
      <c r="G3">
        <v>67.136937321968702</v>
      </c>
      <c r="H3">
        <v>70.977033755890773</v>
      </c>
      <c r="I3">
        <v>75.532116282120981</v>
      </c>
      <c r="J3">
        <v>74.825299065957324</v>
      </c>
      <c r="K3">
        <v>73.17035946822169</v>
      </c>
      <c r="L3">
        <v>77.728816523146691</v>
      </c>
      <c r="M3">
        <v>76.017312063646699</v>
      </c>
      <c r="N3">
        <v>73.612102165148968</v>
      </c>
      <c r="O3">
        <v>72.195170607633457</v>
      </c>
      <c r="P3">
        <v>71.195327242978408</v>
      </c>
      <c r="Q3">
        <v>68.973032436461807</v>
      </c>
      <c r="R3">
        <v>64.28538082424835</v>
      </c>
      <c r="S3">
        <v>61.197703757780353</v>
      </c>
      <c r="T3">
        <v>59.848184770568423</v>
      </c>
      <c r="U3">
        <v>59.494323054195398</v>
      </c>
      <c r="V3">
        <v>58.401528683497808</v>
      </c>
    </row>
    <row r="4" spans="1:22">
      <c r="A4" t="s">
        <v>234</v>
      </c>
      <c r="B4">
        <v>78.973397470773406</v>
      </c>
      <c r="C4">
        <v>74.975311870738537</v>
      </c>
      <c r="D4">
        <v>70.187228766274004</v>
      </c>
      <c r="E4">
        <v>73.630213874410344</v>
      </c>
      <c r="F4">
        <v>78.331504841630078</v>
      </c>
      <c r="G4">
        <v>76.073174605304501</v>
      </c>
      <c r="H4">
        <v>80.631427068715681</v>
      </c>
      <c r="I4">
        <v>81.310259029482879</v>
      </c>
      <c r="J4">
        <v>82.370531201968788</v>
      </c>
      <c r="K4">
        <v>81.987182760213642</v>
      </c>
      <c r="L4">
        <v>82.712092609092309</v>
      </c>
      <c r="M4">
        <v>83.082816537467693</v>
      </c>
      <c r="N4">
        <v>82.126566684000863</v>
      </c>
      <c r="O4">
        <v>81.879122400022609</v>
      </c>
      <c r="P4">
        <v>83.751126579078388</v>
      </c>
      <c r="Q4">
        <v>83.232620604693423</v>
      </c>
      <c r="R4">
        <v>82.031523257335351</v>
      </c>
      <c r="S4">
        <v>81.61851871648561</v>
      </c>
      <c r="T4">
        <v>80.518663901461537</v>
      </c>
      <c r="U4">
        <v>79.800086018610628</v>
      </c>
      <c r="V4">
        <v>80.340972943880217</v>
      </c>
    </row>
    <row r="8" spans="1:22">
      <c r="B8">
        <v>1984</v>
      </c>
      <c r="C8">
        <v>1988</v>
      </c>
      <c r="D8">
        <v>1992</v>
      </c>
      <c r="E8">
        <v>1996</v>
      </c>
      <c r="F8">
        <v>2000</v>
      </c>
      <c r="G8">
        <v>2004</v>
      </c>
      <c r="H8">
        <v>2008</v>
      </c>
      <c r="I8">
        <v>2010</v>
      </c>
      <c r="J8">
        <v>2011</v>
      </c>
      <c r="K8">
        <v>2012</v>
      </c>
      <c r="L8">
        <v>2013</v>
      </c>
      <c r="M8">
        <v>2014</v>
      </c>
      <c r="N8">
        <v>2015</v>
      </c>
      <c r="O8">
        <v>2016</v>
      </c>
      <c r="P8">
        <v>2017</v>
      </c>
      <c r="Q8">
        <v>2018</v>
      </c>
      <c r="R8">
        <v>2019</v>
      </c>
      <c r="S8">
        <v>2020</v>
      </c>
      <c r="T8">
        <v>2021</v>
      </c>
      <c r="U8">
        <v>2022</v>
      </c>
      <c r="V8">
        <v>2023</v>
      </c>
    </row>
    <row r="9" spans="1:22">
      <c r="A9" t="s">
        <v>807</v>
      </c>
      <c r="B9">
        <v>77.621883572039906</v>
      </c>
      <c r="C9">
        <v>74.646448489283713</v>
      </c>
      <c r="D9">
        <v>75.959375070816037</v>
      </c>
      <c r="E9">
        <v>92.139531912488366</v>
      </c>
      <c r="F9">
        <v>89.172178355651482</v>
      </c>
      <c r="G9">
        <v>88.208995267343226</v>
      </c>
      <c r="H9">
        <v>87.360706553154301</v>
      </c>
      <c r="I9">
        <v>87.265448322229688</v>
      </c>
      <c r="J9">
        <v>86.690283317058118</v>
      </c>
      <c r="K9">
        <v>87.178935495333363</v>
      </c>
      <c r="L9">
        <v>86.050852771964628</v>
      </c>
      <c r="M9">
        <v>86.194247814902553</v>
      </c>
      <c r="N9">
        <v>87.382927429658793</v>
      </c>
      <c r="O9">
        <v>85.690976325721479</v>
      </c>
      <c r="P9">
        <v>85.809946492363849</v>
      </c>
      <c r="Q9">
        <v>87.084752935283404</v>
      </c>
      <c r="R9">
        <v>87.056516404796781</v>
      </c>
      <c r="S9">
        <v>86.577118568267466</v>
      </c>
      <c r="T9">
        <v>86.379440853775193</v>
      </c>
      <c r="U9">
        <v>86.577118568267466</v>
      </c>
      <c r="V9">
        <v>86.379440853775193</v>
      </c>
    </row>
    <row r="10" spans="1:22">
      <c r="A10" t="s">
        <v>805</v>
      </c>
      <c r="B10">
        <v>100</v>
      </c>
      <c r="C10">
        <v>79.49438202247191</v>
      </c>
      <c r="D10">
        <v>64.968095352757047</v>
      </c>
      <c r="E10">
        <v>45.834838727959252</v>
      </c>
      <c r="F10">
        <v>71.344230796130248</v>
      </c>
      <c r="G10">
        <v>74.649889772118968</v>
      </c>
      <c r="H10">
        <v>77.507571052151334</v>
      </c>
      <c r="I10">
        <v>76.803431153494557</v>
      </c>
      <c r="J10">
        <v>78.45526050637082</v>
      </c>
      <c r="K10">
        <v>78.371423174992913</v>
      </c>
      <c r="L10">
        <v>78.150707469562363</v>
      </c>
      <c r="M10">
        <v>78.002762931424954</v>
      </c>
      <c r="N10">
        <v>78.350286368843072</v>
      </c>
      <c r="O10">
        <v>79.076135582365609</v>
      </c>
      <c r="P10">
        <v>76.963872350689044</v>
      </c>
      <c r="Q10">
        <v>77.3650454302512</v>
      </c>
      <c r="R10">
        <v>76.087626262626273</v>
      </c>
      <c r="S10">
        <v>76.4007654202113</v>
      </c>
      <c r="T10">
        <v>78.114851381842371</v>
      </c>
      <c r="U10">
        <v>76.4007654202113</v>
      </c>
      <c r="V10">
        <v>78.114851381842371</v>
      </c>
    </row>
    <row r="11" spans="1:22">
      <c r="A11" t="s">
        <v>808</v>
      </c>
      <c r="H11">
        <v>100</v>
      </c>
      <c r="I11">
        <v>100.00000000000001</v>
      </c>
      <c r="J11">
        <v>100</v>
      </c>
      <c r="K11">
        <v>100</v>
      </c>
      <c r="L11">
        <v>94.091192594294739</v>
      </c>
      <c r="M11">
        <v>90.574079937647653</v>
      </c>
      <c r="N11">
        <v>95.750497756381662</v>
      </c>
      <c r="O11">
        <v>92.976638835329751</v>
      </c>
      <c r="P11">
        <v>84.103355376915118</v>
      </c>
      <c r="Q11">
        <v>80.345663298393333</v>
      </c>
      <c r="R11">
        <v>80.049722064033688</v>
      </c>
      <c r="S11">
        <v>77.992707643670343</v>
      </c>
      <c r="T11">
        <v>75.105486153470551</v>
      </c>
      <c r="U11">
        <v>78.837059931792012</v>
      </c>
      <c r="V11">
        <v>78.872413370149957</v>
      </c>
    </row>
    <row r="12" spans="1:22">
      <c r="A12" t="s">
        <v>803</v>
      </c>
      <c r="B12">
        <v>74.479226693571604</v>
      </c>
      <c r="C12">
        <v>69.820935438338736</v>
      </c>
      <c r="D12">
        <v>62.798730899675419</v>
      </c>
      <c r="E12">
        <v>62.682002454338331</v>
      </c>
      <c r="F12">
        <v>70.404911155019931</v>
      </c>
      <c r="G12">
        <v>67.136937321968702</v>
      </c>
      <c r="H12">
        <v>70.977033755890773</v>
      </c>
      <c r="I12">
        <v>75.532116282120981</v>
      </c>
      <c r="J12">
        <v>74.825299065957324</v>
      </c>
      <c r="K12">
        <v>73.17035946822169</v>
      </c>
      <c r="L12">
        <v>77.728816523146691</v>
      </c>
      <c r="M12">
        <v>76.017312063646699</v>
      </c>
      <c r="N12">
        <v>73.612102165148968</v>
      </c>
      <c r="O12">
        <v>72.195170607633457</v>
      </c>
      <c r="P12">
        <v>71.195327242978408</v>
      </c>
      <c r="Q12">
        <v>68.973032436461807</v>
      </c>
      <c r="R12">
        <v>64.28538082424835</v>
      </c>
      <c r="S12">
        <v>61.197703757780353</v>
      </c>
      <c r="T12">
        <v>59.848184770568423</v>
      </c>
      <c r="U12">
        <v>59.494323054195398</v>
      </c>
      <c r="V12">
        <v>58.401528683497808</v>
      </c>
    </row>
    <row r="13" spans="1:22">
      <c r="A13" t="s">
        <v>234</v>
      </c>
      <c r="B13">
        <v>78.973397470773406</v>
      </c>
      <c r="C13">
        <v>74.975311870738537</v>
      </c>
      <c r="D13">
        <v>70.187228766274004</v>
      </c>
      <c r="E13">
        <v>73.630213874410344</v>
      </c>
      <c r="F13">
        <v>78.331504841630078</v>
      </c>
      <c r="G13">
        <v>76.073174605304501</v>
      </c>
      <c r="H13">
        <v>80.631427068715681</v>
      </c>
      <c r="I13">
        <v>81.310259029482879</v>
      </c>
      <c r="J13">
        <v>82.370531201968788</v>
      </c>
      <c r="K13">
        <v>81.987182760213642</v>
      </c>
      <c r="L13">
        <v>82.712092609092309</v>
      </c>
      <c r="M13">
        <v>83.082816537467693</v>
      </c>
      <c r="N13">
        <v>82.126566684000863</v>
      </c>
      <c r="O13">
        <v>81.879122400022609</v>
      </c>
      <c r="P13">
        <v>83.751126579078388</v>
      </c>
      <c r="Q13">
        <v>83.232620604693423</v>
      </c>
      <c r="R13">
        <v>82.031523257335351</v>
      </c>
      <c r="S13">
        <v>81.61851871648561</v>
      </c>
      <c r="T13">
        <v>80.518663901461537</v>
      </c>
      <c r="U13">
        <v>79.800086018610628</v>
      </c>
      <c r="V13">
        <v>80.340972943880217</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5AE17-5881-8844-A2DA-85617BE79F3F}">
  <dimension ref="A1:V15"/>
  <sheetViews>
    <sheetView zoomScale="55" zoomScaleNormal="55" workbookViewId="0"/>
  </sheetViews>
  <sheetFormatPr baseColWidth="10" defaultColWidth="10.6640625" defaultRowHeight="16"/>
  <cols>
    <col min="2" max="22" width="12.6640625" bestFit="1" customWidth="1"/>
  </cols>
  <sheetData>
    <row r="1" spans="1:22">
      <c r="A1" t="s">
        <v>740</v>
      </c>
    </row>
    <row r="2" spans="1:22">
      <c r="A2" t="s">
        <v>657</v>
      </c>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804</v>
      </c>
      <c r="B3">
        <v>3009.5698590905376</v>
      </c>
      <c r="C3">
        <v>2472.9290830176428</v>
      </c>
      <c r="D3">
        <v>1816.3467438409568</v>
      </c>
      <c r="E3">
        <v>1710.2564658737426</v>
      </c>
      <c r="F3">
        <v>1561.3903218898879</v>
      </c>
      <c r="G3">
        <v>1406.7396455437477</v>
      </c>
      <c r="H3">
        <v>1575.4865680237449</v>
      </c>
      <c r="I3">
        <v>1662.54681008026</v>
      </c>
      <c r="J3">
        <v>1600.8713036405047</v>
      </c>
      <c r="K3">
        <v>1536.3776292558948</v>
      </c>
      <c r="L3">
        <v>1723.6052963165821</v>
      </c>
      <c r="M3">
        <v>1660.045236971107</v>
      </c>
      <c r="N3">
        <v>1590.5419592667538</v>
      </c>
      <c r="O3">
        <v>1520.132526455051</v>
      </c>
      <c r="P3">
        <v>1519.7379819230214</v>
      </c>
      <c r="Q3">
        <v>1433.2355738152105</v>
      </c>
      <c r="R3">
        <v>1343.9498299226273</v>
      </c>
      <c r="S3">
        <v>1235.0591273621485</v>
      </c>
      <c r="T3">
        <v>1160.0682118836112</v>
      </c>
      <c r="U3">
        <v>1139.0724950478193</v>
      </c>
      <c r="V3">
        <v>1081.0862872682758</v>
      </c>
    </row>
    <row r="4" spans="1:22">
      <c r="A4" t="s">
        <v>237</v>
      </c>
      <c r="B4">
        <v>3746.8379725719624</v>
      </c>
      <c r="C4">
        <v>2757.7085574311013</v>
      </c>
      <c r="D4">
        <v>2163.2596602879712</v>
      </c>
      <c r="E4">
        <v>2176.3870862086669</v>
      </c>
      <c r="F4">
        <v>2015.1518457304107</v>
      </c>
      <c r="G4">
        <v>1911.9312726470264</v>
      </c>
      <c r="H4">
        <v>1939.0982261722093</v>
      </c>
      <c r="I4">
        <v>2025.314211639002</v>
      </c>
      <c r="J4">
        <v>2066.0229090270077</v>
      </c>
      <c r="K4">
        <v>2094.2686836081798</v>
      </c>
      <c r="L4">
        <v>2268.881119190281</v>
      </c>
      <c r="M4">
        <v>2440.4551129110046</v>
      </c>
      <c r="N4">
        <v>2247.4272862619978</v>
      </c>
      <c r="O4">
        <v>2278.0699663248424</v>
      </c>
      <c r="P4">
        <v>2320.8873674648289</v>
      </c>
      <c r="Q4">
        <v>2334.3261886862178</v>
      </c>
      <c r="R4">
        <v>2233.3598398926388</v>
      </c>
      <c r="S4">
        <v>2226.0835966942168</v>
      </c>
      <c r="T4">
        <v>2172.3738113186641</v>
      </c>
      <c r="U4">
        <v>2109.1374610203234</v>
      </c>
      <c r="V4">
        <v>2130.650193592805</v>
      </c>
    </row>
    <row r="9" spans="1:22">
      <c r="B9">
        <v>1984</v>
      </c>
      <c r="C9">
        <v>1988</v>
      </c>
      <c r="D9">
        <v>1992</v>
      </c>
      <c r="E9">
        <v>1996</v>
      </c>
      <c r="F9">
        <v>2000</v>
      </c>
      <c r="G9">
        <v>2004</v>
      </c>
      <c r="H9">
        <v>2008</v>
      </c>
      <c r="I9">
        <v>2010</v>
      </c>
      <c r="J9">
        <v>2011</v>
      </c>
      <c r="K9">
        <v>2012</v>
      </c>
      <c r="L9">
        <v>2013</v>
      </c>
      <c r="M9">
        <v>2014</v>
      </c>
      <c r="N9">
        <v>2015</v>
      </c>
      <c r="O9">
        <v>2016</v>
      </c>
      <c r="P9">
        <v>2017</v>
      </c>
      <c r="Q9">
        <v>2018</v>
      </c>
      <c r="R9">
        <v>2019</v>
      </c>
      <c r="S9">
        <v>2020</v>
      </c>
      <c r="T9">
        <v>2021</v>
      </c>
      <c r="U9">
        <v>2022</v>
      </c>
      <c r="V9">
        <v>2023</v>
      </c>
    </row>
    <row r="10" spans="1:22">
      <c r="A10" t="s">
        <v>71</v>
      </c>
      <c r="B10">
        <v>3354.4650455511996</v>
      </c>
      <c r="C10">
        <v>2828.2773766313471</v>
      </c>
      <c r="D10">
        <v>2294.2069085459912</v>
      </c>
      <c r="E10">
        <v>2354.9004146360694</v>
      </c>
      <c r="F10">
        <v>2562.2426159876177</v>
      </c>
      <c r="G10">
        <v>2645.9038964681363</v>
      </c>
      <c r="H10">
        <v>2458.0699891876993</v>
      </c>
      <c r="I10">
        <v>2466.6358866993878</v>
      </c>
      <c r="J10">
        <v>2419.0121337055252</v>
      </c>
      <c r="K10">
        <v>2500.2579363468685</v>
      </c>
      <c r="L10">
        <v>2272.6273776031535</v>
      </c>
      <c r="M10">
        <v>2629.0076734247259</v>
      </c>
      <c r="N10">
        <v>2365.7908378168331</v>
      </c>
      <c r="O10">
        <v>2504.3807762428914</v>
      </c>
      <c r="P10">
        <v>2535.5692719939534</v>
      </c>
      <c r="Q10">
        <v>2553.6820028933266</v>
      </c>
      <c r="R10">
        <v>2463.0521175506105</v>
      </c>
      <c r="S10">
        <v>2665.0720817981914</v>
      </c>
      <c r="T10">
        <v>2722.3037206486397</v>
      </c>
      <c r="U10">
        <v>2626.5613736069222</v>
      </c>
      <c r="V10">
        <v>2621.0535800681159</v>
      </c>
    </row>
    <row r="11" spans="1:22">
      <c r="A11" t="s">
        <v>805</v>
      </c>
      <c r="B11">
        <v>9851.3031855647132</v>
      </c>
      <c r="C11">
        <v>1787.9884168665569</v>
      </c>
      <c r="D11">
        <v>1385.5910499881627</v>
      </c>
      <c r="E11">
        <v>1512.4984678858141</v>
      </c>
      <c r="F11">
        <v>727.59454274386917</v>
      </c>
      <c r="G11">
        <v>871.33686471178612</v>
      </c>
      <c r="H11">
        <v>1374.7693444230065</v>
      </c>
      <c r="I11">
        <v>1599.2412011868464</v>
      </c>
      <c r="J11">
        <v>1710.1645774616143</v>
      </c>
      <c r="K11">
        <v>1681.5097064830932</v>
      </c>
      <c r="L11">
        <v>2122.7455518193206</v>
      </c>
      <c r="M11">
        <v>2117.889847785822</v>
      </c>
      <c r="N11">
        <v>2013.8932832249905</v>
      </c>
      <c r="O11">
        <v>1979.412033595019</v>
      </c>
      <c r="P11">
        <v>1983.1376662410335</v>
      </c>
      <c r="Q11">
        <v>2010.0294410914732</v>
      </c>
      <c r="R11">
        <v>1944.4275417202211</v>
      </c>
      <c r="S11">
        <v>1960.0390131363069</v>
      </c>
      <c r="T11">
        <v>1894.3689239740215</v>
      </c>
      <c r="U11">
        <v>1934.2666903642353</v>
      </c>
      <c r="V11">
        <v>2033.7778106951905</v>
      </c>
    </row>
    <row r="12" spans="1:22">
      <c r="A12" t="s">
        <v>806</v>
      </c>
      <c r="J12">
        <v>5144.4036465102809</v>
      </c>
      <c r="K12">
        <v>6083.1147777672149</v>
      </c>
      <c r="L12">
        <v>6648.7407097901387</v>
      </c>
      <c r="M12">
        <v>6411.0601474953619</v>
      </c>
      <c r="N12">
        <v>4628.8166916668015</v>
      </c>
      <c r="O12">
        <v>4329.0138099265532</v>
      </c>
      <c r="P12">
        <v>4265.383158025591</v>
      </c>
      <c r="Q12">
        <v>3555.0286679175479</v>
      </c>
      <c r="R12">
        <v>2931.803437144978</v>
      </c>
      <c r="S12">
        <v>2522.7782022590891</v>
      </c>
      <c r="T12">
        <v>2377.7559210284476</v>
      </c>
      <c r="U12">
        <v>2189.8406237021304</v>
      </c>
      <c r="V12">
        <v>2010.5178795645722</v>
      </c>
    </row>
    <row r="13" spans="1:22">
      <c r="A13" t="s">
        <v>433</v>
      </c>
      <c r="B13">
        <v>1172.557482775635</v>
      </c>
      <c r="C13">
        <v>1068.0311908397166</v>
      </c>
      <c r="D13">
        <v>928.09529777099215</v>
      </c>
      <c r="E13">
        <v>1025.3631459264432</v>
      </c>
      <c r="F13">
        <v>1013.8419061578752</v>
      </c>
      <c r="G13">
        <v>1089.9885688827537</v>
      </c>
      <c r="H13">
        <v>1007.4739352266604</v>
      </c>
      <c r="I13">
        <v>842.4436361152367</v>
      </c>
      <c r="J13">
        <v>813.31435351119967</v>
      </c>
      <c r="K13">
        <v>819.18068080835042</v>
      </c>
      <c r="L13">
        <v>883.71374089593712</v>
      </c>
      <c r="M13">
        <v>905.09774760416769</v>
      </c>
      <c r="N13">
        <v>940.59395297116771</v>
      </c>
      <c r="O13">
        <v>947.00716817361479</v>
      </c>
      <c r="P13">
        <v>998.65974295426054</v>
      </c>
      <c r="Q13">
        <v>1038.0725200744146</v>
      </c>
      <c r="R13">
        <v>1082.6273216708448</v>
      </c>
      <c r="S13">
        <v>1188.95660348409</v>
      </c>
      <c r="T13">
        <v>1213.0564627179538</v>
      </c>
      <c r="U13">
        <v>1221.3462069456527</v>
      </c>
      <c r="V13">
        <v>1203.5308199802064</v>
      </c>
    </row>
    <row r="14" spans="1:22">
      <c r="A14" t="s">
        <v>804</v>
      </c>
      <c r="B14">
        <v>3009.5698590905376</v>
      </c>
      <c r="C14">
        <v>2472.9290830176428</v>
      </c>
      <c r="D14">
        <v>1816.3467438409568</v>
      </c>
      <c r="E14">
        <v>1710.2564658737426</v>
      </c>
      <c r="F14">
        <v>1561.3903218898879</v>
      </c>
      <c r="G14">
        <v>1406.7396455437477</v>
      </c>
      <c r="H14">
        <v>1575.4865680237449</v>
      </c>
      <c r="I14">
        <v>1662.54681008026</v>
      </c>
      <c r="J14">
        <v>1600.8713036405047</v>
      </c>
      <c r="K14">
        <v>1536.3776292558948</v>
      </c>
      <c r="L14">
        <v>1723.6052963165821</v>
      </c>
      <c r="M14">
        <v>1660.045236971107</v>
      </c>
      <c r="N14">
        <v>1590.5419592667538</v>
      </c>
      <c r="O14">
        <v>1520.132526455051</v>
      </c>
      <c r="P14">
        <v>1519.7379819230214</v>
      </c>
      <c r="Q14">
        <v>1433.2355738152105</v>
      </c>
      <c r="R14">
        <v>1343.9498299226273</v>
      </c>
      <c r="S14">
        <v>1235.0591273621485</v>
      </c>
      <c r="T14">
        <v>1160.0682118836112</v>
      </c>
      <c r="U14">
        <v>1139.0724950478193</v>
      </c>
      <c r="V14">
        <v>1081.0862872682758</v>
      </c>
    </row>
    <row r="15" spans="1:22">
      <c r="A15" t="s">
        <v>237</v>
      </c>
      <c r="B15">
        <v>3746.8379725719624</v>
      </c>
      <c r="C15">
        <v>2757.7085574311013</v>
      </c>
      <c r="D15">
        <v>2163.2596602879712</v>
      </c>
      <c r="E15">
        <v>2176.3870862086669</v>
      </c>
      <c r="F15">
        <v>2015.1518457304107</v>
      </c>
      <c r="G15">
        <v>1911.9312726470264</v>
      </c>
      <c r="H15">
        <v>1939.0982261722093</v>
      </c>
      <c r="I15">
        <v>2025.314211639002</v>
      </c>
      <c r="J15">
        <v>2066.0229090270077</v>
      </c>
      <c r="K15">
        <v>2094.2686836081798</v>
      </c>
      <c r="L15">
        <v>2268.881119190281</v>
      </c>
      <c r="M15">
        <v>2440.4551129110046</v>
      </c>
      <c r="N15">
        <v>2247.4272862619978</v>
      </c>
      <c r="O15">
        <v>2278.0699663248424</v>
      </c>
      <c r="P15">
        <v>2320.8873674648289</v>
      </c>
      <c r="Q15">
        <v>2334.3261886862178</v>
      </c>
      <c r="R15">
        <v>2233.3598398926388</v>
      </c>
      <c r="S15">
        <v>2226.0835966942168</v>
      </c>
      <c r="T15">
        <v>2172.3738113186641</v>
      </c>
      <c r="U15">
        <v>2109.1374610203234</v>
      </c>
      <c r="V15">
        <v>2130.650193592805</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09C9-438A-144A-BEF7-9905C77A5908}">
  <dimension ref="A1:N8"/>
  <sheetViews>
    <sheetView zoomScale="70" zoomScaleNormal="70" workbookViewId="0"/>
  </sheetViews>
  <sheetFormatPr baseColWidth="10" defaultColWidth="10.83203125" defaultRowHeight="16"/>
  <cols>
    <col min="1" max="1" width="34.6640625" customWidth="1"/>
  </cols>
  <sheetData>
    <row r="1" spans="1:14">
      <c r="A1" t="s">
        <v>741</v>
      </c>
    </row>
    <row r="2" spans="1:14">
      <c r="B2">
        <v>2001</v>
      </c>
      <c r="C2">
        <v>2004</v>
      </c>
      <c r="D2">
        <v>2008</v>
      </c>
      <c r="E2">
        <v>2010</v>
      </c>
      <c r="F2">
        <v>2012</v>
      </c>
      <c r="G2">
        <v>2014</v>
      </c>
      <c r="H2">
        <v>2016</v>
      </c>
      <c r="I2">
        <v>2018</v>
      </c>
      <c r="J2">
        <v>2019</v>
      </c>
      <c r="K2">
        <v>2020</v>
      </c>
      <c r="L2">
        <v>2021</v>
      </c>
      <c r="M2">
        <v>2022</v>
      </c>
      <c r="N2">
        <v>2023</v>
      </c>
    </row>
    <row r="3" spans="1:14">
      <c r="A3" t="s">
        <v>656</v>
      </c>
      <c r="B3">
        <v>226</v>
      </c>
      <c r="C3">
        <v>327</v>
      </c>
      <c r="D3">
        <v>323</v>
      </c>
      <c r="E3">
        <v>363</v>
      </c>
      <c r="F3">
        <v>340</v>
      </c>
      <c r="G3">
        <v>352</v>
      </c>
      <c r="H3">
        <v>267</v>
      </c>
      <c r="I3">
        <v>273</v>
      </c>
      <c r="J3">
        <v>321</v>
      </c>
      <c r="K3">
        <v>290</v>
      </c>
      <c r="L3">
        <v>268</v>
      </c>
      <c r="M3">
        <v>387</v>
      </c>
      <c r="N3">
        <v>458</v>
      </c>
    </row>
    <row r="4" spans="1:14">
      <c r="A4" t="s">
        <v>655</v>
      </c>
      <c r="B4">
        <v>886</v>
      </c>
      <c r="C4">
        <v>1043</v>
      </c>
      <c r="D4">
        <v>1147</v>
      </c>
      <c r="E4">
        <v>1103</v>
      </c>
      <c r="F4">
        <v>1265</v>
      </c>
      <c r="G4">
        <v>1365</v>
      </c>
      <c r="H4">
        <v>1252</v>
      </c>
      <c r="I4">
        <v>1115</v>
      </c>
      <c r="J4">
        <v>1234</v>
      </c>
      <c r="K4">
        <v>1154</v>
      </c>
      <c r="L4">
        <v>1066</v>
      </c>
      <c r="M4">
        <v>1090</v>
      </c>
      <c r="N4">
        <v>1198</v>
      </c>
    </row>
    <row r="5" spans="1:14">
      <c r="A5" t="s">
        <v>654</v>
      </c>
      <c r="B5">
        <v>1758</v>
      </c>
      <c r="C5">
        <v>1696.3440562820811</v>
      </c>
      <c r="D5">
        <v>2128</v>
      </c>
      <c r="E5">
        <v>2040.9592003350008</v>
      </c>
      <c r="F5">
        <v>2671</v>
      </c>
      <c r="G5">
        <v>2418</v>
      </c>
      <c r="H5">
        <v>2669</v>
      </c>
      <c r="I5">
        <v>2691</v>
      </c>
      <c r="J5">
        <v>2959</v>
      </c>
      <c r="K5">
        <v>2832</v>
      </c>
      <c r="L5">
        <v>2484</v>
      </c>
      <c r="M5">
        <v>3510</v>
      </c>
      <c r="N5">
        <v>3682</v>
      </c>
    </row>
    <row r="6" spans="1:14">
      <c r="A6" t="s">
        <v>653</v>
      </c>
      <c r="B6">
        <v>1762</v>
      </c>
      <c r="C6">
        <v>1903.4999999999995</v>
      </c>
      <c r="D6">
        <v>1769.8999999999999</v>
      </c>
      <c r="E6">
        <v>1507.6000000000001</v>
      </c>
      <c r="F6">
        <v>1687</v>
      </c>
      <c r="G6">
        <v>1826</v>
      </c>
      <c r="H6">
        <v>2644</v>
      </c>
      <c r="I6">
        <v>4707</v>
      </c>
      <c r="J6">
        <v>4858</v>
      </c>
      <c r="K6">
        <v>5248</v>
      </c>
      <c r="L6">
        <v>5269</v>
      </c>
      <c r="M6">
        <v>6710</v>
      </c>
      <c r="N6">
        <v>6856</v>
      </c>
    </row>
    <row r="7" spans="1:14">
      <c r="A7" t="s">
        <v>38</v>
      </c>
      <c r="B7">
        <f t="shared" ref="B7:N7" si="0">SUM(B3:B6)</f>
        <v>4632</v>
      </c>
      <c r="C7">
        <f t="shared" si="0"/>
        <v>4969.8440562820806</v>
      </c>
      <c r="D7">
        <f t="shared" si="0"/>
        <v>5367.9</v>
      </c>
      <c r="E7">
        <f t="shared" si="0"/>
        <v>5014.5592003350012</v>
      </c>
      <c r="F7">
        <f t="shared" si="0"/>
        <v>5963</v>
      </c>
      <c r="G7">
        <f t="shared" si="0"/>
        <v>5961</v>
      </c>
      <c r="H7">
        <f t="shared" si="0"/>
        <v>6832</v>
      </c>
      <c r="I7">
        <f t="shared" si="0"/>
        <v>8786</v>
      </c>
      <c r="J7">
        <f t="shared" si="0"/>
        <v>9372</v>
      </c>
      <c r="K7">
        <f t="shared" si="0"/>
        <v>9524</v>
      </c>
      <c r="L7">
        <f t="shared" si="0"/>
        <v>9087</v>
      </c>
      <c r="M7">
        <f t="shared" si="0"/>
        <v>11697</v>
      </c>
      <c r="N7">
        <f t="shared" si="0"/>
        <v>12194</v>
      </c>
    </row>
    <row r="8" spans="1:14" ht="16.5" customHeight="1">
      <c r="A8" t="s">
        <v>864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8C789-1C2F-4149-B9B2-F7E4B8BFE002}">
  <dimension ref="A1:V5"/>
  <sheetViews>
    <sheetView zoomScale="55" zoomScaleNormal="55" workbookViewId="0"/>
  </sheetViews>
  <sheetFormatPr baseColWidth="10" defaultColWidth="10.6640625" defaultRowHeight="16"/>
  <cols>
    <col min="1" max="2" width="20" customWidth="1"/>
  </cols>
  <sheetData>
    <row r="1" spans="1:22">
      <c r="A1" t="s">
        <v>742</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661</v>
      </c>
      <c r="B3">
        <f>'Figure58 GrowthUpheavaTV Mrkt'!B10/'Figure58 GrowthUpheavaTV Mrkt'!B6</f>
        <v>0.58820647173469198</v>
      </c>
      <c r="C3">
        <f>'Figure58 GrowthUpheavaTV Mrkt'!C10/'Figure58 GrowthUpheavaTV Mrkt'!C6</f>
        <v>0.62487000919879931</v>
      </c>
      <c r="D3">
        <f>'Figure58 GrowthUpheavaTV Mrkt'!D10/'Figure58 GrowthUpheavaTV Mrkt'!D6</f>
        <v>0.64127680245067642</v>
      </c>
      <c r="E3">
        <f>'Figure58 GrowthUpheavaTV Mrkt'!E10/'Figure58 GrowthUpheavaTV Mrkt'!E6</f>
        <v>0.59107534206383827</v>
      </c>
      <c r="F3">
        <f>'Figure58 GrowthUpheavaTV Mrkt'!F10/'Figure58 GrowthUpheavaTV Mrkt'!F6</f>
        <v>0.62382229642596765</v>
      </c>
      <c r="G3">
        <f>'Figure58 GrowthUpheavaTV Mrkt'!G10/'Figure58 GrowthUpheavaTV Mrkt'!G6</f>
        <v>0.56979397307181301</v>
      </c>
      <c r="H3">
        <f>'Figure58 GrowthUpheavaTV Mrkt'!H10/'Figure58 GrowthUpheavaTV Mrkt'!H6</f>
        <v>0.5510308806281401</v>
      </c>
      <c r="I3">
        <f>'Figure58 GrowthUpheavaTV Mrkt'!I10/'Figure58 GrowthUpheavaTV Mrkt'!I6</f>
        <v>0.52776437126309672</v>
      </c>
      <c r="J3">
        <f>'Figure58 GrowthUpheavaTV Mrkt'!J10/'Figure58 GrowthUpheavaTV Mrkt'!J6</f>
        <v>0.52335565310217347</v>
      </c>
      <c r="K3">
        <f>'Figure58 GrowthUpheavaTV Mrkt'!K10/'Figure58 GrowthUpheavaTV Mrkt'!K6</f>
        <v>0.49302972744420287</v>
      </c>
      <c r="L3">
        <f>'Figure58 GrowthUpheavaTV Mrkt'!L10/'Figure58 GrowthUpheavaTV Mrkt'!L6</f>
        <v>0.47887185636859625</v>
      </c>
      <c r="M3">
        <f>'Figure58 GrowthUpheavaTV Mrkt'!M10/'Figure58 GrowthUpheavaTV Mrkt'!M6</f>
        <v>0.45457364341085266</v>
      </c>
      <c r="N3">
        <f>'Figure58 GrowthUpheavaTV Mrkt'!N10/'Figure58 GrowthUpheavaTV Mrkt'!N6</f>
        <v>0.43735243233578908</v>
      </c>
      <c r="O3">
        <f>'Figure58 GrowthUpheavaTV Mrkt'!O10/'Figure58 GrowthUpheavaTV Mrkt'!O6</f>
        <v>0.41023857393615087</v>
      </c>
      <c r="P3">
        <f>'Figure58 GrowthUpheavaTV Mrkt'!P10/'Figure58 GrowthUpheavaTV Mrkt'!P6</f>
        <v>0.37741061523971137</v>
      </c>
      <c r="Q3">
        <f>'Figure58 GrowthUpheavaTV Mrkt'!Q10/'Figure58 GrowthUpheavaTV Mrkt'!Q6</f>
        <v>0.35235637575830614</v>
      </c>
      <c r="R3">
        <f>'Figure58 GrowthUpheavaTV Mrkt'!R10/'Figure58 GrowthUpheavaTV Mrkt'!R6</f>
        <v>0.32902500565588777</v>
      </c>
      <c r="S3">
        <f>'Figure58 GrowthUpheavaTV Mrkt'!S10/'Figure58 GrowthUpheavaTV Mrkt'!S6</f>
        <v>0.27196583733041829</v>
      </c>
      <c r="T3">
        <f>'Figure58 GrowthUpheavaTV Mrkt'!T10/'Figure58 GrowthUpheavaTV Mrkt'!T6</f>
        <v>0.27947722786539081</v>
      </c>
      <c r="U3">
        <f>'Figure58 GrowthUpheavaTV Mrkt'!U10/'Figure58 GrowthUpheavaTV Mrkt'!U6</f>
        <v>0.28828865839440077</v>
      </c>
      <c r="V3">
        <f>'Figure58 GrowthUpheavaTV Mrkt'!V10/'Figure58 GrowthUpheavaTV Mrkt'!V6</f>
        <v>0.25951946135327553</v>
      </c>
    </row>
    <row r="4" spans="1:22">
      <c r="A4" t="s">
        <v>660</v>
      </c>
      <c r="B4">
        <f>'Figure58 GrowthUpheavaTV Mrkt'!B11/'Figure58 GrowthUpheavaTV Mrkt'!B6</f>
        <v>3.442483306215928E-2</v>
      </c>
      <c r="C4">
        <f>'Figure58 GrowthUpheavaTV Mrkt'!C11/'Figure58 GrowthUpheavaTV Mrkt'!C6</f>
        <v>3.8666397991222311E-2</v>
      </c>
      <c r="D4">
        <f>'Figure58 GrowthUpheavaTV Mrkt'!D11/'Figure58 GrowthUpheavaTV Mrkt'!D6</f>
        <v>8.2146850953648667E-2</v>
      </c>
      <c r="E4">
        <f>'Figure58 GrowthUpheavaTV Mrkt'!E11/'Figure58 GrowthUpheavaTV Mrkt'!E6</f>
        <v>0.12078865391533299</v>
      </c>
      <c r="F4">
        <f>'Figure58 GrowthUpheavaTV Mrkt'!F11/'Figure58 GrowthUpheavaTV Mrkt'!F6</f>
        <v>0.16997360071092882</v>
      </c>
      <c r="G4">
        <f>'Figure58 GrowthUpheavaTV Mrkt'!G11/'Figure58 GrowthUpheavaTV Mrkt'!G6</f>
        <v>0.27172900849915027</v>
      </c>
      <c r="H4">
        <f>'Figure58 GrowthUpheavaTV Mrkt'!H11/'Figure58 GrowthUpheavaTV Mrkt'!H6</f>
        <v>0.31121921571966515</v>
      </c>
      <c r="I4">
        <f>'Figure58 GrowthUpheavaTV Mrkt'!I11/'Figure58 GrowthUpheavaTV Mrkt'!I6</f>
        <v>0.34584219725226323</v>
      </c>
      <c r="J4">
        <f>'Figure58 GrowthUpheavaTV Mrkt'!J11/'Figure58 GrowthUpheavaTV Mrkt'!J6</f>
        <v>0.36135079011091642</v>
      </c>
      <c r="K4">
        <f>'Figure58 GrowthUpheavaTV Mrkt'!K11/'Figure58 GrowthUpheavaTV Mrkt'!K6</f>
        <v>0.3930230856892814</v>
      </c>
      <c r="L4">
        <f>'Figure58 GrowthUpheavaTV Mrkt'!L11/'Figure58 GrowthUpheavaTV Mrkt'!L6</f>
        <v>0.41565620299412659</v>
      </c>
      <c r="M4">
        <f>'Figure58 GrowthUpheavaTV Mrkt'!M11/'Figure58 GrowthUpheavaTV Mrkt'!M6</f>
        <v>0.4456033591731266</v>
      </c>
      <c r="N4">
        <f>'Figure58 GrowthUpheavaTV Mrkt'!N11/'Figure58 GrowthUpheavaTV Mrkt'!N6</f>
        <v>0.47702282730442191</v>
      </c>
      <c r="O4">
        <f>'Figure58 GrowthUpheavaTV Mrkt'!O11/'Figure58 GrowthUpheavaTV Mrkt'!O6</f>
        <v>0.48652368161282938</v>
      </c>
      <c r="P4">
        <f>'Figure58 GrowthUpheavaTV Mrkt'!P11/'Figure58 GrowthUpheavaTV Mrkt'!P6</f>
        <v>0.50782063568352609</v>
      </c>
      <c r="Q4">
        <f>'Figure58 GrowthUpheavaTV Mrkt'!Q11/'Figure58 GrowthUpheavaTV Mrkt'!Q6</f>
        <v>0.52765524025483124</v>
      </c>
      <c r="R4">
        <f>'Figure58 GrowthUpheavaTV Mrkt'!R11/'Figure58 GrowthUpheavaTV Mrkt'!R6</f>
        <v>0.5625164284126899</v>
      </c>
      <c r="S4">
        <f>'Figure58 GrowthUpheavaTV Mrkt'!S11/'Figure58 GrowthUpheavaTV Mrkt'!S6</f>
        <v>0.62208425799397682</v>
      </c>
      <c r="T4">
        <f>'Figure58 GrowthUpheavaTV Mrkt'!T11/'Figure58 GrowthUpheavaTV Mrkt'!T6</f>
        <v>0.61514406387082454</v>
      </c>
      <c r="U4">
        <f>'Figure58 GrowthUpheavaTV Mrkt'!U11/'Figure58 GrowthUpheavaTV Mrkt'!U6</f>
        <v>0.61987508562616278</v>
      </c>
      <c r="V4">
        <f>'Figure58 GrowthUpheavaTV Mrkt'!V11/'Figure58 GrowthUpheavaTV Mrkt'!V6</f>
        <v>0.65087865861543903</v>
      </c>
    </row>
    <row r="5" spans="1:22">
      <c r="A5" t="s">
        <v>662</v>
      </c>
      <c r="B5">
        <f>'Figure58 GrowthUpheavaTV Mrkt'!B12/'Figure58 GrowthUpheavaTV Mrkt'!B6</f>
        <v>0.37736869520314875</v>
      </c>
      <c r="C5">
        <f>'Figure58 GrowthUpheavaTV Mrkt'!C12/'Figure58 GrowthUpheavaTV Mrkt'!C6</f>
        <v>0.3364635928099784</v>
      </c>
      <c r="D5">
        <f>'Figure58 GrowthUpheavaTV Mrkt'!D12/'Figure58 GrowthUpheavaTV Mrkt'!D6</f>
        <v>0.27657634659567493</v>
      </c>
      <c r="E5">
        <f>'Figure58 GrowthUpheavaTV Mrkt'!E12/'Figure58 GrowthUpheavaTV Mrkt'!E6</f>
        <v>0.28813600402082873</v>
      </c>
      <c r="F5">
        <f>'Figure58 GrowthUpheavaTV Mrkt'!F12/'Figure58 GrowthUpheavaTV Mrkt'!F6</f>
        <v>0.20620410286310356</v>
      </c>
      <c r="G5">
        <f>'Figure58 GrowthUpheavaTV Mrkt'!G12/'Figure58 GrowthUpheavaTV Mrkt'!G6</f>
        <v>0.15847701842903675</v>
      </c>
      <c r="H5">
        <f>'Figure58 GrowthUpheavaTV Mrkt'!H12/'Figure58 GrowthUpheavaTV Mrkt'!H6</f>
        <v>0.13774990365219486</v>
      </c>
      <c r="I5">
        <f>'Figure58 GrowthUpheavaTV Mrkt'!I12/'Figure58 GrowthUpheavaTV Mrkt'!I6</f>
        <v>0.12639343148464002</v>
      </c>
      <c r="J5">
        <f>'Figure58 GrowthUpheavaTV Mrkt'!J12/'Figure58 GrowthUpheavaTV Mrkt'!J6</f>
        <v>0.11529355678691015</v>
      </c>
      <c r="K5">
        <f>'Figure58 GrowthUpheavaTV Mrkt'!K12/'Figure58 GrowthUpheavaTV Mrkt'!K6</f>
        <v>0.1139471868665157</v>
      </c>
      <c r="L5">
        <f>'Figure58 GrowthUpheavaTV Mrkt'!L12/'Figure58 GrowthUpheavaTV Mrkt'!L6</f>
        <v>0.10547194063727718</v>
      </c>
      <c r="M5">
        <f>'Figure58 GrowthUpheavaTV Mrkt'!M12/'Figure58 GrowthUpheavaTV Mrkt'!M6</f>
        <v>9.9822997416020673E-2</v>
      </c>
      <c r="N5">
        <f>'Figure58 GrowthUpheavaTV Mrkt'!N12/'Figure58 GrowthUpheavaTV Mrkt'!N6</f>
        <v>8.5624740359788981E-2</v>
      </c>
      <c r="O5">
        <f>'Figure58 GrowthUpheavaTV Mrkt'!O12/'Figure58 GrowthUpheavaTV Mrkt'!O6</f>
        <v>0.10323774445101971</v>
      </c>
      <c r="P5">
        <f>'Figure58 GrowthUpheavaTV Mrkt'!P12/'Figure58 GrowthUpheavaTV Mrkt'!P6</f>
        <v>0.11476874907676256</v>
      </c>
      <c r="Q5">
        <f>'Figure58 GrowthUpheavaTV Mrkt'!Q12/'Figure58 GrowthUpheavaTV Mrkt'!Q6</f>
        <v>0.11998838398686267</v>
      </c>
      <c r="R5">
        <f>'Figure58 GrowthUpheavaTV Mrkt'!R12/'Figure58 GrowthUpheavaTV Mrkt'!R6</f>
        <v>0.10845856593142231</v>
      </c>
      <c r="S5">
        <f>'Figure58 GrowthUpheavaTV Mrkt'!S12/'Figure58 GrowthUpheavaTV Mrkt'!S6</f>
        <v>0.10594990467560489</v>
      </c>
      <c r="T5">
        <f>'Figure58 GrowthUpheavaTV Mrkt'!T12/'Figure58 GrowthUpheavaTV Mrkt'!T6</f>
        <v>0.10537870826378462</v>
      </c>
      <c r="U5">
        <f>'Figure58 GrowthUpheavaTV Mrkt'!U12/'Figure58 GrowthUpheavaTV Mrkt'!U6</f>
        <v>9.183625597943644E-2</v>
      </c>
      <c r="V5">
        <f>'Figure58 GrowthUpheavaTV Mrkt'!V12/'Figure58 GrowthUpheavaTV Mrkt'!V6</f>
        <v>8.9601880031285372E-2</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A94C-B7EB-524E-8D65-D567E1599351}">
  <dimension ref="A1:U10"/>
  <sheetViews>
    <sheetView showGridLines="0" zoomScale="70" zoomScaleNormal="70" workbookViewId="0"/>
  </sheetViews>
  <sheetFormatPr baseColWidth="10" defaultColWidth="12.1640625" defaultRowHeight="16"/>
  <cols>
    <col min="1" max="1" width="30.33203125" customWidth="1"/>
    <col min="23" max="23" width="18" bestFit="1" customWidth="1"/>
  </cols>
  <sheetData>
    <row r="1" spans="1:21">
      <c r="A1" t="s">
        <v>743</v>
      </c>
    </row>
    <row r="2" spans="1:21" ht="20" customHeight="1">
      <c r="B2">
        <v>2004</v>
      </c>
      <c r="C2">
        <v>2005</v>
      </c>
      <c r="D2">
        <v>2006</v>
      </c>
      <c r="E2">
        <v>2007</v>
      </c>
      <c r="F2">
        <v>2008</v>
      </c>
      <c r="G2">
        <v>2009</v>
      </c>
      <c r="H2">
        <v>2010</v>
      </c>
      <c r="I2">
        <v>2011</v>
      </c>
      <c r="J2">
        <v>2012</v>
      </c>
      <c r="K2">
        <v>2013</v>
      </c>
      <c r="L2">
        <v>2014</v>
      </c>
      <c r="M2">
        <v>2015</v>
      </c>
      <c r="N2">
        <v>2016</v>
      </c>
      <c r="O2">
        <v>2017</v>
      </c>
      <c r="P2">
        <v>2018</v>
      </c>
      <c r="Q2">
        <v>2019</v>
      </c>
      <c r="R2">
        <v>2020</v>
      </c>
      <c r="S2">
        <v>2021</v>
      </c>
      <c r="T2">
        <v>2022</v>
      </c>
      <c r="U2">
        <v>2023</v>
      </c>
    </row>
    <row r="3" spans="1:21">
      <c r="A3" t="s">
        <v>669</v>
      </c>
      <c r="B3">
        <v>2610.8364000000001</v>
      </c>
      <c r="C3">
        <v>2659.3128999999999</v>
      </c>
      <c r="D3">
        <v>2745.0439999999999</v>
      </c>
      <c r="E3">
        <v>2721.5279999999998</v>
      </c>
      <c r="F3">
        <v>2669.9719999999998</v>
      </c>
      <c r="G3">
        <v>2030</v>
      </c>
      <c r="H3">
        <v>2316</v>
      </c>
      <c r="I3">
        <v>2216</v>
      </c>
      <c r="J3">
        <v>2261</v>
      </c>
      <c r="K3">
        <v>1908</v>
      </c>
      <c r="L3">
        <v>1678</v>
      </c>
      <c r="M3">
        <v>1423</v>
      </c>
      <c r="N3">
        <v>1258</v>
      </c>
      <c r="O3">
        <v>1058</v>
      </c>
      <c r="P3">
        <v>967.9</v>
      </c>
      <c r="Q3">
        <v>777</v>
      </c>
      <c r="R3">
        <v>566.79999999999995</v>
      </c>
      <c r="S3">
        <v>566.04999999999995</v>
      </c>
      <c r="T3">
        <v>565.29999999999995</v>
      </c>
      <c r="U3">
        <v>564.55198482709943</v>
      </c>
    </row>
    <row r="4" spans="1:21">
      <c r="A4" t="s">
        <v>668</v>
      </c>
      <c r="B4">
        <v>745.07050000000004</v>
      </c>
      <c r="C4">
        <v>789.08399999999995</v>
      </c>
      <c r="D4">
        <v>819.06500000000005</v>
      </c>
      <c r="E4">
        <v>806.947</v>
      </c>
      <c r="F4">
        <v>808.327</v>
      </c>
      <c r="G4">
        <v>813.2</v>
      </c>
      <c r="H4">
        <v>824.54300000000001</v>
      </c>
      <c r="I4">
        <v>794.01099999999997</v>
      </c>
      <c r="J4">
        <v>786.77599999999995</v>
      </c>
      <c r="K4">
        <v>763.00199999999995</v>
      </c>
      <c r="L4">
        <v>757.8</v>
      </c>
      <c r="M4">
        <v>700.04</v>
      </c>
      <c r="N4">
        <v>651.20000000000005</v>
      </c>
      <c r="O4">
        <v>608.40499999999997</v>
      </c>
      <c r="P4">
        <v>625.70000000000005</v>
      </c>
      <c r="Q4">
        <v>604.35</v>
      </c>
      <c r="R4">
        <v>583</v>
      </c>
      <c r="S4">
        <v>577.45000000000005</v>
      </c>
      <c r="T4">
        <v>571.9</v>
      </c>
      <c r="U4">
        <v>566.45566895368779</v>
      </c>
    </row>
    <row r="5" spans="1:21">
      <c r="A5" t="s">
        <v>343</v>
      </c>
      <c r="L5">
        <v>61.354999999999997</v>
      </c>
      <c r="M5">
        <v>63</v>
      </c>
      <c r="N5">
        <v>38</v>
      </c>
      <c r="O5">
        <v>60</v>
      </c>
      <c r="P5">
        <v>91</v>
      </c>
      <c r="U5">
        <v>0</v>
      </c>
    </row>
    <row r="6" spans="1:21">
      <c r="A6" t="s">
        <v>667</v>
      </c>
      <c r="D6">
        <v>110.355</v>
      </c>
      <c r="E6">
        <v>150</v>
      </c>
      <c r="F6">
        <v>180.749</v>
      </c>
      <c r="G6">
        <v>185.94900000000001</v>
      </c>
      <c r="H6">
        <v>213.709</v>
      </c>
      <c r="I6">
        <v>245.572</v>
      </c>
      <c r="J6">
        <v>242.315</v>
      </c>
      <c r="K6">
        <v>230.495</v>
      </c>
      <c r="L6">
        <v>241.38499999999999</v>
      </c>
      <c r="M6">
        <v>242.21099999999998</v>
      </c>
      <c r="N6">
        <v>236</v>
      </c>
      <c r="O6">
        <v>256</v>
      </c>
      <c r="P6">
        <v>267</v>
      </c>
      <c r="Q6">
        <v>219</v>
      </c>
      <c r="R6">
        <v>199</v>
      </c>
      <c r="S6">
        <v>230</v>
      </c>
      <c r="T6">
        <v>265.39999999999998</v>
      </c>
      <c r="U6">
        <v>306.24852173913041</v>
      </c>
    </row>
    <row r="7" spans="1:21">
      <c r="A7" t="s">
        <v>666</v>
      </c>
      <c r="Q7">
        <v>45</v>
      </c>
      <c r="R7">
        <v>105</v>
      </c>
      <c r="S7">
        <v>130</v>
      </c>
      <c r="T7">
        <v>150</v>
      </c>
      <c r="U7">
        <v>150</v>
      </c>
    </row>
    <row r="8" spans="1:21">
      <c r="A8" t="s">
        <v>665</v>
      </c>
      <c r="Q8">
        <v>10</v>
      </c>
      <c r="R8">
        <v>10</v>
      </c>
      <c r="S8">
        <v>16.666666666666668</v>
      </c>
      <c r="T8">
        <v>16.666666666666668</v>
      </c>
      <c r="U8">
        <v>16.666666666666668</v>
      </c>
    </row>
    <row r="9" spans="1:21">
      <c r="A9" t="s">
        <v>664</v>
      </c>
      <c r="B9">
        <v>961.31148973964696</v>
      </c>
      <c r="C9">
        <v>1016.242352480137</v>
      </c>
      <c r="D9">
        <v>1094.3776850171205</v>
      </c>
      <c r="E9">
        <v>1153.8492294047758</v>
      </c>
      <c r="F9">
        <v>1210.5232544604453</v>
      </c>
      <c r="G9">
        <v>1186.0219999999999</v>
      </c>
      <c r="H9">
        <v>1217.625</v>
      </c>
      <c r="I9">
        <v>1253.854</v>
      </c>
      <c r="J9">
        <v>1288</v>
      </c>
      <c r="K9">
        <v>1055.865</v>
      </c>
      <c r="L9">
        <v>994.4</v>
      </c>
      <c r="M9">
        <v>908.23599999999999</v>
      </c>
      <c r="N9">
        <v>899.10500000000002</v>
      </c>
      <c r="O9">
        <v>803.11400000000003</v>
      </c>
      <c r="P9">
        <v>711.49</v>
      </c>
      <c r="Q9">
        <v>652.44200000000001</v>
      </c>
      <c r="R9">
        <v>430.7</v>
      </c>
      <c r="S9">
        <v>419.56580000000002</v>
      </c>
      <c r="T9">
        <v>404.26580000000001</v>
      </c>
      <c r="U9">
        <v>391.88861115282697</v>
      </c>
    </row>
    <row r="10" spans="1:21">
      <c r="A10" t="s">
        <v>663</v>
      </c>
      <c r="B10">
        <f t="shared" ref="B10:U10" si="0">SUM(B3:B9)</f>
        <v>4317.2183897396471</v>
      </c>
      <c r="C10">
        <f t="shared" si="0"/>
        <v>4464.6392524801367</v>
      </c>
      <c r="D10">
        <f t="shared" si="0"/>
        <v>4768.8416850171207</v>
      </c>
      <c r="E10">
        <f t="shared" si="0"/>
        <v>4832.3242294047759</v>
      </c>
      <c r="F10">
        <f t="shared" si="0"/>
        <v>4869.5712544604448</v>
      </c>
      <c r="G10">
        <f t="shared" si="0"/>
        <v>4215.1710000000003</v>
      </c>
      <c r="H10">
        <f t="shared" si="0"/>
        <v>4571.8770000000004</v>
      </c>
      <c r="I10">
        <f t="shared" si="0"/>
        <v>4509.4369999999999</v>
      </c>
      <c r="J10">
        <f t="shared" si="0"/>
        <v>4578.0910000000003</v>
      </c>
      <c r="K10">
        <f t="shared" si="0"/>
        <v>3957.3620000000001</v>
      </c>
      <c r="L10">
        <f t="shared" si="0"/>
        <v>3732.94</v>
      </c>
      <c r="M10">
        <f t="shared" si="0"/>
        <v>3336.4869999999996</v>
      </c>
      <c r="N10">
        <f t="shared" si="0"/>
        <v>3082.3049999999998</v>
      </c>
      <c r="O10">
        <f t="shared" si="0"/>
        <v>2785.5190000000002</v>
      </c>
      <c r="P10">
        <f t="shared" si="0"/>
        <v>2663.09</v>
      </c>
      <c r="Q10">
        <f t="shared" si="0"/>
        <v>2307.7919999999999</v>
      </c>
      <c r="R10">
        <f t="shared" si="0"/>
        <v>1894.5</v>
      </c>
      <c r="S10">
        <f t="shared" si="0"/>
        <v>1939.7324666666668</v>
      </c>
      <c r="T10">
        <f t="shared" si="0"/>
        <v>1973.5324666666666</v>
      </c>
      <c r="U10">
        <f t="shared" si="0"/>
        <v>1995.8114533394114</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BDDD9-5934-C34E-9FB8-F78002C184E2}">
  <dimension ref="A1:AL6"/>
  <sheetViews>
    <sheetView zoomScale="40" zoomScaleNormal="40" workbookViewId="0"/>
  </sheetViews>
  <sheetFormatPr baseColWidth="10" defaultColWidth="11" defaultRowHeight="16"/>
  <cols>
    <col min="1" max="1" width="29.6640625" customWidth="1"/>
    <col min="5" max="23" width="0" hidden="1" customWidth="1"/>
  </cols>
  <sheetData>
    <row r="1" spans="1:38" ht="20" customHeight="1">
      <c r="A1" t="s">
        <v>744</v>
      </c>
    </row>
    <row r="2" spans="1:38" ht="17" customHeight="1">
      <c r="B2">
        <v>1987</v>
      </c>
      <c r="C2">
        <v>1988</v>
      </c>
      <c r="D2">
        <v>1989</v>
      </c>
      <c r="E2">
        <v>1990</v>
      </c>
      <c r="F2">
        <v>1991</v>
      </c>
      <c r="G2">
        <v>1992</v>
      </c>
      <c r="H2">
        <v>1993</v>
      </c>
      <c r="I2">
        <v>1994</v>
      </c>
      <c r="J2">
        <v>1995</v>
      </c>
      <c r="K2">
        <v>1996</v>
      </c>
      <c r="L2">
        <v>1997</v>
      </c>
      <c r="M2">
        <v>1998</v>
      </c>
      <c r="N2">
        <v>1999</v>
      </c>
      <c r="O2">
        <v>2000</v>
      </c>
      <c r="P2">
        <v>2001</v>
      </c>
      <c r="Q2">
        <v>2002</v>
      </c>
      <c r="R2">
        <v>2003</v>
      </c>
      <c r="S2">
        <v>2004</v>
      </c>
      <c r="T2">
        <v>2005</v>
      </c>
      <c r="U2">
        <v>2006</v>
      </c>
      <c r="V2">
        <v>2007</v>
      </c>
      <c r="W2">
        <v>2008</v>
      </c>
      <c r="X2">
        <v>2009</v>
      </c>
      <c r="Y2">
        <v>2010</v>
      </c>
      <c r="Z2">
        <v>2011</v>
      </c>
      <c r="AA2">
        <v>2012</v>
      </c>
      <c r="AB2">
        <v>2013</v>
      </c>
      <c r="AC2">
        <v>2014</v>
      </c>
      <c r="AD2">
        <v>2015</v>
      </c>
      <c r="AE2">
        <v>2016</v>
      </c>
      <c r="AF2">
        <v>2017</v>
      </c>
      <c r="AG2">
        <v>2018</v>
      </c>
      <c r="AH2">
        <v>2019</v>
      </c>
      <c r="AI2">
        <v>2020</v>
      </c>
      <c r="AJ2">
        <v>2021</v>
      </c>
      <c r="AK2">
        <v>2022</v>
      </c>
      <c r="AL2">
        <v>2023</v>
      </c>
    </row>
    <row r="3" spans="1:38" ht="36" customHeight="1">
      <c r="A3" t="s">
        <v>672</v>
      </c>
      <c r="B3">
        <v>34500</v>
      </c>
      <c r="C3">
        <v>36500</v>
      </c>
      <c r="D3">
        <v>38600</v>
      </c>
      <c r="E3">
        <v>42000</v>
      </c>
      <c r="F3">
        <v>38500</v>
      </c>
      <c r="G3">
        <v>41000</v>
      </c>
      <c r="H3">
        <v>38300</v>
      </c>
      <c r="I3">
        <v>41400</v>
      </c>
      <c r="J3">
        <v>47100</v>
      </c>
      <c r="K3">
        <v>45500</v>
      </c>
      <c r="L3">
        <v>44500</v>
      </c>
      <c r="M3">
        <v>51700</v>
      </c>
      <c r="N3">
        <v>51200</v>
      </c>
      <c r="O3">
        <v>52500</v>
      </c>
      <c r="P3">
        <v>52600</v>
      </c>
      <c r="Q3">
        <v>54400</v>
      </c>
      <c r="R3">
        <v>58600</v>
      </c>
      <c r="S3">
        <v>56000</v>
      </c>
      <c r="T3">
        <v>68700</v>
      </c>
      <c r="U3">
        <v>61000</v>
      </c>
      <c r="V3">
        <v>59600</v>
      </c>
      <c r="W3">
        <v>69300</v>
      </c>
      <c r="X3">
        <v>72900</v>
      </c>
      <c r="Y3">
        <v>76900</v>
      </c>
      <c r="Z3">
        <v>87000</v>
      </c>
      <c r="AA3">
        <v>90500</v>
      </c>
      <c r="AB3">
        <v>83500</v>
      </c>
      <c r="AC3">
        <v>80600</v>
      </c>
      <c r="AD3">
        <v>98100</v>
      </c>
      <c r="AE3">
        <v>90200</v>
      </c>
      <c r="AF3">
        <v>112100</v>
      </c>
      <c r="AG3">
        <v>127500</v>
      </c>
      <c r="AH3">
        <v>133200</v>
      </c>
      <c r="AI3">
        <v>147500</v>
      </c>
      <c r="AJ3">
        <v>171000</v>
      </c>
      <c r="AK3">
        <v>180400</v>
      </c>
      <c r="AL3">
        <v>207400</v>
      </c>
    </row>
    <row r="4" spans="1:38">
      <c r="A4" t="s">
        <v>671</v>
      </c>
      <c r="B4">
        <v>10000</v>
      </c>
      <c r="C4">
        <v>8700</v>
      </c>
      <c r="D4">
        <v>12300</v>
      </c>
      <c r="E4">
        <v>8800</v>
      </c>
      <c r="F4">
        <v>7600</v>
      </c>
      <c r="G4">
        <v>8700</v>
      </c>
      <c r="H4">
        <v>7600</v>
      </c>
      <c r="I4">
        <v>8400</v>
      </c>
      <c r="J4">
        <v>8500</v>
      </c>
      <c r="K4">
        <v>9400</v>
      </c>
      <c r="L4">
        <v>8000</v>
      </c>
      <c r="M4">
        <v>6100</v>
      </c>
      <c r="N4">
        <v>9200</v>
      </c>
      <c r="O4">
        <v>12400</v>
      </c>
      <c r="P4">
        <v>10900</v>
      </c>
      <c r="Q4">
        <v>10900</v>
      </c>
      <c r="R4">
        <v>10400</v>
      </c>
      <c r="S4">
        <v>8400</v>
      </c>
      <c r="T4">
        <v>11900</v>
      </c>
      <c r="U4">
        <v>10900</v>
      </c>
      <c r="V4">
        <v>12000</v>
      </c>
      <c r="W4">
        <v>9800</v>
      </c>
      <c r="X4">
        <v>8700</v>
      </c>
      <c r="Y4">
        <v>9900</v>
      </c>
      <c r="Z4">
        <v>10700</v>
      </c>
      <c r="AA4">
        <v>10900</v>
      </c>
      <c r="AB4">
        <v>12600</v>
      </c>
      <c r="AC4">
        <v>10100</v>
      </c>
      <c r="AD4">
        <v>11900</v>
      </c>
      <c r="AE4">
        <v>10800</v>
      </c>
      <c r="AF4">
        <v>10900</v>
      </c>
      <c r="AG4">
        <v>9500</v>
      </c>
      <c r="AH4">
        <v>8600</v>
      </c>
      <c r="AI4">
        <v>10300</v>
      </c>
      <c r="AJ4">
        <v>10000</v>
      </c>
      <c r="AK4">
        <v>12600</v>
      </c>
      <c r="AL4">
        <v>10900</v>
      </c>
    </row>
    <row r="5" spans="1:38">
      <c r="AL5">
        <f>AL3/AL4</f>
        <v>19.027522935779817</v>
      </c>
    </row>
    <row r="6" spans="1:38" ht="24" customHeight="1">
      <c r="A6" t="s">
        <v>670</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4624-9377-5C47-805B-E643AAA65ACA}">
  <dimension ref="A1:B48"/>
  <sheetViews>
    <sheetView zoomScale="40" zoomScaleNormal="40" workbookViewId="0"/>
  </sheetViews>
  <sheetFormatPr baseColWidth="10" defaultColWidth="11" defaultRowHeight="16"/>
  <cols>
    <col min="1" max="1" width="33.33203125" customWidth="1"/>
    <col min="2" max="2" width="41.6640625" customWidth="1"/>
    <col min="3" max="3" width="20" customWidth="1"/>
    <col min="4" max="4" width="17.33203125" customWidth="1"/>
  </cols>
  <sheetData>
    <row r="1" spans="1:2" ht="20" customHeight="1">
      <c r="A1" t="s">
        <v>745</v>
      </c>
    </row>
    <row r="2" spans="1:2" ht="27" customHeight="1">
      <c r="A2" t="s">
        <v>673</v>
      </c>
      <c r="B2" t="s">
        <v>674</v>
      </c>
    </row>
    <row r="3" spans="1:2">
      <c r="A3" t="s">
        <v>675</v>
      </c>
      <c r="B3">
        <v>32521</v>
      </c>
    </row>
    <row r="4" spans="1:2">
      <c r="A4" t="s">
        <v>676</v>
      </c>
      <c r="B4">
        <v>30879</v>
      </c>
    </row>
    <row r="5" spans="1:2">
      <c r="A5" t="s">
        <v>677</v>
      </c>
      <c r="B5">
        <v>21111</v>
      </c>
    </row>
    <row r="6" spans="1:2">
      <c r="A6" t="s">
        <v>678</v>
      </c>
      <c r="B6">
        <v>19400</v>
      </c>
    </row>
    <row r="7" spans="1:2">
      <c r="A7" t="s">
        <v>679</v>
      </c>
      <c r="B7">
        <v>16935</v>
      </c>
    </row>
    <row r="8" spans="1:2">
      <c r="A8" t="s">
        <v>680</v>
      </c>
      <c r="B8">
        <v>16102</v>
      </c>
    </row>
    <row r="9" spans="1:2">
      <c r="A9" t="s">
        <v>681</v>
      </c>
      <c r="B9">
        <v>15240</v>
      </c>
    </row>
    <row r="10" spans="1:2">
      <c r="A10" t="s">
        <v>682</v>
      </c>
      <c r="B10">
        <v>12144</v>
      </c>
    </row>
    <row r="11" spans="1:2">
      <c r="A11" t="s">
        <v>683</v>
      </c>
      <c r="B11">
        <v>10160</v>
      </c>
    </row>
    <row r="12" spans="1:2">
      <c r="A12" t="s">
        <v>684</v>
      </c>
      <c r="B12">
        <v>9216</v>
      </c>
    </row>
    <row r="13" spans="1:2">
      <c r="A13" t="s">
        <v>685</v>
      </c>
      <c r="B13">
        <v>8041</v>
      </c>
    </row>
    <row r="14" spans="1:2">
      <c r="A14" t="s">
        <v>686</v>
      </c>
      <c r="B14">
        <v>7058</v>
      </c>
    </row>
    <row r="15" spans="1:2">
      <c r="A15" t="s">
        <v>687</v>
      </c>
      <c r="B15">
        <v>6639</v>
      </c>
    </row>
    <row r="16" spans="1:2">
      <c r="A16" t="s">
        <v>688</v>
      </c>
      <c r="B16">
        <v>6901</v>
      </c>
    </row>
    <row r="17" spans="1:2">
      <c r="A17" t="s">
        <v>689</v>
      </c>
      <c r="B17">
        <v>6838</v>
      </c>
    </row>
    <row r="18" spans="1:2">
      <c r="A18" t="s">
        <v>690</v>
      </c>
      <c r="B18">
        <v>6819</v>
      </c>
    </row>
    <row r="19" spans="1:2">
      <c r="A19" t="s">
        <v>691</v>
      </c>
      <c r="B19">
        <v>6544</v>
      </c>
    </row>
    <row r="20" spans="1:2">
      <c r="A20" t="s">
        <v>692</v>
      </c>
      <c r="B20">
        <v>6038</v>
      </c>
    </row>
    <row r="21" spans="1:2">
      <c r="A21" t="s">
        <v>693</v>
      </c>
      <c r="B21">
        <v>5486</v>
      </c>
    </row>
    <row r="22" spans="1:2">
      <c r="A22" t="s">
        <v>694</v>
      </c>
      <c r="B22">
        <v>5822</v>
      </c>
    </row>
    <row r="23" spans="1:2">
      <c r="A23" t="s">
        <v>695</v>
      </c>
      <c r="B23">
        <v>5680</v>
      </c>
    </row>
    <row r="24" spans="1:2">
      <c r="A24" t="s">
        <v>696</v>
      </c>
      <c r="B24">
        <v>5257</v>
      </c>
    </row>
    <row r="25" spans="1:2">
      <c r="A25" t="s">
        <v>697</v>
      </c>
      <c r="B25">
        <v>5243</v>
      </c>
    </row>
    <row r="26" spans="1:2">
      <c r="A26" t="s">
        <v>698</v>
      </c>
      <c r="B26">
        <v>4916</v>
      </c>
    </row>
    <row r="27" spans="1:2">
      <c r="A27" t="s">
        <v>699</v>
      </c>
      <c r="B27">
        <v>4893</v>
      </c>
    </row>
    <row r="28" spans="1:2">
      <c r="A28" t="s">
        <v>700</v>
      </c>
      <c r="B28">
        <v>4711</v>
      </c>
    </row>
    <row r="29" spans="1:2">
      <c r="A29" t="s">
        <v>701</v>
      </c>
      <c r="B29">
        <v>4622</v>
      </c>
    </row>
    <row r="30" spans="1:2">
      <c r="A30" t="s">
        <v>702</v>
      </c>
      <c r="B30">
        <v>4382</v>
      </c>
    </row>
    <row r="31" spans="1:2">
      <c r="A31" t="s">
        <v>703</v>
      </c>
      <c r="B31">
        <v>4381</v>
      </c>
    </row>
    <row r="32" spans="1:2">
      <c r="A32" t="s">
        <v>704</v>
      </c>
      <c r="B32">
        <v>3914</v>
      </c>
    </row>
    <row r="33" spans="1:2">
      <c r="A33" t="s">
        <v>705</v>
      </c>
      <c r="B33">
        <v>3680</v>
      </c>
    </row>
    <row r="34" spans="1:2">
      <c r="A34" t="s">
        <v>706</v>
      </c>
      <c r="B34">
        <v>3392</v>
      </c>
    </row>
    <row r="35" spans="1:2">
      <c r="A35" t="s">
        <v>707</v>
      </c>
      <c r="B35">
        <v>3285</v>
      </c>
    </row>
    <row r="36" spans="1:2">
      <c r="A36" t="s">
        <v>708</v>
      </c>
      <c r="B36">
        <v>2706</v>
      </c>
    </row>
    <row r="37" spans="1:2">
      <c r="A37" t="s">
        <v>709</v>
      </c>
      <c r="B37">
        <v>1985</v>
      </c>
    </row>
    <row r="38" spans="1:2">
      <c r="A38" t="s">
        <v>710</v>
      </c>
      <c r="B38">
        <v>1842</v>
      </c>
    </row>
    <row r="39" spans="1:2">
      <c r="A39" t="s">
        <v>711</v>
      </c>
      <c r="B39">
        <v>1689</v>
      </c>
    </row>
    <row r="40" spans="1:2">
      <c r="A40" t="s">
        <v>712</v>
      </c>
      <c r="B40">
        <v>904</v>
      </c>
    </row>
    <row r="41" spans="1:2">
      <c r="A41" t="s">
        <v>713</v>
      </c>
      <c r="B41">
        <v>818</v>
      </c>
    </row>
    <row r="43" spans="1:2">
      <c r="A43" t="s">
        <v>143</v>
      </c>
      <c r="B43">
        <v>0.15899510977495546</v>
      </c>
    </row>
    <row r="44" spans="1:2">
      <c r="A44" t="s">
        <v>144</v>
      </c>
      <c r="B44">
        <v>0.4017755520145686</v>
      </c>
    </row>
    <row r="45" spans="1:2">
      <c r="A45" t="s">
        <v>345</v>
      </c>
      <c r="B45">
        <v>410.70587790569999</v>
      </c>
    </row>
    <row r="46" spans="1:2">
      <c r="A46" t="s">
        <v>714</v>
      </c>
      <c r="B46">
        <v>0.49194251042018267</v>
      </c>
    </row>
    <row r="47" spans="1:2">
      <c r="A47" t="s">
        <v>715</v>
      </c>
      <c r="B47">
        <v>0.36642542603044026</v>
      </c>
    </row>
    <row r="48" spans="1:2">
      <c r="A48" t="s">
        <v>716</v>
      </c>
      <c r="B48">
        <v>0.12822907917768864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28B27-C275-544F-B37E-A3E356EFC233}">
  <dimension ref="A1:N6"/>
  <sheetViews>
    <sheetView zoomScale="40" zoomScaleNormal="40" workbookViewId="0"/>
  </sheetViews>
  <sheetFormatPr baseColWidth="10" defaultColWidth="10.6640625" defaultRowHeight="16"/>
  <cols>
    <col min="1" max="1" width="42.33203125" customWidth="1"/>
  </cols>
  <sheetData>
    <row r="1" spans="1:14">
      <c r="A1" t="s">
        <v>755</v>
      </c>
    </row>
    <row r="2" spans="1:14">
      <c r="B2">
        <v>2011</v>
      </c>
      <c r="C2">
        <v>2012</v>
      </c>
      <c r="D2">
        <v>2013</v>
      </c>
      <c r="E2">
        <v>2014</v>
      </c>
      <c r="F2">
        <v>2015</v>
      </c>
      <c r="G2">
        <v>2016</v>
      </c>
      <c r="H2">
        <v>2017</v>
      </c>
      <c r="I2">
        <v>2018</v>
      </c>
      <c r="J2">
        <v>2019</v>
      </c>
      <c r="K2">
        <v>2020</v>
      </c>
      <c r="L2">
        <v>2021</v>
      </c>
      <c r="M2">
        <v>2022</v>
      </c>
      <c r="N2">
        <v>2023</v>
      </c>
    </row>
    <row r="3" spans="1:14">
      <c r="A3" t="s">
        <v>756</v>
      </c>
      <c r="B3">
        <v>56.977356858440366</v>
      </c>
      <c r="C3">
        <v>102.6788674293033</v>
      </c>
      <c r="D3">
        <v>210.81476067027523</v>
      </c>
      <c r="E3">
        <v>460.93990603211017</v>
      </c>
      <c r="F3">
        <v>792.21905377293569</v>
      </c>
      <c r="G3">
        <v>983.78279999999995</v>
      </c>
      <c r="H3">
        <v>1223.9577503999999</v>
      </c>
      <c r="I3">
        <v>1331.8420499999997</v>
      </c>
      <c r="J3">
        <v>1651.8312720000001</v>
      </c>
      <c r="K3">
        <v>1930.9872959999998</v>
      </c>
      <c r="L3">
        <v>2091.1786654523471</v>
      </c>
      <c r="M3">
        <v>2057.7996900440494</v>
      </c>
      <c r="N3">
        <v>2245.9833841154673</v>
      </c>
    </row>
    <row r="4" spans="1:14">
      <c r="A4" t="s">
        <v>757</v>
      </c>
      <c r="B4">
        <f t="shared" ref="B4:N4" si="0">B15-B17</f>
        <v>0</v>
      </c>
      <c r="C4">
        <f t="shared" si="0"/>
        <v>0</v>
      </c>
      <c r="D4">
        <f t="shared" si="0"/>
        <v>0</v>
      </c>
      <c r="E4">
        <f t="shared" si="0"/>
        <v>0</v>
      </c>
      <c r="F4">
        <f t="shared" si="0"/>
        <v>0</v>
      </c>
      <c r="G4">
        <f t="shared" si="0"/>
        <v>0</v>
      </c>
      <c r="H4">
        <f t="shared" si="0"/>
        <v>0</v>
      </c>
      <c r="I4">
        <f t="shared" si="0"/>
        <v>0</v>
      </c>
      <c r="J4">
        <f t="shared" si="0"/>
        <v>0</v>
      </c>
      <c r="K4">
        <f t="shared" si="0"/>
        <v>0</v>
      </c>
      <c r="L4">
        <f t="shared" si="0"/>
        <v>0</v>
      </c>
      <c r="M4">
        <f t="shared" si="0"/>
        <v>0</v>
      </c>
      <c r="N4">
        <f t="shared" si="0"/>
        <v>0</v>
      </c>
    </row>
    <row r="5" spans="1:14">
      <c r="A5" t="s">
        <v>758</v>
      </c>
      <c r="B5">
        <v>9.5199863521601404</v>
      </c>
      <c r="C5">
        <v>25.047898568203898</v>
      </c>
      <c r="D5">
        <v>64.398573407590717</v>
      </c>
      <c r="E5">
        <v>150.63423493967056</v>
      </c>
      <c r="F5">
        <v>306.29387624885044</v>
      </c>
      <c r="G5">
        <v>339.49035602409646</v>
      </c>
      <c r="H5">
        <v>407.44594664879071</v>
      </c>
      <c r="I5">
        <v>505.58541203527489</v>
      </c>
      <c r="J5">
        <v>633.09646278219759</v>
      </c>
      <c r="K5">
        <v>720.40531843275085</v>
      </c>
      <c r="L5">
        <v>801.62945501545369</v>
      </c>
      <c r="M5">
        <v>732.13625316233959</v>
      </c>
      <c r="N5">
        <v>799.1855446149417</v>
      </c>
    </row>
    <row r="6" spans="1:14">
      <c r="A6" t="s">
        <v>759</v>
      </c>
      <c r="B6">
        <f t="shared" ref="B6:N6" si="1">B16-B18</f>
        <v>0</v>
      </c>
      <c r="C6">
        <f t="shared" si="1"/>
        <v>0</v>
      </c>
      <c r="D6">
        <f t="shared" si="1"/>
        <v>0</v>
      </c>
      <c r="E6">
        <f t="shared" si="1"/>
        <v>0</v>
      </c>
      <c r="F6">
        <f t="shared" si="1"/>
        <v>0</v>
      </c>
      <c r="G6">
        <f t="shared" si="1"/>
        <v>0</v>
      </c>
      <c r="H6">
        <f t="shared" si="1"/>
        <v>0</v>
      </c>
      <c r="I6">
        <f t="shared" si="1"/>
        <v>0</v>
      </c>
      <c r="J6">
        <f t="shared" si="1"/>
        <v>0</v>
      </c>
      <c r="K6">
        <f t="shared" si="1"/>
        <v>0</v>
      </c>
      <c r="L6">
        <f t="shared" si="1"/>
        <v>0</v>
      </c>
      <c r="M6">
        <f t="shared" si="1"/>
        <v>0</v>
      </c>
      <c r="N6">
        <f t="shared" si="1"/>
        <v>0</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C8965-910E-464B-A554-FB126943EF2F}">
  <dimension ref="A1:O7"/>
  <sheetViews>
    <sheetView zoomScale="55" zoomScaleNormal="55" workbookViewId="0"/>
  </sheetViews>
  <sheetFormatPr baseColWidth="10" defaultColWidth="10.6640625" defaultRowHeight="16"/>
  <cols>
    <col min="1" max="1" width="24.33203125" customWidth="1"/>
  </cols>
  <sheetData>
    <row r="1" spans="1:15">
      <c r="A1" t="s">
        <v>762</v>
      </c>
    </row>
    <row r="2" spans="1:15">
      <c r="B2">
        <v>2010</v>
      </c>
      <c r="C2">
        <v>2011</v>
      </c>
      <c r="D2">
        <v>2012</v>
      </c>
      <c r="E2">
        <v>2013</v>
      </c>
      <c r="F2">
        <v>2014</v>
      </c>
      <c r="G2">
        <v>2015</v>
      </c>
      <c r="H2">
        <v>2016</v>
      </c>
      <c r="I2">
        <v>2017</v>
      </c>
      <c r="J2">
        <v>2018</v>
      </c>
      <c r="K2">
        <v>2019</v>
      </c>
      <c r="L2">
        <v>2020</v>
      </c>
      <c r="M2">
        <v>2021</v>
      </c>
      <c r="N2">
        <v>2022</v>
      </c>
      <c r="O2">
        <v>2023</v>
      </c>
    </row>
    <row r="3" spans="1:15">
      <c r="A3" t="s">
        <v>512</v>
      </c>
      <c r="B3">
        <v>18.617246099999999</v>
      </c>
      <c r="C3">
        <v>105.090925</v>
      </c>
      <c r="D3">
        <v>206.19409200000001</v>
      </c>
      <c r="E3">
        <v>329.13117</v>
      </c>
      <c r="F3">
        <v>492.48086899999998</v>
      </c>
      <c r="G3">
        <v>725.14321700000005</v>
      </c>
      <c r="H3">
        <v>876.02756199999999</v>
      </c>
      <c r="I3">
        <v>983.86487899999997</v>
      </c>
      <c r="J3">
        <v>1815.42614</v>
      </c>
      <c r="K3">
        <v>1720.91697</v>
      </c>
      <c r="L3">
        <v>1745.68436</v>
      </c>
      <c r="M3">
        <v>2182.86969</v>
      </c>
      <c r="N3">
        <v>2287.1038800000001</v>
      </c>
      <c r="O3">
        <v>2274.0070000000001</v>
      </c>
    </row>
    <row r="4" spans="1:15">
      <c r="A4" t="s">
        <v>760</v>
      </c>
      <c r="B4">
        <v>451.47</v>
      </c>
      <c r="C4">
        <v>437.53</v>
      </c>
      <c r="D4">
        <v>446.37</v>
      </c>
      <c r="E4">
        <v>464.27</v>
      </c>
      <c r="F4">
        <v>500.57</v>
      </c>
      <c r="G4">
        <v>597.20000000000005</v>
      </c>
      <c r="H4">
        <v>625.89</v>
      </c>
      <c r="I4">
        <v>634.79999999999995</v>
      </c>
      <c r="J4">
        <v>936.53</v>
      </c>
      <c r="K4">
        <v>1072.57</v>
      </c>
      <c r="L4">
        <v>959.35</v>
      </c>
      <c r="M4">
        <v>1011.55</v>
      </c>
      <c r="N4">
        <v>1126.6400000000001</v>
      </c>
      <c r="O4">
        <v>1144.8599999999999</v>
      </c>
    </row>
    <row r="5" spans="1:15">
      <c r="A5" t="s">
        <v>761</v>
      </c>
      <c r="B5">
        <v>367.4</v>
      </c>
      <c r="C5">
        <v>363.3</v>
      </c>
      <c r="D5">
        <v>378.2</v>
      </c>
      <c r="E5">
        <v>401.3</v>
      </c>
      <c r="F5">
        <v>441.5</v>
      </c>
      <c r="G5">
        <v>537.5</v>
      </c>
      <c r="H5">
        <v>576.20000000000005</v>
      </c>
      <c r="I5">
        <v>589.5</v>
      </c>
      <c r="J5">
        <v>755.3</v>
      </c>
      <c r="K5">
        <v>799.4</v>
      </c>
      <c r="L5">
        <v>783.2</v>
      </c>
      <c r="M5">
        <v>738.1</v>
      </c>
      <c r="N5">
        <v>880.9</v>
      </c>
      <c r="O5">
        <v>865.2</v>
      </c>
    </row>
    <row r="6" spans="1:15">
      <c r="A6" t="s">
        <v>343</v>
      </c>
      <c r="B6">
        <v>77.778265700000006</v>
      </c>
      <c r="C6">
        <v>83.414930600000005</v>
      </c>
      <c r="D6">
        <v>94.1757037</v>
      </c>
      <c r="E6">
        <v>108.39686500000001</v>
      </c>
      <c r="F6">
        <v>129.33717899999999</v>
      </c>
      <c r="G6">
        <v>216.44570899999999</v>
      </c>
      <c r="H6">
        <v>166.18409</v>
      </c>
      <c r="I6">
        <v>163.306209</v>
      </c>
      <c r="J6">
        <v>0</v>
      </c>
      <c r="K6">
        <v>0</v>
      </c>
      <c r="L6">
        <v>0</v>
      </c>
      <c r="M6">
        <v>0</v>
      </c>
      <c r="N6">
        <v>0</v>
      </c>
      <c r="O6">
        <v>48.06</v>
      </c>
    </row>
    <row r="7" spans="1:15">
      <c r="A7" t="s">
        <v>39</v>
      </c>
      <c r="B7">
        <f t="shared" ref="B7:N7" si="0">SUM(B3:B6)</f>
        <v>915.26551180000001</v>
      </c>
      <c r="C7">
        <f t="shared" si="0"/>
        <v>989.33585559999995</v>
      </c>
      <c r="D7">
        <f t="shared" si="0"/>
        <v>1124.9397957000001</v>
      </c>
      <c r="E7">
        <f t="shared" si="0"/>
        <v>1303.098035</v>
      </c>
      <c r="F7">
        <f t="shared" si="0"/>
        <v>1563.8880479999998</v>
      </c>
      <c r="G7">
        <f t="shared" si="0"/>
        <v>2076.2889260000002</v>
      </c>
      <c r="H7">
        <f t="shared" si="0"/>
        <v>2244.3016520000006</v>
      </c>
      <c r="I7">
        <f t="shared" si="0"/>
        <v>2371.4710879999998</v>
      </c>
      <c r="J7">
        <f t="shared" si="0"/>
        <v>3507.2561400000004</v>
      </c>
      <c r="K7">
        <f t="shared" si="0"/>
        <v>3592.88697</v>
      </c>
      <c r="L7">
        <f t="shared" si="0"/>
        <v>3488.2343600000004</v>
      </c>
      <c r="M7">
        <f t="shared" si="0"/>
        <v>3932.5196899999996</v>
      </c>
      <c r="N7">
        <f t="shared" si="0"/>
        <v>4294.6438799999996</v>
      </c>
      <c r="O7">
        <f>SUM(O3:O6)</f>
        <v>4332.1270000000004</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E91A-A094-3544-80D8-0624E39C0C22}">
  <dimension ref="A1:H22"/>
  <sheetViews>
    <sheetView zoomScale="55" zoomScaleNormal="55" workbookViewId="0"/>
  </sheetViews>
  <sheetFormatPr baseColWidth="10" defaultColWidth="10.6640625" defaultRowHeight="16"/>
  <cols>
    <col min="1" max="1" width="15.33203125" customWidth="1"/>
    <col min="2" max="2" width="17.6640625" customWidth="1"/>
    <col min="3" max="3" width="12.1640625" customWidth="1"/>
    <col min="4" max="4" width="15.83203125" customWidth="1"/>
    <col min="5" max="5" width="15.33203125" customWidth="1"/>
    <col min="6" max="6" width="14.83203125" customWidth="1"/>
    <col min="7" max="7" width="15" customWidth="1"/>
  </cols>
  <sheetData>
    <row r="1" spans="1:8">
      <c r="A1" t="s">
        <v>767</v>
      </c>
    </row>
    <row r="2" spans="1:8">
      <c r="B2" t="s">
        <v>764</v>
      </c>
      <c r="C2" t="s">
        <v>766</v>
      </c>
      <c r="D2" t="s">
        <v>765</v>
      </c>
      <c r="E2" t="s">
        <v>770</v>
      </c>
      <c r="F2" t="s">
        <v>769</v>
      </c>
      <c r="G2" t="s">
        <v>768</v>
      </c>
      <c r="H2" t="s">
        <v>636</v>
      </c>
    </row>
    <row r="3" spans="1:8">
      <c r="A3" t="s">
        <v>771</v>
      </c>
      <c r="E3">
        <v>628.9</v>
      </c>
      <c r="G3">
        <f>SUM(B3:F3)</f>
        <v>628.9</v>
      </c>
      <c r="H3">
        <v>14.5</v>
      </c>
    </row>
    <row r="4" spans="1:8">
      <c r="A4" t="s">
        <v>160</v>
      </c>
      <c r="C4">
        <v>519.98</v>
      </c>
      <c r="G4">
        <f t="shared" ref="G4:G22" si="0">SUM(B4:F4)</f>
        <v>519.98</v>
      </c>
      <c r="H4">
        <v>12</v>
      </c>
    </row>
    <row r="5" spans="1:8">
      <c r="A5" t="s">
        <v>165</v>
      </c>
      <c r="C5">
        <v>271.57</v>
      </c>
      <c r="D5">
        <v>71.94</v>
      </c>
      <c r="F5">
        <v>112.00060072338502</v>
      </c>
      <c r="G5">
        <f t="shared" si="0"/>
        <v>455.51060072338498</v>
      </c>
      <c r="H5">
        <v>10.5</v>
      </c>
    </row>
    <row r="6" spans="1:8">
      <c r="A6" t="s">
        <v>169</v>
      </c>
      <c r="B6">
        <v>162.25</v>
      </c>
      <c r="C6">
        <v>69.94</v>
      </c>
      <c r="D6">
        <v>65.95</v>
      </c>
      <c r="F6">
        <v>27.91</v>
      </c>
      <c r="G6">
        <f t="shared" si="0"/>
        <v>326.05</v>
      </c>
      <c r="H6">
        <v>7.5</v>
      </c>
    </row>
    <row r="7" spans="1:8">
      <c r="A7" t="s">
        <v>772</v>
      </c>
      <c r="B7">
        <v>260.98</v>
      </c>
      <c r="D7">
        <v>63.99</v>
      </c>
      <c r="G7">
        <f t="shared" si="0"/>
        <v>324.97000000000003</v>
      </c>
      <c r="H7">
        <v>7.5</v>
      </c>
    </row>
    <row r="8" spans="1:8">
      <c r="A8" t="s">
        <v>776</v>
      </c>
      <c r="B8">
        <v>168.24</v>
      </c>
      <c r="C8">
        <v>114.76</v>
      </c>
      <c r="D8">
        <v>23</v>
      </c>
      <c r="G8">
        <f t="shared" si="0"/>
        <v>306</v>
      </c>
      <c r="H8">
        <v>7.1</v>
      </c>
    </row>
    <row r="9" spans="1:8">
      <c r="A9" t="s">
        <v>496</v>
      </c>
      <c r="C9">
        <v>278.08999999999997</v>
      </c>
      <c r="G9">
        <f t="shared" si="0"/>
        <v>278.08999999999997</v>
      </c>
      <c r="H9">
        <v>6.4</v>
      </c>
    </row>
    <row r="10" spans="1:8">
      <c r="A10" t="s">
        <v>494</v>
      </c>
      <c r="B10">
        <v>48.08</v>
      </c>
      <c r="C10">
        <v>158.78</v>
      </c>
      <c r="D10">
        <v>58.86</v>
      </c>
      <c r="G10">
        <f t="shared" si="0"/>
        <v>265.72000000000003</v>
      </c>
      <c r="H10">
        <v>6.1</v>
      </c>
    </row>
    <row r="11" spans="1:8">
      <c r="A11" t="s">
        <v>773</v>
      </c>
      <c r="E11">
        <v>223.8</v>
      </c>
      <c r="G11">
        <f t="shared" si="0"/>
        <v>223.8</v>
      </c>
      <c r="H11">
        <v>5.2</v>
      </c>
    </row>
    <row r="12" spans="1:8">
      <c r="A12" t="s">
        <v>601</v>
      </c>
      <c r="B12">
        <v>135.30000000000001</v>
      </c>
      <c r="E12">
        <v>44.88</v>
      </c>
      <c r="G12">
        <f t="shared" si="0"/>
        <v>180.18</v>
      </c>
      <c r="H12">
        <v>4.2</v>
      </c>
    </row>
    <row r="13" spans="1:8">
      <c r="A13" t="s">
        <v>602</v>
      </c>
      <c r="F13">
        <v>178.93</v>
      </c>
      <c r="G13">
        <f>SUM(B13:F13)</f>
        <v>178.93</v>
      </c>
      <c r="H13">
        <v>4.0999999999999996</v>
      </c>
    </row>
    <row r="14" spans="1:8">
      <c r="A14" t="s">
        <v>600</v>
      </c>
      <c r="D14">
        <v>105.44570221426082</v>
      </c>
      <c r="E14">
        <v>45.6</v>
      </c>
      <c r="G14">
        <f t="shared" si="0"/>
        <v>151.04570221426081</v>
      </c>
      <c r="H14">
        <v>3.5</v>
      </c>
    </row>
    <row r="15" spans="1:8">
      <c r="A15" t="s">
        <v>775</v>
      </c>
      <c r="C15">
        <v>128.47</v>
      </c>
      <c r="G15">
        <f t="shared" si="0"/>
        <v>128.47</v>
      </c>
      <c r="H15">
        <v>3</v>
      </c>
    </row>
    <row r="16" spans="1:8">
      <c r="A16" t="s">
        <v>774</v>
      </c>
      <c r="D16">
        <v>66.28</v>
      </c>
      <c r="E16">
        <v>59.84</v>
      </c>
      <c r="G16">
        <f t="shared" si="0"/>
        <v>126.12</v>
      </c>
      <c r="H16">
        <v>2.9</v>
      </c>
    </row>
    <row r="17" spans="1:8">
      <c r="A17" t="s">
        <v>595</v>
      </c>
      <c r="B17">
        <v>7.44</v>
      </c>
      <c r="C17">
        <v>60.05</v>
      </c>
      <c r="D17">
        <v>34.31</v>
      </c>
      <c r="F17">
        <v>7.44</v>
      </c>
      <c r="G17">
        <f t="shared" si="0"/>
        <v>109.24</v>
      </c>
      <c r="H17">
        <v>2.5</v>
      </c>
    </row>
    <row r="18" spans="1:8">
      <c r="A18" t="s">
        <v>592</v>
      </c>
      <c r="C18">
        <v>30.97</v>
      </c>
      <c r="G18">
        <f t="shared" si="0"/>
        <v>30.97</v>
      </c>
      <c r="H18">
        <v>0.7</v>
      </c>
    </row>
    <row r="19" spans="1:8">
      <c r="A19" t="s">
        <v>604</v>
      </c>
      <c r="F19">
        <v>25.28</v>
      </c>
      <c r="G19">
        <f t="shared" si="0"/>
        <v>25.28</v>
      </c>
      <c r="H19">
        <v>0.6</v>
      </c>
    </row>
    <row r="20" spans="1:8">
      <c r="A20" t="s">
        <v>593</v>
      </c>
      <c r="F20">
        <v>14.7</v>
      </c>
      <c r="G20">
        <f>SUM(B20:F20)</f>
        <v>14.7</v>
      </c>
      <c r="H20">
        <v>0.3</v>
      </c>
    </row>
    <row r="21" spans="1:8">
      <c r="A21" t="s">
        <v>603</v>
      </c>
      <c r="F21">
        <v>10.199999999999999</v>
      </c>
      <c r="G21">
        <f t="shared" si="0"/>
        <v>10.199999999999999</v>
      </c>
      <c r="H21">
        <v>0.2</v>
      </c>
    </row>
    <row r="22" spans="1:8">
      <c r="A22" t="s">
        <v>343</v>
      </c>
      <c r="F22">
        <v>48</v>
      </c>
      <c r="G22">
        <f t="shared" si="0"/>
        <v>48</v>
      </c>
      <c r="H22">
        <v>1.1000000000000001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1F0F-8469-A54B-BC9D-A960373C2F2E}">
  <dimension ref="A1:D55"/>
  <sheetViews>
    <sheetView zoomScale="55" zoomScaleNormal="55" workbookViewId="0"/>
  </sheetViews>
  <sheetFormatPr baseColWidth="10" defaultColWidth="11" defaultRowHeight="16"/>
  <cols>
    <col min="1" max="1" width="32" customWidth="1"/>
    <col min="2" max="2" width="18.33203125" bestFit="1" customWidth="1"/>
    <col min="3" max="3" width="13" bestFit="1" customWidth="1"/>
    <col min="4" max="4" width="19.83203125" customWidth="1"/>
    <col min="11" max="11" width="11.6640625" bestFit="1" customWidth="1"/>
  </cols>
  <sheetData>
    <row r="1" spans="1:3" ht="17.5" customHeight="1">
      <c r="A1" t="s">
        <v>791</v>
      </c>
    </row>
    <row r="2" spans="1:3" ht="33" customHeight="1">
      <c r="B2" t="s">
        <v>779</v>
      </c>
      <c r="C2" t="s">
        <v>155</v>
      </c>
    </row>
    <row r="3" spans="1:3">
      <c r="A3" t="s">
        <v>162</v>
      </c>
      <c r="B3">
        <v>628.88</v>
      </c>
      <c r="C3">
        <f>(B3/B$24)*100</f>
        <v>14.516656598479221</v>
      </c>
    </row>
    <row r="4" spans="1:3">
      <c r="A4" t="s">
        <v>160</v>
      </c>
      <c r="B4">
        <v>519.98</v>
      </c>
      <c r="C4">
        <f t="shared" ref="C4:C23" si="0">(B4/B$24)*100</f>
        <v>12.002879878636982</v>
      </c>
    </row>
    <row r="5" spans="1:3">
      <c r="A5" t="s">
        <v>165</v>
      </c>
      <c r="B5">
        <v>455.51</v>
      </c>
      <c r="C5">
        <f t="shared" si="0"/>
        <v>10.514696360471426</v>
      </c>
    </row>
    <row r="6" spans="1:3">
      <c r="A6" t="s">
        <v>169</v>
      </c>
      <c r="B6">
        <v>326.05</v>
      </c>
      <c r="C6">
        <f t="shared" si="0"/>
        <v>7.5263259825946918</v>
      </c>
    </row>
    <row r="7" spans="1:3">
      <c r="A7" t="s">
        <v>488</v>
      </c>
      <c r="B7">
        <v>324.97000000000003</v>
      </c>
      <c r="C7">
        <f t="shared" si="0"/>
        <v>7.5013959655384062</v>
      </c>
    </row>
    <row r="8" spans="1:3">
      <c r="A8" t="s">
        <v>496</v>
      </c>
      <c r="B8">
        <v>278.08999999999997</v>
      </c>
      <c r="C8">
        <f t="shared" si="0"/>
        <v>6.4192485585025549</v>
      </c>
    </row>
    <row r="9" spans="1:3">
      <c r="A9" t="s">
        <v>494</v>
      </c>
      <c r="B9">
        <v>265.73</v>
      </c>
      <c r="C9">
        <f t="shared" si="0"/>
        <v>6.1339383633028302</v>
      </c>
    </row>
    <row r="10" spans="1:3">
      <c r="A10" t="s">
        <v>343</v>
      </c>
      <c r="B10">
        <v>226.22700000000077</v>
      </c>
      <c r="C10">
        <f t="shared" si="0"/>
        <v>5.2220768227709105</v>
      </c>
    </row>
    <row r="11" spans="1:3">
      <c r="A11" t="s">
        <v>179</v>
      </c>
      <c r="B11">
        <v>223.77</v>
      </c>
      <c r="C11">
        <f t="shared" si="0"/>
        <v>5.1653610339678409</v>
      </c>
    </row>
    <row r="12" spans="1:3">
      <c r="A12" t="s">
        <v>601</v>
      </c>
      <c r="B12">
        <v>180.18</v>
      </c>
      <c r="C12">
        <f t="shared" si="0"/>
        <v>4.159157845557159</v>
      </c>
    </row>
    <row r="13" spans="1:3">
      <c r="A13" t="s">
        <v>602</v>
      </c>
      <c r="B13">
        <v>178.93</v>
      </c>
      <c r="C13">
        <f t="shared" si="0"/>
        <v>4.13030365914942</v>
      </c>
    </row>
    <row r="14" spans="1:3">
      <c r="A14" t="s">
        <v>600</v>
      </c>
      <c r="B14">
        <v>151.05000000000001</v>
      </c>
      <c r="C14">
        <f t="shared" si="0"/>
        <v>3.4867398855112053</v>
      </c>
    </row>
    <row r="15" spans="1:3">
      <c r="A15" t="s">
        <v>596</v>
      </c>
      <c r="B15">
        <v>128.47</v>
      </c>
      <c r="C15">
        <f t="shared" si="0"/>
        <v>2.9655178622418039</v>
      </c>
    </row>
    <row r="16" spans="1:3">
      <c r="A16" t="s">
        <v>594</v>
      </c>
      <c r="B16">
        <v>127.75</v>
      </c>
      <c r="C16">
        <f t="shared" si="0"/>
        <v>2.9488978508709458</v>
      </c>
    </row>
    <row r="17" spans="1:3">
      <c r="A17" t="s">
        <v>598</v>
      </c>
      <c r="B17">
        <v>126.13</v>
      </c>
      <c r="C17">
        <f t="shared" si="0"/>
        <v>2.911502825286516</v>
      </c>
    </row>
    <row r="18" spans="1:3">
      <c r="A18" t="s">
        <v>595</v>
      </c>
      <c r="B18">
        <v>109.24</v>
      </c>
      <c r="C18">
        <f t="shared" si="0"/>
        <v>2.5216250585451441</v>
      </c>
    </row>
    <row r="19" spans="1:3">
      <c r="A19" t="s">
        <v>592</v>
      </c>
      <c r="B19">
        <v>30.97</v>
      </c>
      <c r="C19">
        <f t="shared" si="0"/>
        <v>0.71489132243814635</v>
      </c>
    </row>
    <row r="20" spans="1:3">
      <c r="A20" t="s">
        <v>604</v>
      </c>
      <c r="B20">
        <v>25.28</v>
      </c>
      <c r="C20">
        <f t="shared" si="0"/>
        <v>0.58354706591011751</v>
      </c>
    </row>
    <row r="21" spans="1:3">
      <c r="A21" t="s">
        <v>593</v>
      </c>
      <c r="B21">
        <v>14.72</v>
      </c>
      <c r="C21">
        <f t="shared" si="0"/>
        <v>0.33978689913753679</v>
      </c>
    </row>
    <row r="22" spans="1:3">
      <c r="A22" t="s">
        <v>603</v>
      </c>
      <c r="B22">
        <v>10.199999999999999</v>
      </c>
      <c r="C22">
        <f t="shared" si="0"/>
        <v>0.23545016108715183</v>
      </c>
    </row>
    <row r="23" spans="1:3">
      <c r="A23" t="s">
        <v>343</v>
      </c>
      <c r="B23">
        <v>48</v>
      </c>
      <c r="C23">
        <f t="shared" si="0"/>
        <v>1.1080007580571851</v>
      </c>
    </row>
    <row r="24" spans="1:3">
      <c r="A24" t="s">
        <v>778</v>
      </c>
      <c r="B24">
        <v>4332.1270000000004</v>
      </c>
    </row>
    <row r="25" spans="1:3">
      <c r="A25" t="s">
        <v>143</v>
      </c>
      <c r="B25">
        <f>SUM(C3:C6)</f>
        <v>44.560558820182322</v>
      </c>
    </row>
    <row r="26" spans="1:3">
      <c r="A26" t="s">
        <v>777</v>
      </c>
      <c r="B26">
        <v>804.9</v>
      </c>
    </row>
    <row r="33" spans="1:4">
      <c r="A33" t="s">
        <v>162</v>
      </c>
      <c r="B33">
        <v>628.88</v>
      </c>
      <c r="C33">
        <f>(B33/B$24)*100</f>
        <v>14.516656598479221</v>
      </c>
      <c r="D33">
        <f>SUMSQ(C33)</f>
        <v>210.7333187981703</v>
      </c>
    </row>
    <row r="34" spans="1:4">
      <c r="A34" t="s">
        <v>160</v>
      </c>
      <c r="B34">
        <v>519.98</v>
      </c>
      <c r="C34">
        <f>C4+C6</f>
        <v>19.529205861231674</v>
      </c>
      <c r="D34">
        <f t="shared" ref="D34:D52" si="1">SUMSQ(C34)</f>
        <v>381.38988157036556</v>
      </c>
    </row>
    <row r="35" spans="1:4">
      <c r="A35" t="s">
        <v>165</v>
      </c>
      <c r="B35">
        <v>455.51</v>
      </c>
      <c r="C35">
        <f t="shared" ref="C35:C52" si="2">(B35/B$24)*100</f>
        <v>10.514696360471426</v>
      </c>
      <c r="D35">
        <f t="shared" si="1"/>
        <v>110.55883955291105</v>
      </c>
    </row>
    <row r="36" spans="1:4">
      <c r="A36" t="s">
        <v>488</v>
      </c>
      <c r="B36">
        <v>324.97000000000003</v>
      </c>
      <c r="C36">
        <f t="shared" si="2"/>
        <v>7.5013959655384062</v>
      </c>
      <c r="D36">
        <f t="shared" si="1"/>
        <v>56.270941431795876</v>
      </c>
    </row>
    <row r="37" spans="1:4">
      <c r="A37" t="s">
        <v>496</v>
      </c>
      <c r="B37">
        <v>278.08999999999997</v>
      </c>
      <c r="C37">
        <f t="shared" si="2"/>
        <v>6.4192485585025549</v>
      </c>
      <c r="D37">
        <f t="shared" si="1"/>
        <v>41.206752055837129</v>
      </c>
    </row>
    <row r="38" spans="1:4">
      <c r="A38" t="s">
        <v>494</v>
      </c>
      <c r="B38">
        <v>265.73</v>
      </c>
      <c r="C38">
        <f t="shared" si="2"/>
        <v>6.1339383633028302</v>
      </c>
      <c r="D38">
        <f t="shared" si="1"/>
        <v>37.625199844798203</v>
      </c>
    </row>
    <row r="39" spans="1:4">
      <c r="A39" t="s">
        <v>343</v>
      </c>
      <c r="B39">
        <v>226.22700000000077</v>
      </c>
      <c r="C39">
        <f t="shared" si="2"/>
        <v>5.2220768227709105</v>
      </c>
      <c r="D39">
        <f t="shared" si="1"/>
        <v>27.270086342921125</v>
      </c>
    </row>
    <row r="40" spans="1:4">
      <c r="A40" t="s">
        <v>179</v>
      </c>
      <c r="B40">
        <v>223.77</v>
      </c>
      <c r="C40">
        <f t="shared" si="2"/>
        <v>5.1653610339678409</v>
      </c>
      <c r="D40">
        <f t="shared" si="1"/>
        <v>26.680954611233322</v>
      </c>
    </row>
    <row r="41" spans="1:4">
      <c r="A41" t="s">
        <v>601</v>
      </c>
      <c r="B41">
        <v>180.18</v>
      </c>
      <c r="C41">
        <f t="shared" si="2"/>
        <v>4.159157845557159</v>
      </c>
      <c r="D41">
        <f t="shared" si="1"/>
        <v>17.298593984259668</v>
      </c>
    </row>
    <row r="42" spans="1:4">
      <c r="A42" t="s">
        <v>602</v>
      </c>
      <c r="B42">
        <v>178.93</v>
      </c>
      <c r="C42">
        <f t="shared" si="2"/>
        <v>4.13030365914942</v>
      </c>
      <c r="D42">
        <f t="shared" si="1"/>
        <v>17.059408316783088</v>
      </c>
    </row>
    <row r="43" spans="1:4">
      <c r="A43" t="s">
        <v>600</v>
      </c>
      <c r="B43">
        <v>151.05000000000001</v>
      </c>
      <c r="C43">
        <f t="shared" si="2"/>
        <v>3.4867398855112053</v>
      </c>
      <c r="D43">
        <f t="shared" si="1"/>
        <v>12.157355029214694</v>
      </c>
    </row>
    <row r="44" spans="1:4">
      <c r="A44" t="s">
        <v>596</v>
      </c>
      <c r="B44">
        <v>128.47</v>
      </c>
      <c r="C44">
        <f t="shared" si="2"/>
        <v>2.9655178622418039</v>
      </c>
      <c r="D44">
        <f t="shared" si="1"/>
        <v>8.7942961912751993</v>
      </c>
    </row>
    <row r="45" spans="1:4">
      <c r="A45" t="s">
        <v>594</v>
      </c>
      <c r="B45">
        <v>127.75</v>
      </c>
      <c r="C45">
        <f t="shared" si="2"/>
        <v>2.9488978508709458</v>
      </c>
      <c r="D45">
        <f t="shared" si="1"/>
        <v>8.6959985348712827</v>
      </c>
    </row>
    <row r="46" spans="1:4">
      <c r="A46" t="s">
        <v>598</v>
      </c>
      <c r="B46">
        <v>126.13</v>
      </c>
      <c r="C46">
        <f t="shared" si="2"/>
        <v>2.911502825286516</v>
      </c>
      <c r="D46">
        <f t="shared" si="1"/>
        <v>8.4768487016513649</v>
      </c>
    </row>
    <row r="47" spans="1:4">
      <c r="A47" t="s">
        <v>595</v>
      </c>
      <c r="B47">
        <v>109.24</v>
      </c>
      <c r="C47">
        <f t="shared" si="2"/>
        <v>2.5216250585451441</v>
      </c>
      <c r="D47">
        <f t="shared" si="1"/>
        <v>6.3585929358828013</v>
      </c>
    </row>
    <row r="48" spans="1:4">
      <c r="A48" t="s">
        <v>592</v>
      </c>
      <c r="B48">
        <v>30.97</v>
      </c>
      <c r="C48">
        <f t="shared" si="2"/>
        <v>0.71489132243814635</v>
      </c>
      <c r="D48">
        <f t="shared" si="1"/>
        <v>0.5110696028973617</v>
      </c>
    </row>
    <row r="49" spans="1:4">
      <c r="A49" t="s">
        <v>604</v>
      </c>
      <c r="B49">
        <v>25.28</v>
      </c>
      <c r="C49">
        <f t="shared" si="2"/>
        <v>0.58354706591011751</v>
      </c>
      <c r="D49">
        <f t="shared" si="1"/>
        <v>0.34052717813230704</v>
      </c>
    </row>
    <row r="50" spans="1:4">
      <c r="A50" t="s">
        <v>593</v>
      </c>
      <c r="B50">
        <v>14.72</v>
      </c>
      <c r="C50">
        <f t="shared" si="2"/>
        <v>0.33978689913753679</v>
      </c>
      <c r="D50">
        <f t="shared" si="1"/>
        <v>0.1154551368255026</v>
      </c>
    </row>
    <row r="51" spans="1:4">
      <c r="A51" t="s">
        <v>603</v>
      </c>
      <c r="B51">
        <v>10.199999999999999</v>
      </c>
      <c r="C51">
        <f t="shared" si="2"/>
        <v>0.23545016108715183</v>
      </c>
      <c r="D51">
        <f t="shared" si="1"/>
        <v>5.5436778355965749E-2</v>
      </c>
    </row>
    <row r="52" spans="1:4">
      <c r="A52" t="s">
        <v>343</v>
      </c>
      <c r="B52">
        <v>48</v>
      </c>
      <c r="C52">
        <f t="shared" si="2"/>
        <v>1.1080007580571851</v>
      </c>
      <c r="D52">
        <f t="shared" si="1"/>
        <v>1.227665679855297</v>
      </c>
    </row>
    <row r="53" spans="1:4">
      <c r="A53" t="s">
        <v>778</v>
      </c>
      <c r="B53">
        <v>4332.1270000000004</v>
      </c>
      <c r="D53">
        <f>SUM(D33:D52)</f>
        <v>972.82722227803731</v>
      </c>
    </row>
    <row r="54" spans="1:4">
      <c r="A54" t="s">
        <v>143</v>
      </c>
      <c r="B54">
        <f>SUM(C33:C36)</f>
        <v>52.061954785720729</v>
      </c>
    </row>
    <row r="55" spans="1:4">
      <c r="A55" t="s">
        <v>777</v>
      </c>
      <c r="B55">
        <v>804.9</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CE3A-F3FB-8945-B1C2-3C541D7E3607}">
  <dimension ref="A1:V13"/>
  <sheetViews>
    <sheetView zoomScale="40" zoomScaleNormal="40" workbookViewId="0"/>
  </sheetViews>
  <sheetFormatPr baseColWidth="10" defaultColWidth="11" defaultRowHeight="16"/>
  <cols>
    <col min="1" max="1" width="42.6640625" customWidth="1"/>
    <col min="2" max="21" width="11.1640625" customWidth="1"/>
  </cols>
  <sheetData>
    <row r="1" spans="1:22">
      <c r="A1" t="s">
        <v>790</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789</v>
      </c>
      <c r="B3">
        <v>291.86</v>
      </c>
      <c r="C3">
        <v>406.49</v>
      </c>
      <c r="D3">
        <v>633.63</v>
      </c>
      <c r="E3">
        <v>891.65</v>
      </c>
      <c r="F3">
        <v>861.4</v>
      </c>
      <c r="G3">
        <v>586.53</v>
      </c>
      <c r="H3">
        <v>339.4</v>
      </c>
      <c r="I3">
        <v>274.10000000000002</v>
      </c>
      <c r="J3">
        <v>258.10000000000002</v>
      </c>
      <c r="K3">
        <v>212</v>
      </c>
      <c r="L3">
        <v>183</v>
      </c>
      <c r="M3">
        <v>145</v>
      </c>
      <c r="N3">
        <v>152</v>
      </c>
      <c r="O3">
        <v>131</v>
      </c>
      <c r="P3">
        <v>117</v>
      </c>
      <c r="Q3">
        <v>83.44</v>
      </c>
      <c r="R3">
        <v>73.97</v>
      </c>
      <c r="S3">
        <v>72.7</v>
      </c>
      <c r="T3">
        <v>84.41</v>
      </c>
      <c r="U3">
        <v>87.78</v>
      </c>
      <c r="V3">
        <v>106.17</v>
      </c>
    </row>
    <row r="4" spans="1:22">
      <c r="A4" t="s">
        <v>788</v>
      </c>
      <c r="B4">
        <v>315.83999999999997</v>
      </c>
      <c r="C4">
        <v>386.34</v>
      </c>
      <c r="D4">
        <v>472.59</v>
      </c>
      <c r="E4">
        <v>578.08000000000004</v>
      </c>
      <c r="F4">
        <v>707.12900000000002</v>
      </c>
      <c r="G4">
        <v>700.01900000000001</v>
      </c>
      <c r="H4">
        <v>647.64200000000005</v>
      </c>
      <c r="I4">
        <v>630.57799999999997</v>
      </c>
      <c r="J4">
        <v>621.88800000000003</v>
      </c>
      <c r="K4">
        <v>650.96</v>
      </c>
      <c r="L4">
        <v>672.053</v>
      </c>
      <c r="M4">
        <v>679.005</v>
      </c>
      <c r="N4">
        <v>685.72</v>
      </c>
      <c r="O4">
        <v>734.85799999999995</v>
      </c>
      <c r="P4">
        <v>766.66</v>
      </c>
      <c r="Q4">
        <v>760.36</v>
      </c>
      <c r="R4">
        <v>808.94</v>
      </c>
      <c r="S4">
        <v>192.07</v>
      </c>
      <c r="T4">
        <v>348.77</v>
      </c>
      <c r="U4">
        <v>938.2373</v>
      </c>
      <c r="V4">
        <v>1193.1348</v>
      </c>
    </row>
    <row r="5" spans="1:22">
      <c r="A5" t="s">
        <v>787</v>
      </c>
      <c r="B5">
        <v>58.99</v>
      </c>
      <c r="C5">
        <v>82.16</v>
      </c>
      <c r="D5">
        <v>128.06</v>
      </c>
      <c r="E5">
        <v>157</v>
      </c>
      <c r="F5">
        <v>174.1</v>
      </c>
      <c r="G5">
        <v>191.5</v>
      </c>
      <c r="H5">
        <v>255.7</v>
      </c>
      <c r="I5">
        <v>275</v>
      </c>
      <c r="J5">
        <v>267</v>
      </c>
      <c r="K5">
        <v>273</v>
      </c>
      <c r="L5">
        <v>276.39999999999998</v>
      </c>
      <c r="M5">
        <v>299.39999999999998</v>
      </c>
      <c r="N5">
        <v>308</v>
      </c>
      <c r="O5">
        <v>330</v>
      </c>
      <c r="P5">
        <v>337.6</v>
      </c>
      <c r="Q5">
        <v>375</v>
      </c>
      <c r="R5">
        <v>405.6</v>
      </c>
      <c r="S5">
        <v>391.2</v>
      </c>
      <c r="T5">
        <v>416</v>
      </c>
      <c r="U5">
        <v>484</v>
      </c>
      <c r="V5">
        <v>523.4</v>
      </c>
    </row>
    <row r="6" spans="1:22">
      <c r="A6" t="s">
        <v>786</v>
      </c>
      <c r="H6">
        <v>15.28</v>
      </c>
      <c r="I6">
        <v>14.15</v>
      </c>
      <c r="J6">
        <v>15.86</v>
      </c>
      <c r="K6">
        <v>21.99</v>
      </c>
      <c r="L6">
        <v>42.88</v>
      </c>
      <c r="M6">
        <v>54.84</v>
      </c>
      <c r="N6">
        <v>100.97</v>
      </c>
      <c r="O6">
        <v>206.77</v>
      </c>
      <c r="P6">
        <v>328.45</v>
      </c>
      <c r="Q6">
        <v>440.73</v>
      </c>
      <c r="R6">
        <v>568.36</v>
      </c>
      <c r="S6">
        <v>673.06</v>
      </c>
      <c r="T6">
        <v>802.03</v>
      </c>
      <c r="U6">
        <v>852.87</v>
      </c>
      <c r="V6">
        <v>925.33</v>
      </c>
    </row>
    <row r="7" spans="1:22" ht="18" customHeight="1">
      <c r="A7" t="s">
        <v>770</v>
      </c>
      <c r="B7">
        <v>0</v>
      </c>
      <c r="H7">
        <v>131.41</v>
      </c>
      <c r="I7">
        <v>168.67</v>
      </c>
      <c r="J7">
        <v>193.86</v>
      </c>
      <c r="K7">
        <v>210.99</v>
      </c>
      <c r="L7">
        <v>217.39</v>
      </c>
      <c r="M7">
        <v>207.31</v>
      </c>
      <c r="N7">
        <v>225.4</v>
      </c>
      <c r="O7">
        <v>173.34</v>
      </c>
      <c r="P7">
        <v>127</v>
      </c>
      <c r="Q7">
        <v>126.24</v>
      </c>
      <c r="R7">
        <v>92.9</v>
      </c>
      <c r="S7">
        <v>64.87</v>
      </c>
      <c r="T7">
        <v>46.36</v>
      </c>
      <c r="U7">
        <v>38.75</v>
      </c>
      <c r="V7">
        <v>25.54</v>
      </c>
    </row>
    <row r="8" spans="1:22">
      <c r="A8" t="s">
        <v>785</v>
      </c>
      <c r="H8">
        <v>0</v>
      </c>
      <c r="I8">
        <v>0</v>
      </c>
      <c r="J8">
        <v>0</v>
      </c>
      <c r="K8">
        <v>0</v>
      </c>
      <c r="L8">
        <v>13.31</v>
      </c>
      <c r="M8">
        <v>18.27</v>
      </c>
      <c r="N8">
        <v>28.3</v>
      </c>
      <c r="O8">
        <v>41.64</v>
      </c>
      <c r="P8">
        <v>62.72</v>
      </c>
      <c r="Q8">
        <v>123.18</v>
      </c>
      <c r="R8">
        <v>137.84</v>
      </c>
      <c r="S8">
        <v>134.18</v>
      </c>
      <c r="T8">
        <v>142.53</v>
      </c>
      <c r="U8">
        <v>161.68</v>
      </c>
      <c r="V8">
        <v>182.31</v>
      </c>
    </row>
    <row r="9" spans="1:22">
      <c r="A9" t="s">
        <v>784</v>
      </c>
      <c r="Q9">
        <v>7.87</v>
      </c>
      <c r="R9">
        <v>15.65</v>
      </c>
      <c r="S9">
        <v>23.9</v>
      </c>
      <c r="T9">
        <v>35.06</v>
      </c>
      <c r="U9">
        <v>40.5</v>
      </c>
      <c r="V9">
        <v>43.83</v>
      </c>
    </row>
    <row r="12" spans="1:22">
      <c r="A12" t="s">
        <v>783</v>
      </c>
      <c r="B12">
        <f t="shared" ref="B12:V12" si="0">B3+B4+B5</f>
        <v>666.69</v>
      </c>
      <c r="C12">
        <f t="shared" si="0"/>
        <v>874.9899999999999</v>
      </c>
      <c r="D12">
        <f t="shared" si="0"/>
        <v>1234.28</v>
      </c>
      <c r="E12">
        <f t="shared" si="0"/>
        <v>1626.73</v>
      </c>
      <c r="F12">
        <f t="shared" si="0"/>
        <v>1742.6289999999999</v>
      </c>
      <c r="G12">
        <f t="shared" si="0"/>
        <v>1478.049</v>
      </c>
      <c r="H12">
        <f t="shared" si="0"/>
        <v>1242.742</v>
      </c>
      <c r="I12">
        <f t="shared" si="0"/>
        <v>1179.6779999999999</v>
      </c>
      <c r="J12">
        <f t="shared" si="0"/>
        <v>1146.9880000000001</v>
      </c>
      <c r="K12">
        <f t="shared" si="0"/>
        <v>1135.96</v>
      </c>
      <c r="L12">
        <f t="shared" si="0"/>
        <v>1131.453</v>
      </c>
      <c r="M12">
        <f t="shared" si="0"/>
        <v>1123.405</v>
      </c>
      <c r="N12">
        <f t="shared" si="0"/>
        <v>1145.72</v>
      </c>
      <c r="O12">
        <f t="shared" si="0"/>
        <v>1195.8579999999999</v>
      </c>
      <c r="P12">
        <f t="shared" si="0"/>
        <v>1221.26</v>
      </c>
      <c r="Q12">
        <f t="shared" si="0"/>
        <v>1218.8</v>
      </c>
      <c r="R12">
        <f t="shared" si="0"/>
        <v>1288.5100000000002</v>
      </c>
      <c r="S12">
        <f t="shared" si="0"/>
        <v>655.97</v>
      </c>
      <c r="T12">
        <f t="shared" si="0"/>
        <v>849.18</v>
      </c>
      <c r="U12">
        <f t="shared" si="0"/>
        <v>1510.0173</v>
      </c>
      <c r="V12">
        <f t="shared" si="0"/>
        <v>1822.7048</v>
      </c>
    </row>
    <row r="13" spans="1:22">
      <c r="A13" t="s">
        <v>782</v>
      </c>
      <c r="B13">
        <f t="shared" ref="B13:V13" si="1">B6+B8+B7+B9</f>
        <v>0</v>
      </c>
      <c r="C13">
        <f t="shared" si="1"/>
        <v>0</v>
      </c>
      <c r="D13">
        <f t="shared" si="1"/>
        <v>0</v>
      </c>
      <c r="E13">
        <f t="shared" si="1"/>
        <v>0</v>
      </c>
      <c r="F13">
        <f t="shared" si="1"/>
        <v>0</v>
      </c>
      <c r="G13">
        <f t="shared" si="1"/>
        <v>0</v>
      </c>
      <c r="H13">
        <f t="shared" si="1"/>
        <v>146.69</v>
      </c>
      <c r="I13">
        <f t="shared" si="1"/>
        <v>182.82</v>
      </c>
      <c r="J13">
        <f t="shared" si="1"/>
        <v>209.72000000000003</v>
      </c>
      <c r="K13">
        <f t="shared" si="1"/>
        <v>232.98000000000002</v>
      </c>
      <c r="L13">
        <f t="shared" si="1"/>
        <v>273.58</v>
      </c>
      <c r="M13">
        <f t="shared" si="1"/>
        <v>280.42</v>
      </c>
      <c r="N13">
        <f t="shared" si="1"/>
        <v>354.67</v>
      </c>
      <c r="O13">
        <f t="shared" si="1"/>
        <v>421.75</v>
      </c>
      <c r="P13">
        <f t="shared" si="1"/>
        <v>518.16999999999996</v>
      </c>
      <c r="Q13">
        <f t="shared" si="1"/>
        <v>698.0200000000001</v>
      </c>
      <c r="R13">
        <f t="shared" si="1"/>
        <v>814.75</v>
      </c>
      <c r="S13">
        <f t="shared" si="1"/>
        <v>896.01</v>
      </c>
      <c r="T13">
        <f t="shared" si="1"/>
        <v>1025.98</v>
      </c>
      <c r="U13">
        <f t="shared" si="1"/>
        <v>1093.8</v>
      </c>
      <c r="V13">
        <f t="shared" si="1"/>
        <v>1177.01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A633-9DAF-E44F-B872-8B126A37A134}">
  <dimension ref="A1:C13"/>
  <sheetViews>
    <sheetView zoomScale="55" zoomScaleNormal="55" workbookViewId="0"/>
  </sheetViews>
  <sheetFormatPr baseColWidth="10" defaultColWidth="22.6640625" defaultRowHeight="43.25" customHeight="1"/>
  <cols>
    <col min="1" max="1" width="44.5" bestFit="1" customWidth="1"/>
    <col min="12" max="13" width="68" customWidth="1"/>
  </cols>
  <sheetData>
    <row r="1" spans="1:3" ht="20" customHeight="1">
      <c r="A1" t="s">
        <v>792</v>
      </c>
    </row>
    <row r="2" spans="1:3" ht="23" customHeight="1">
      <c r="B2" t="s">
        <v>476</v>
      </c>
      <c r="C2" t="s">
        <v>781</v>
      </c>
    </row>
    <row r="3" spans="1:3" ht="26.5" customHeight="1">
      <c r="A3" t="s">
        <v>168</v>
      </c>
      <c r="B3">
        <v>25.760758558274311</v>
      </c>
      <c r="C3">
        <v>465.39</v>
      </c>
    </row>
    <row r="4" spans="1:3" ht="28" customHeight="1">
      <c r="A4" t="s">
        <v>195</v>
      </c>
      <c r="B4">
        <v>22.961001004657959</v>
      </c>
      <c r="C4">
        <v>414.81</v>
      </c>
    </row>
    <row r="5" spans="1:3" ht="26.5" customHeight="1">
      <c r="A5" t="s">
        <v>162</v>
      </c>
      <c r="B5">
        <v>13.0871229419042</v>
      </c>
      <c r="C5">
        <v>236.43</v>
      </c>
    </row>
    <row r="6" spans="1:3" ht="26.5" customHeight="1">
      <c r="A6" t="s">
        <v>165</v>
      </c>
      <c r="B6">
        <v>12.13172920178126</v>
      </c>
      <c r="C6">
        <v>219.17</v>
      </c>
    </row>
    <row r="7" spans="1:3" ht="24" customHeight="1">
      <c r="A7" t="s">
        <v>491</v>
      </c>
      <c r="B7">
        <v>10.495492877445569</v>
      </c>
      <c r="C7">
        <v>189.61</v>
      </c>
    </row>
    <row r="8" spans="1:3" ht="23" customHeight="1">
      <c r="A8" t="s">
        <v>179</v>
      </c>
      <c r="B8">
        <v>9.3026345286825691</v>
      </c>
      <c r="C8">
        <v>168.06</v>
      </c>
    </row>
    <row r="9" spans="1:3" ht="25.5" customHeight="1">
      <c r="A9" t="s">
        <v>159</v>
      </c>
      <c r="B9">
        <v>5.4871484043097887</v>
      </c>
      <c r="C9">
        <v>99.13</v>
      </c>
    </row>
    <row r="10" spans="1:3" ht="23" customHeight="1">
      <c r="A10" t="s">
        <v>343</v>
      </c>
      <c r="B10">
        <v>22.612830284763792</v>
      </c>
      <c r="C10">
        <v>408.52</v>
      </c>
    </row>
    <row r="11" spans="1:3" ht="24" customHeight="1">
      <c r="A11" t="s">
        <v>780</v>
      </c>
      <c r="B11">
        <v>1806.585</v>
      </c>
    </row>
    <row r="12" spans="1:3" ht="25.5" customHeight="1">
      <c r="A12" t="s">
        <v>143</v>
      </c>
      <c r="B12">
        <v>73.94061170661773</v>
      </c>
    </row>
    <row r="13" spans="1:3" ht="24" customHeight="1">
      <c r="A13" t="s">
        <v>777</v>
      </c>
      <c r="B13">
        <v>1736.079066481142</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AEB20-B883-454D-AFF9-F35C105A16FC}">
  <dimension ref="A1:B18"/>
  <sheetViews>
    <sheetView zoomScale="55" zoomScaleNormal="55" workbookViewId="0"/>
  </sheetViews>
  <sheetFormatPr baseColWidth="10" defaultColWidth="11" defaultRowHeight="16"/>
  <cols>
    <col min="1" max="1" width="27" customWidth="1"/>
    <col min="2" max="2" width="9.83203125" customWidth="1"/>
  </cols>
  <sheetData>
    <row r="1" spans="1:2">
      <c r="A1" t="s">
        <v>801</v>
      </c>
    </row>
    <row r="2" spans="1:2">
      <c r="B2">
        <v>2000</v>
      </c>
    </row>
    <row r="3" spans="1:2">
      <c r="A3" t="s">
        <v>800</v>
      </c>
      <c r="B3">
        <v>861.4</v>
      </c>
    </row>
    <row r="4" spans="1:2">
      <c r="A4" t="s">
        <v>799</v>
      </c>
      <c r="B4">
        <v>707.12900000000002</v>
      </c>
    </row>
    <row r="5" spans="1:2">
      <c r="A5" t="s">
        <v>798</v>
      </c>
      <c r="B5">
        <v>174.1</v>
      </c>
    </row>
    <row r="6" spans="1:2">
      <c r="A6" t="s">
        <v>802</v>
      </c>
      <c r="B6">
        <v>0</v>
      </c>
    </row>
    <row r="8" spans="1:2">
      <c r="B8">
        <v>2012</v>
      </c>
    </row>
    <row r="9" spans="1:2">
      <c r="A9" t="s">
        <v>800</v>
      </c>
      <c r="B9">
        <v>212</v>
      </c>
    </row>
    <row r="10" spans="1:2">
      <c r="A10" t="s">
        <v>799</v>
      </c>
      <c r="B10">
        <v>650.96</v>
      </c>
    </row>
    <row r="11" spans="1:2">
      <c r="A11" t="s">
        <v>798</v>
      </c>
      <c r="B11">
        <v>273</v>
      </c>
    </row>
    <row r="12" spans="1:2">
      <c r="A12" t="s">
        <v>802</v>
      </c>
      <c r="B12">
        <v>232.98000000000002</v>
      </c>
    </row>
    <row r="14" spans="1:2">
      <c r="B14">
        <v>2023</v>
      </c>
    </row>
    <row r="15" spans="1:2">
      <c r="A15" t="s">
        <v>800</v>
      </c>
      <c r="B15">
        <v>106.17</v>
      </c>
    </row>
    <row r="16" spans="1:2">
      <c r="A16" t="s">
        <v>799</v>
      </c>
      <c r="B16">
        <v>1193.1348</v>
      </c>
    </row>
    <row r="17" spans="1:2">
      <c r="A17" t="s">
        <v>798</v>
      </c>
      <c r="B17">
        <v>523.4</v>
      </c>
    </row>
    <row r="18" spans="1:2">
      <c r="A18" t="s">
        <v>802</v>
      </c>
      <c r="B18">
        <v>1177.01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77FA-AB8F-5942-91FB-693D925AB67C}">
  <dimension ref="A1:H15"/>
  <sheetViews>
    <sheetView zoomScale="55" zoomScaleNormal="55" workbookViewId="0"/>
  </sheetViews>
  <sheetFormatPr baseColWidth="10" defaultColWidth="10.6640625" defaultRowHeight="16"/>
  <cols>
    <col min="1" max="1" width="19.5" customWidth="1"/>
  </cols>
  <sheetData>
    <row r="1" spans="1:8">
      <c r="A1" t="s">
        <v>871</v>
      </c>
    </row>
    <row r="2" spans="1:8">
      <c r="B2" t="s">
        <v>786</v>
      </c>
      <c r="C2" t="s">
        <v>797</v>
      </c>
      <c r="D2" t="s">
        <v>770</v>
      </c>
      <c r="E2" t="s">
        <v>789</v>
      </c>
      <c r="F2" t="s">
        <v>787</v>
      </c>
      <c r="G2" t="s">
        <v>763</v>
      </c>
      <c r="H2" t="s">
        <v>768</v>
      </c>
    </row>
    <row r="3" spans="1:8">
      <c r="A3" t="s">
        <v>168</v>
      </c>
      <c r="B3">
        <v>406.49</v>
      </c>
      <c r="C3">
        <v>58.9</v>
      </c>
      <c r="H3">
        <f t="shared" ref="H3:H9" si="0">SUM(B3:G3)</f>
        <v>465.39</v>
      </c>
    </row>
    <row r="4" spans="1:8">
      <c r="A4" t="s">
        <v>195</v>
      </c>
      <c r="B4">
        <v>239.88</v>
      </c>
      <c r="E4">
        <v>29.18</v>
      </c>
      <c r="F4">
        <v>145.75</v>
      </c>
      <c r="H4">
        <f t="shared" si="0"/>
        <v>414.81</v>
      </c>
    </row>
    <row r="5" spans="1:8">
      <c r="A5" t="s">
        <v>794</v>
      </c>
      <c r="B5">
        <v>60.37</v>
      </c>
      <c r="E5">
        <v>24.39</v>
      </c>
      <c r="F5">
        <v>134.4</v>
      </c>
      <c r="H5">
        <f t="shared" si="0"/>
        <v>219.16</v>
      </c>
    </row>
    <row r="6" spans="1:8">
      <c r="A6" t="s">
        <v>491</v>
      </c>
      <c r="B6">
        <v>119</v>
      </c>
      <c r="E6">
        <v>16.34</v>
      </c>
      <c r="F6">
        <v>54.27</v>
      </c>
      <c r="H6">
        <f t="shared" si="0"/>
        <v>189.61</v>
      </c>
    </row>
    <row r="7" spans="1:8">
      <c r="A7" t="s">
        <v>796</v>
      </c>
      <c r="B7">
        <v>123.21</v>
      </c>
      <c r="D7">
        <v>44.84</v>
      </c>
      <c r="H7">
        <f t="shared" si="0"/>
        <v>168.05</v>
      </c>
    </row>
    <row r="8" spans="1:8">
      <c r="A8" t="s">
        <v>795</v>
      </c>
      <c r="B8">
        <v>150.01</v>
      </c>
      <c r="D8">
        <v>3.65</v>
      </c>
      <c r="H8">
        <f t="shared" si="0"/>
        <v>153.66</v>
      </c>
    </row>
    <row r="9" spans="1:8">
      <c r="A9" t="s">
        <v>793</v>
      </c>
      <c r="B9">
        <v>65.349999999999994</v>
      </c>
      <c r="G9">
        <v>33.33</v>
      </c>
      <c r="H9">
        <f t="shared" si="0"/>
        <v>98.679999999999993</v>
      </c>
    </row>
    <row r="10" spans="1:8">
      <c r="A10" t="s">
        <v>343</v>
      </c>
      <c r="H10">
        <v>97.2199999999998</v>
      </c>
    </row>
    <row r="11" spans="1:8">
      <c r="A11" t="s">
        <v>63</v>
      </c>
      <c r="B11">
        <v>925.33</v>
      </c>
      <c r="C11">
        <v>182.31</v>
      </c>
      <c r="D11">
        <v>25.54</v>
      </c>
      <c r="E11">
        <v>106.17</v>
      </c>
      <c r="F11">
        <v>523.4</v>
      </c>
      <c r="G11">
        <v>43.83</v>
      </c>
      <c r="H11">
        <f>SUM(B11:G11)</f>
        <v>1806.58</v>
      </c>
    </row>
    <row r="15" spans="1:8" ht="15" customHeight="1"/>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1C6B-D618-8642-A732-48ADEC9E948A}">
  <dimension ref="A1:N30"/>
  <sheetViews>
    <sheetView zoomScale="55" zoomScaleNormal="55" workbookViewId="0"/>
  </sheetViews>
  <sheetFormatPr baseColWidth="10" defaultColWidth="11" defaultRowHeight="16"/>
  <cols>
    <col min="1" max="1" width="74.83203125" customWidth="1"/>
    <col min="2" max="2" width="13.33203125" customWidth="1"/>
    <col min="3" max="9" width="14.5" customWidth="1"/>
    <col min="10" max="10" width="14.5" bestFit="1" customWidth="1"/>
    <col min="11" max="12" width="12.83203125" customWidth="1"/>
    <col min="13" max="13" width="12.6640625" bestFit="1" customWidth="1"/>
    <col min="14" max="14" width="12.1640625" bestFit="1" customWidth="1"/>
  </cols>
  <sheetData>
    <row r="1" spans="1:14" ht="15.75" customHeight="1">
      <c r="A1" t="s">
        <v>818</v>
      </c>
    </row>
    <row r="2" spans="1:14">
      <c r="B2">
        <v>2011</v>
      </c>
      <c r="C2">
        <v>2012</v>
      </c>
      <c r="D2">
        <v>2013</v>
      </c>
      <c r="E2">
        <v>2014</v>
      </c>
      <c r="F2">
        <v>2015</v>
      </c>
      <c r="G2">
        <v>2016</v>
      </c>
      <c r="H2">
        <v>2017</v>
      </c>
      <c r="I2">
        <v>2018</v>
      </c>
      <c r="J2">
        <v>2019</v>
      </c>
      <c r="K2">
        <v>2020</v>
      </c>
      <c r="L2">
        <v>2021</v>
      </c>
      <c r="M2">
        <v>2022</v>
      </c>
      <c r="N2">
        <v>2023</v>
      </c>
    </row>
    <row r="3" spans="1:14" ht="18" customHeight="1">
      <c r="A3" t="s">
        <v>64</v>
      </c>
      <c r="B3">
        <v>3.2</v>
      </c>
      <c r="C3">
        <v>11.2</v>
      </c>
      <c r="D3">
        <v>23.14</v>
      </c>
      <c r="E3">
        <v>51.39</v>
      </c>
      <c r="F3">
        <v>89.009999999999991</v>
      </c>
      <c r="G3">
        <v>117.91</v>
      </c>
      <c r="H3">
        <v>183.62</v>
      </c>
      <c r="I3">
        <v>240.29000000000002</v>
      </c>
      <c r="J3">
        <v>305.43</v>
      </c>
      <c r="K3">
        <v>376.64000000000004</v>
      </c>
      <c r="L3">
        <v>508.05</v>
      </c>
      <c r="M3">
        <v>444.75</v>
      </c>
      <c r="N3">
        <v>532.62</v>
      </c>
    </row>
    <row r="4" spans="1:14">
      <c r="A4" t="s">
        <v>12</v>
      </c>
      <c r="B4">
        <v>2674</v>
      </c>
      <c r="C4">
        <v>3085</v>
      </c>
      <c r="D4">
        <v>3418</v>
      </c>
      <c r="E4">
        <v>3793</v>
      </c>
      <c r="F4">
        <v>4604</v>
      </c>
      <c r="G4">
        <v>5485</v>
      </c>
      <c r="H4">
        <v>6771</v>
      </c>
      <c r="I4">
        <v>7592</v>
      </c>
      <c r="J4">
        <v>8760</v>
      </c>
      <c r="K4">
        <v>9624</v>
      </c>
      <c r="L4">
        <v>12869.49</v>
      </c>
      <c r="M4">
        <v>14391</v>
      </c>
      <c r="N4">
        <v>16551.37</v>
      </c>
    </row>
    <row r="5" spans="1:14" ht="20" customHeight="1">
      <c r="A5" t="s">
        <v>719</v>
      </c>
      <c r="B5">
        <v>82.91</v>
      </c>
      <c r="C5">
        <v>182.95</v>
      </c>
      <c r="D5">
        <v>290.95999999999998</v>
      </c>
      <c r="E5">
        <v>436.87000000000012</v>
      </c>
      <c r="F5">
        <v>609.26</v>
      </c>
      <c r="G5">
        <v>821.13999999999987</v>
      </c>
      <c r="H5">
        <v>975.87900000000025</v>
      </c>
      <c r="I5">
        <v>1367.5788237000002</v>
      </c>
      <c r="J5">
        <v>2026.2137554000003</v>
      </c>
      <c r="K5">
        <v>2573.9805299999998</v>
      </c>
      <c r="L5">
        <v>3095.6100381182669</v>
      </c>
      <c r="M5">
        <v>3652.1248820000001</v>
      </c>
      <c r="N5">
        <v>4075.1464609999994</v>
      </c>
    </row>
    <row r="6" spans="1:14">
      <c r="A6" t="s">
        <v>718</v>
      </c>
      <c r="B6">
        <v>989.33585559999995</v>
      </c>
      <c r="C6">
        <v>1124.9397956999999</v>
      </c>
      <c r="D6">
        <v>1303.0980349999998</v>
      </c>
      <c r="E6">
        <v>1563.8880479999998</v>
      </c>
      <c r="F6">
        <v>2076.2889260000002</v>
      </c>
      <c r="G6">
        <v>2244.3016520000006</v>
      </c>
      <c r="H6">
        <v>2371.4710879999998</v>
      </c>
      <c r="I6">
        <v>3507.25614</v>
      </c>
      <c r="J6">
        <v>3592.8869699999996</v>
      </c>
      <c r="K6">
        <v>3488.2343600000004</v>
      </c>
      <c r="L6">
        <v>3932.5196900000001</v>
      </c>
      <c r="M6">
        <v>4294.6438799999996</v>
      </c>
      <c r="N6">
        <v>4332.1270000000004</v>
      </c>
    </row>
    <row r="7" spans="1:14">
      <c r="A7" t="s">
        <v>65</v>
      </c>
      <c r="B7">
        <v>209.72000000000003</v>
      </c>
      <c r="C7">
        <v>232.98000000000002</v>
      </c>
      <c r="D7">
        <v>273.58</v>
      </c>
      <c r="E7">
        <v>280.41999999999996</v>
      </c>
      <c r="F7">
        <v>354.67</v>
      </c>
      <c r="G7">
        <v>421.75</v>
      </c>
      <c r="H7">
        <v>518.16999999999996</v>
      </c>
      <c r="I7">
        <v>698.02</v>
      </c>
      <c r="J7">
        <v>814.75</v>
      </c>
      <c r="K7">
        <v>896.01</v>
      </c>
      <c r="L7">
        <v>1025.98</v>
      </c>
      <c r="M7">
        <v>1093.8</v>
      </c>
      <c r="N7">
        <v>1177.01</v>
      </c>
    </row>
    <row r="8" spans="1:14">
      <c r="A8" t="s">
        <v>717</v>
      </c>
      <c r="B8">
        <v>289.572</v>
      </c>
      <c r="C8">
        <v>277.315</v>
      </c>
      <c r="D8">
        <v>261.495</v>
      </c>
      <c r="E8">
        <v>274.38499999999999</v>
      </c>
      <c r="F8">
        <v>282.21100000000001</v>
      </c>
      <c r="G8">
        <v>275</v>
      </c>
      <c r="H8">
        <v>301</v>
      </c>
      <c r="I8">
        <v>325</v>
      </c>
      <c r="J8">
        <v>275</v>
      </c>
      <c r="K8">
        <v>245</v>
      </c>
      <c r="L8">
        <v>275</v>
      </c>
      <c r="M8">
        <v>337.4</v>
      </c>
      <c r="N8">
        <v>378.24852173913041</v>
      </c>
    </row>
    <row r="9" spans="1:14">
      <c r="A9" t="s">
        <v>39</v>
      </c>
      <c r="B9">
        <f t="shared" ref="B9:N9" si="0">SUM(B3:B8)</f>
        <v>4248.7378555999994</v>
      </c>
      <c r="C9">
        <f t="shared" si="0"/>
        <v>4914.3847956999989</v>
      </c>
      <c r="D9">
        <f t="shared" si="0"/>
        <v>5570.2730349999993</v>
      </c>
      <c r="E9">
        <f t="shared" si="0"/>
        <v>6399.9530480000003</v>
      </c>
      <c r="F9">
        <f t="shared" si="0"/>
        <v>8015.4399260000009</v>
      </c>
      <c r="G9">
        <f t="shared" si="0"/>
        <v>9365.1016519999994</v>
      </c>
      <c r="H9">
        <f t="shared" si="0"/>
        <v>11121.140088</v>
      </c>
      <c r="I9">
        <f t="shared" si="0"/>
        <v>13730.144963700001</v>
      </c>
      <c r="J9">
        <f t="shared" si="0"/>
        <v>15774.2807254</v>
      </c>
      <c r="K9">
        <f t="shared" si="0"/>
        <v>17203.864890000001</v>
      </c>
      <c r="L9">
        <f t="shared" si="0"/>
        <v>21706.649728118267</v>
      </c>
      <c r="M9">
        <f t="shared" si="0"/>
        <v>24213.718762</v>
      </c>
      <c r="N9">
        <f t="shared" si="0"/>
        <v>27046.521982739127</v>
      </c>
    </row>
    <row r="15" spans="1:14">
      <c r="B15">
        <v>2011</v>
      </c>
      <c r="C15">
        <v>2012</v>
      </c>
      <c r="D15">
        <v>2013</v>
      </c>
      <c r="E15">
        <v>2014</v>
      </c>
      <c r="F15">
        <v>2015</v>
      </c>
      <c r="G15">
        <v>2016</v>
      </c>
      <c r="H15">
        <v>2017</v>
      </c>
      <c r="I15">
        <v>2018</v>
      </c>
      <c r="J15">
        <v>2019</v>
      </c>
      <c r="K15">
        <v>2020</v>
      </c>
      <c r="L15">
        <v>2021</v>
      </c>
      <c r="M15">
        <v>2022</v>
      </c>
      <c r="N15">
        <v>2023</v>
      </c>
    </row>
    <row r="16" spans="1:14">
      <c r="A16" t="s">
        <v>748</v>
      </c>
      <c r="B16">
        <v>65.894237639999986</v>
      </c>
      <c r="C16">
        <v>118.74797400311999</v>
      </c>
      <c r="D16">
        <v>243.80699112000002</v>
      </c>
      <c r="E16">
        <v>533.07639000000006</v>
      </c>
      <c r="F16">
        <v>916.20028500000001</v>
      </c>
      <c r="G16">
        <v>1202.4012</v>
      </c>
      <c r="H16">
        <v>1591.9720739999998</v>
      </c>
      <c r="I16">
        <v>1921.4810999999997</v>
      </c>
      <c r="J16">
        <v>2538.6038496000001</v>
      </c>
      <c r="K16">
        <v>2932.9912079999995</v>
      </c>
      <c r="L16">
        <v>3402.6635646270502</v>
      </c>
      <c r="M16">
        <v>3572.3402619164694</v>
      </c>
      <c r="N16">
        <v>3803.5281695435515</v>
      </c>
    </row>
    <row r="17" spans="1:14">
      <c r="A17" t="s">
        <v>747</v>
      </c>
      <c r="B17">
        <v>10.028055332683081</v>
      </c>
      <c r="C17">
        <v>26.759358373440001</v>
      </c>
      <c r="D17">
        <v>68.401261511813999</v>
      </c>
      <c r="E17">
        <v>149.67619249812836</v>
      </c>
      <c r="F17">
        <v>270.02557846754081</v>
      </c>
      <c r="G17">
        <v>371.78724497487434</v>
      </c>
      <c r="H17">
        <v>541.89937889447231</v>
      </c>
      <c r="I17">
        <v>681.99999999999989</v>
      </c>
      <c r="J17">
        <v>889.61935955056185</v>
      </c>
      <c r="K17">
        <v>1095.9646138863839</v>
      </c>
      <c r="L17">
        <v>1474.322482398361</v>
      </c>
      <c r="M17">
        <v>1320.2642343311111</v>
      </c>
      <c r="N17">
        <v>1636.4030670060436</v>
      </c>
    </row>
    <row r="18" spans="1:14">
      <c r="B18">
        <f>SUM(B16:B17)</f>
        <v>75.922292972683067</v>
      </c>
      <c r="C18">
        <f t="shared" ref="C18:N18" si="1">SUM(C16:C17)</f>
        <v>145.50733237655999</v>
      </c>
      <c r="D18">
        <f t="shared" si="1"/>
        <v>312.20825263181405</v>
      </c>
      <c r="E18">
        <f t="shared" si="1"/>
        <v>682.75258249812839</v>
      </c>
      <c r="F18">
        <f t="shared" si="1"/>
        <v>1186.2258634675409</v>
      </c>
      <c r="G18">
        <f t="shared" si="1"/>
        <v>1574.1884449748743</v>
      </c>
      <c r="H18">
        <f t="shared" si="1"/>
        <v>2133.871452894472</v>
      </c>
      <c r="I18">
        <f t="shared" si="1"/>
        <v>2603.4810999999995</v>
      </c>
      <c r="J18">
        <f t="shared" si="1"/>
        <v>3428.2232091505621</v>
      </c>
      <c r="K18">
        <f t="shared" si="1"/>
        <v>4028.9558218863831</v>
      </c>
      <c r="L18">
        <f t="shared" si="1"/>
        <v>4876.9860470254116</v>
      </c>
      <c r="M18">
        <f t="shared" si="1"/>
        <v>4892.6044962475808</v>
      </c>
      <c r="N18">
        <f t="shared" si="1"/>
        <v>5439.9312365495953</v>
      </c>
    </row>
    <row r="20" spans="1:14">
      <c r="A20" t="s">
        <v>749</v>
      </c>
      <c r="B20">
        <f t="shared" ref="B20:L20" si="2">B16/B18</f>
        <v>0.86791685366653526</v>
      </c>
      <c r="C20">
        <f t="shared" si="2"/>
        <v>0.81609615174451033</v>
      </c>
      <c r="D20">
        <f t="shared" si="2"/>
        <v>0.7809114239126812</v>
      </c>
      <c r="E20">
        <f t="shared" si="2"/>
        <v>0.78077535503347784</v>
      </c>
      <c r="F20">
        <f t="shared" si="2"/>
        <v>0.77236579745596678</v>
      </c>
      <c r="G20">
        <f t="shared" si="2"/>
        <v>0.76382291068029762</v>
      </c>
      <c r="H20">
        <f t="shared" si="2"/>
        <v>0.74604872371322206</v>
      </c>
      <c r="I20">
        <f t="shared" si="2"/>
        <v>0.73804303783883818</v>
      </c>
      <c r="J20">
        <f t="shared" si="2"/>
        <v>0.74050133107552529</v>
      </c>
      <c r="K20">
        <f t="shared" si="2"/>
        <v>0.72797800166166982</v>
      </c>
      <c r="L20">
        <f t="shared" si="2"/>
        <v>0.69769803149271148</v>
      </c>
      <c r="M20">
        <f>M16/M18</f>
        <v>0.73015104013747734</v>
      </c>
      <c r="N20">
        <f>N16/N18</f>
        <v>0.69918681030167373</v>
      </c>
    </row>
    <row r="21" spans="1:14">
      <c r="A21" t="s">
        <v>750</v>
      </c>
      <c r="B21">
        <f t="shared" ref="B21:M21" si="3">B17/B18</f>
        <v>0.13208314633346477</v>
      </c>
      <c r="C21">
        <f t="shared" si="3"/>
        <v>0.18390384825548978</v>
      </c>
      <c r="D21">
        <f t="shared" si="3"/>
        <v>0.21908857608731866</v>
      </c>
      <c r="E21">
        <f t="shared" si="3"/>
        <v>0.21922464496652219</v>
      </c>
      <c r="F21">
        <f t="shared" si="3"/>
        <v>0.22763420254403316</v>
      </c>
      <c r="G21">
        <f t="shared" si="3"/>
        <v>0.23617708931970241</v>
      </c>
      <c r="H21">
        <f t="shared" si="3"/>
        <v>0.25395127628677794</v>
      </c>
      <c r="I21">
        <f t="shared" si="3"/>
        <v>0.26195696216116182</v>
      </c>
      <c r="J21">
        <f t="shared" si="3"/>
        <v>0.25949866892447471</v>
      </c>
      <c r="K21">
        <f t="shared" si="3"/>
        <v>0.2720219983383303</v>
      </c>
      <c r="L21">
        <f t="shared" si="3"/>
        <v>0.30230196850728841</v>
      </c>
      <c r="M21">
        <f t="shared" si="3"/>
        <v>0.26984895986252261</v>
      </c>
      <c r="N21">
        <f>N17/N18</f>
        <v>0.30081318969832621</v>
      </c>
    </row>
    <row r="24" spans="1:14">
      <c r="A24" t="s">
        <v>751</v>
      </c>
      <c r="B24">
        <v>56.977356858440366</v>
      </c>
      <c r="C24">
        <v>102.6788674293033</v>
      </c>
      <c r="D24">
        <v>210.81476067027523</v>
      </c>
      <c r="E24">
        <v>460.93990603211017</v>
      </c>
      <c r="F24">
        <v>792.21905377293569</v>
      </c>
      <c r="G24">
        <v>983.78279999999995</v>
      </c>
      <c r="H24">
        <v>1223.9577503999999</v>
      </c>
      <c r="I24">
        <v>1331.8420499999997</v>
      </c>
      <c r="J24">
        <v>1651.8312720000001</v>
      </c>
      <c r="K24">
        <v>1930.9872959999998</v>
      </c>
      <c r="L24">
        <v>2091.1786654523471</v>
      </c>
      <c r="M24">
        <v>2057.7996900440494</v>
      </c>
      <c r="N24">
        <v>2245.9833841154673</v>
      </c>
    </row>
    <row r="25" spans="1:14">
      <c r="A25" t="s">
        <v>752</v>
      </c>
      <c r="B25">
        <v>9.5199863521601404</v>
      </c>
      <c r="C25">
        <v>25.047898568203898</v>
      </c>
      <c r="D25">
        <v>64.398573407590717</v>
      </c>
      <c r="E25">
        <v>150.63423493967056</v>
      </c>
      <c r="F25">
        <v>306.29387624885044</v>
      </c>
      <c r="G25">
        <v>339.49035602409646</v>
      </c>
      <c r="H25">
        <v>407.44594664879071</v>
      </c>
      <c r="I25">
        <v>505.58541203527489</v>
      </c>
      <c r="J25">
        <v>633.09646278219759</v>
      </c>
      <c r="K25">
        <v>720.40531843275085</v>
      </c>
      <c r="L25">
        <v>801.62945501545369</v>
      </c>
      <c r="M25">
        <v>732.13625316233959</v>
      </c>
      <c r="N25">
        <v>799.1855446149417</v>
      </c>
    </row>
    <row r="27" spans="1:14">
      <c r="A27" t="s">
        <v>753</v>
      </c>
      <c r="B27">
        <f>B24/B16</f>
        <v>0.86467889908256901</v>
      </c>
      <c r="C27">
        <f t="shared" ref="C27:N27" si="4">C24/C16</f>
        <v>0.86467889908256879</v>
      </c>
      <c r="D27">
        <f t="shared" si="4"/>
        <v>0.86467889908256879</v>
      </c>
      <c r="E27">
        <f t="shared" si="4"/>
        <v>0.8646788990825689</v>
      </c>
      <c r="F27">
        <f t="shared" si="4"/>
        <v>0.86467889908256867</v>
      </c>
      <c r="G27">
        <f t="shared" si="4"/>
        <v>0.81818181818181812</v>
      </c>
      <c r="H27">
        <f t="shared" si="4"/>
        <v>0.76883116883116887</v>
      </c>
      <c r="I27">
        <f t="shared" si="4"/>
        <v>0.69313304721030033</v>
      </c>
      <c r="J27">
        <f t="shared" si="4"/>
        <v>0.65068493150684936</v>
      </c>
      <c r="K27">
        <f t="shared" si="4"/>
        <v>0.65836791147994478</v>
      </c>
      <c r="L27">
        <f t="shared" si="4"/>
        <v>0.61457109283196243</v>
      </c>
      <c r="M27">
        <f t="shared" si="4"/>
        <v>0.57603686635944706</v>
      </c>
      <c r="N27">
        <f t="shared" si="4"/>
        <v>0.59050000000000002</v>
      </c>
    </row>
    <row r="28" spans="1:14">
      <c r="A28" t="s">
        <v>754</v>
      </c>
      <c r="B28">
        <f>B25/B17</f>
        <v>0.94933524360729638</v>
      </c>
      <c r="C28">
        <f t="shared" ref="C28:N28" si="5">C25/C17</f>
        <v>0.93604256943115605</v>
      </c>
      <c r="D28">
        <f t="shared" si="5"/>
        <v>0.94148224731890429</v>
      </c>
      <c r="E28">
        <f t="shared" si="5"/>
        <v>1.0064007670528776</v>
      </c>
      <c r="F28">
        <f t="shared" si="5"/>
        <v>1.1343143045452984</v>
      </c>
      <c r="G28">
        <f t="shared" si="5"/>
        <v>0.91313072358638736</v>
      </c>
      <c r="H28">
        <f t="shared" si="5"/>
        <v>0.7518848747898923</v>
      </c>
      <c r="I28">
        <f t="shared" si="5"/>
        <v>0.7413275836294354</v>
      </c>
      <c r="J28">
        <f t="shared" si="5"/>
        <v>0.71164870231920274</v>
      </c>
      <c r="K28">
        <f t="shared" si="5"/>
        <v>0.65732534545812771</v>
      </c>
      <c r="L28">
        <f t="shared" si="5"/>
        <v>0.54372734906097286</v>
      </c>
      <c r="M28">
        <f t="shared" si="5"/>
        <v>0.55453767066049753</v>
      </c>
      <c r="N28">
        <f t="shared" si="5"/>
        <v>0.48837939791760981</v>
      </c>
    </row>
    <row r="30" spans="1:14">
      <c r="D30">
        <f t="shared" ref="D30:M30" si="6">(D24+D25)/D18</f>
        <v>0.88150563528640591</v>
      </c>
      <c r="E30">
        <f t="shared" si="6"/>
        <v>0.89574782527235219</v>
      </c>
      <c r="F30">
        <f t="shared" si="6"/>
        <v>0.92605713958271418</v>
      </c>
      <c r="G30">
        <f t="shared" si="6"/>
        <v>0.84060657429436103</v>
      </c>
      <c r="H30">
        <f t="shared" si="6"/>
        <v>0.76452763583105565</v>
      </c>
      <c r="I30">
        <f t="shared" si="6"/>
        <v>0.70575794156342253</v>
      </c>
      <c r="J30">
        <f t="shared" si="6"/>
        <v>0.66650494888527179</v>
      </c>
      <c r="K30">
        <f t="shared" si="6"/>
        <v>0.65808431058729044</v>
      </c>
      <c r="L30">
        <f t="shared" si="6"/>
        <v>0.59315488963356633</v>
      </c>
      <c r="M30">
        <f t="shared" si="6"/>
        <v>0.57023533076220467</v>
      </c>
      <c r="N30">
        <f>(N24+N25)/N18</f>
        <v>0.5597807759536827</v>
      </c>
    </row>
  </sheetData>
  <pageMargins left="0.7" right="0.7" top="0.75" bottom="0.75" header="0.3" footer="0.3"/>
  <pageSetup orientation="portrait" r:id="rId1"/>
  <headerFooter>
    <oddHeader>&amp;R&amp;"Calibri"&amp;12&amp;K000000 Unclassified / Non classifié&amp;1#_x000D_</oddHeader>
  </headerFooter>
  <legacy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1BFA-EF03-314A-B5C5-D27EFADCAE4F}">
  <dimension ref="A1:E75"/>
  <sheetViews>
    <sheetView topLeftCell="A49" zoomScaleNormal="40" workbookViewId="0">
      <selection activeCell="B72" sqref="B72"/>
    </sheetView>
  </sheetViews>
  <sheetFormatPr baseColWidth="10" defaultColWidth="11" defaultRowHeight="16"/>
  <cols>
    <col min="1" max="1" width="71.33203125" customWidth="1"/>
    <col min="2" max="2" width="13.6640625" customWidth="1"/>
    <col min="3" max="4" width="15.83203125" bestFit="1" customWidth="1"/>
    <col min="5" max="5" width="15.1640625" customWidth="1"/>
    <col min="6" max="6" width="15.83203125" bestFit="1" customWidth="1"/>
    <col min="7" max="7" width="13.33203125" bestFit="1" customWidth="1"/>
    <col min="8" max="18" width="12.1640625" bestFit="1" customWidth="1"/>
  </cols>
  <sheetData>
    <row r="1" spans="1:5" ht="16.25" customHeight="1">
      <c r="A1" t="s">
        <v>838</v>
      </c>
    </row>
    <row r="3" spans="1:5" ht="24" customHeight="1">
      <c r="B3">
        <v>2013</v>
      </c>
      <c r="C3">
        <v>2019</v>
      </c>
      <c r="D3">
        <v>2022</v>
      </c>
      <c r="E3">
        <v>2023</v>
      </c>
    </row>
    <row r="4" spans="1:5" ht="24" customHeight="1">
      <c r="A4" t="s">
        <v>179</v>
      </c>
      <c r="B4">
        <v>1416.1</v>
      </c>
      <c r="C4">
        <v>4842.8999999999996</v>
      </c>
      <c r="D4">
        <v>7873.9</v>
      </c>
      <c r="E4">
        <v>8904</v>
      </c>
    </row>
    <row r="5" spans="1:5" ht="24" customHeight="1">
      <c r="A5" t="s">
        <v>157</v>
      </c>
      <c r="B5">
        <v>269.39999999999998</v>
      </c>
      <c r="C5">
        <v>2614</v>
      </c>
      <c r="D5">
        <v>3838.8</v>
      </c>
      <c r="E5">
        <v>4194.8999999999996</v>
      </c>
    </row>
    <row r="6" spans="1:5" ht="24" customHeight="1">
      <c r="A6" t="s">
        <v>159</v>
      </c>
      <c r="C6">
        <v>612.5</v>
      </c>
      <c r="D6">
        <v>1663.7</v>
      </c>
      <c r="E6">
        <v>2519.3000000000002</v>
      </c>
    </row>
    <row r="7" spans="1:5" ht="24" customHeight="1">
      <c r="A7" t="s">
        <v>161</v>
      </c>
      <c r="B7">
        <v>229</v>
      </c>
      <c r="C7">
        <v>968.2</v>
      </c>
      <c r="D7">
        <v>1456.9</v>
      </c>
      <c r="E7">
        <v>1522.1</v>
      </c>
    </row>
    <row r="8" spans="1:5" ht="24" customHeight="1">
      <c r="A8" t="s">
        <v>160</v>
      </c>
      <c r="B8">
        <v>210.1</v>
      </c>
      <c r="C8">
        <v>702.9</v>
      </c>
      <c r="D8">
        <v>930.5</v>
      </c>
      <c r="E8">
        <v>938.8</v>
      </c>
    </row>
    <row r="9" spans="1:5" ht="24" customHeight="1">
      <c r="A9" t="s">
        <v>162</v>
      </c>
      <c r="B9">
        <v>128.30000000000001</v>
      </c>
      <c r="C9">
        <v>719.1</v>
      </c>
      <c r="D9">
        <v>856.2</v>
      </c>
      <c r="E9">
        <v>917.2</v>
      </c>
    </row>
    <row r="10" spans="1:5" ht="24" customHeight="1">
      <c r="A10" t="s">
        <v>165</v>
      </c>
      <c r="B10">
        <v>42.5</v>
      </c>
      <c r="C10">
        <v>554</v>
      </c>
      <c r="D10">
        <v>586.29999999999995</v>
      </c>
      <c r="E10">
        <v>674.7</v>
      </c>
    </row>
    <row r="11" spans="1:5" ht="24" customHeight="1">
      <c r="A11" t="s">
        <v>158</v>
      </c>
      <c r="D11">
        <v>448</v>
      </c>
      <c r="E11">
        <v>541.79999999999995</v>
      </c>
    </row>
    <row r="12" spans="1:5" ht="24" customHeight="1">
      <c r="A12" t="s">
        <v>168</v>
      </c>
      <c r="C12">
        <v>263.5</v>
      </c>
      <c r="D12">
        <v>460.4</v>
      </c>
      <c r="E12">
        <v>524.29999999999995</v>
      </c>
    </row>
    <row r="13" spans="1:5" ht="24" customHeight="1">
      <c r="A13" t="s">
        <v>821</v>
      </c>
      <c r="D13">
        <v>339.5</v>
      </c>
      <c r="E13">
        <v>455</v>
      </c>
    </row>
    <row r="14" spans="1:5" ht="24" customHeight="1">
      <c r="A14" t="s">
        <v>169</v>
      </c>
      <c r="B14">
        <v>125.4</v>
      </c>
      <c r="C14">
        <v>290.10000000000002</v>
      </c>
    </row>
    <row r="15" spans="1:5">
      <c r="A15" t="s">
        <v>444</v>
      </c>
      <c r="C15">
        <v>104.6</v>
      </c>
    </row>
    <row r="16" spans="1:5">
      <c r="A16" t="s">
        <v>343</v>
      </c>
      <c r="B16">
        <v>3149.5</v>
      </c>
      <c r="C16">
        <v>4102.5</v>
      </c>
      <c r="D16">
        <v>5759.5</v>
      </c>
      <c r="E16">
        <v>5854.4</v>
      </c>
    </row>
    <row r="17" spans="1:5" ht="24" customHeight="1"/>
    <row r="18" spans="1:5" ht="24" customHeight="1">
      <c r="A18" t="s">
        <v>889</v>
      </c>
      <c r="B18">
        <f>B4/B53</f>
        <v>0.25422452204804719</v>
      </c>
      <c r="C18">
        <f>C4/C53</f>
        <v>0.30701241370719901</v>
      </c>
      <c r="D18">
        <f>D4/D53</f>
        <v>0.32518342504072401</v>
      </c>
      <c r="E18">
        <f>E4/E53</f>
        <v>0.32921053604165673</v>
      </c>
    </row>
    <row r="19" spans="1:5" ht="24" customHeight="1">
      <c r="A19" t="s">
        <v>890</v>
      </c>
      <c r="B19">
        <f>B5/$B$51</f>
        <v>2401.2745538664904</v>
      </c>
      <c r="C19">
        <f>C5/$C$51</f>
        <v>6528.7067633098595</v>
      </c>
      <c r="D19">
        <f>D5/$D$51</f>
        <v>7635.2059953831658</v>
      </c>
      <c r="E19">
        <f>E5/$E$51</f>
        <v>7786.3801803502256</v>
      </c>
    </row>
    <row r="20" spans="1:5" ht="24" customHeight="1">
      <c r="A20" t="s">
        <v>891</v>
      </c>
      <c r="B20">
        <f>B6/$B$51</f>
        <v>0</v>
      </c>
      <c r="C20">
        <f>C6/$C$51</f>
        <v>1529.7753988245174</v>
      </c>
      <c r="D20">
        <f>D6/$D$51</f>
        <v>3309.0268350836127</v>
      </c>
      <c r="E20">
        <f>E6/$E$51</f>
        <v>4676.2086315183496</v>
      </c>
    </row>
    <row r="21" spans="1:5" ht="24" customHeight="1">
      <c r="A21" t="s">
        <v>892</v>
      </c>
      <c r="B21">
        <f>B7/$B$51</f>
        <v>2041.1725049570389</v>
      </c>
      <c r="C21">
        <f>C7/$C$51</f>
        <v>2418.1690467622825</v>
      </c>
      <c r="D21">
        <f>D7/$D$51</f>
        <v>2897.710642563753</v>
      </c>
      <c r="E21">
        <f>E7/$E$51</f>
        <v>2825.2519184035564</v>
      </c>
    </row>
    <row r="22" spans="1:5" ht="37.25" customHeight="1">
      <c r="A22" t="s">
        <v>893</v>
      </c>
      <c r="B22">
        <f>B8/$B$51</f>
        <v>1872.7089226701917</v>
      </c>
      <c r="C22">
        <f>C8/$C$51</f>
        <v>1755.5577597285769</v>
      </c>
      <c r="D22">
        <f>D8/$D$51</f>
        <v>1850.7239706950181</v>
      </c>
      <c r="E22">
        <f>E8/$E$51</f>
        <v>1742.5573227759403</v>
      </c>
    </row>
    <row r="23" spans="1:5" ht="37.25" customHeight="1">
      <c r="A23" t="s">
        <v>894</v>
      </c>
      <c r="B23">
        <f>B9/$B$51</f>
        <v>1143.5914077990747</v>
      </c>
      <c r="C23">
        <f>C9/$C$51</f>
        <v>1796.0187580321806</v>
      </c>
      <c r="D23">
        <f>D9/$D$51</f>
        <v>1702.9445069415094</v>
      </c>
      <c r="E23">
        <f>E9/$E$51</f>
        <v>1702.4643975821182</v>
      </c>
    </row>
    <row r="24" spans="1:5" ht="24" customHeight="1">
      <c r="A24" t="s">
        <v>895</v>
      </c>
      <c r="B24">
        <f>B10/$B$51</f>
        <v>378.82022471910113</v>
      </c>
      <c r="C24">
        <f>C10/$C$51</f>
        <v>1383.6662382837269</v>
      </c>
      <c r="D24">
        <f>D10/$D$51</f>
        <v>1166.1251628355606</v>
      </c>
      <c r="E24">
        <f>E10/$E$51</f>
        <v>1252.3470661236972</v>
      </c>
    </row>
    <row r="25" spans="1:5" ht="16.25" customHeight="1">
      <c r="A25" t="s">
        <v>896</v>
      </c>
      <c r="B25">
        <f>B11/$B$51</f>
        <v>0</v>
      </c>
      <c r="C25">
        <f>C11/$C$51</f>
        <v>0</v>
      </c>
      <c r="D25">
        <f>D11/$D$51</f>
        <v>891.05248669679543</v>
      </c>
      <c r="E25">
        <f>E11/$E$51</f>
        <v>1005.664206945041</v>
      </c>
    </row>
    <row r="26" spans="1:5">
      <c r="A26" t="s">
        <v>897</v>
      </c>
      <c r="B26">
        <f>B12/$B$51</f>
        <v>0</v>
      </c>
      <c r="C26">
        <f>C12/$C$51</f>
        <v>658.11562055552713</v>
      </c>
      <c r="D26">
        <f>D12/$D$51</f>
        <v>915.7155465964388</v>
      </c>
      <c r="E26">
        <f>E12/$E$51</f>
        <v>973.18151292226833</v>
      </c>
    </row>
    <row r="27" spans="1:5">
      <c r="A27" t="s">
        <v>898</v>
      </c>
      <c r="B27">
        <f>B13/$B$51</f>
        <v>0</v>
      </c>
      <c r="C27">
        <f>C13/$C$51</f>
        <v>0</v>
      </c>
      <c r="D27">
        <f>D13/$D$51</f>
        <v>675.25071257491527</v>
      </c>
      <c r="E27">
        <f>E13/$E$51</f>
        <v>844.55004459208874</v>
      </c>
    </row>
    <row r="28" spans="1:5">
      <c r="A28" t="s">
        <v>899</v>
      </c>
      <c r="B28">
        <f>B14/$B$51</f>
        <v>1117.7424983476537</v>
      </c>
      <c r="C28">
        <f>C14/$C$51</f>
        <v>724.55158073304904</v>
      </c>
      <c r="D28">
        <f>D14/$D$51</f>
        <v>0</v>
      </c>
      <c r="E28">
        <f>E14/$E$51</f>
        <v>0</v>
      </c>
    </row>
    <row r="29" spans="1:5">
      <c r="A29" t="s">
        <v>900</v>
      </c>
      <c r="B29">
        <f>B15/$B$51</f>
        <v>0</v>
      </c>
      <c r="C29">
        <f>C15/$C$51</f>
        <v>261.24817423190945</v>
      </c>
      <c r="D29">
        <f>D15/$D$51</f>
        <v>0</v>
      </c>
      <c r="E29">
        <f>E15/$E$51</f>
        <v>0</v>
      </c>
    </row>
    <row r="30" spans="1:5">
      <c r="A30" t="s">
        <v>901</v>
      </c>
      <c r="B30">
        <v>5570.2730349999993</v>
      </c>
      <c r="C30">
        <v>15774.2807254</v>
      </c>
      <c r="D30">
        <v>24213.718762</v>
      </c>
      <c r="E30">
        <v>27046.521982739127</v>
      </c>
    </row>
    <row r="31" spans="1:5" ht="24" customHeight="1">
      <c r="A31" t="s">
        <v>586</v>
      </c>
      <c r="B31">
        <f>B18+B19+B21+B22</f>
        <v>6315.4102060157693</v>
      </c>
      <c r="C31">
        <f>C18+C19+C21+C23</f>
        <v>10743.201580518029</v>
      </c>
      <c r="D31">
        <f>D18+D19+D20+D294</f>
        <v>10944.558013891819</v>
      </c>
      <c r="E31">
        <f>E18+E19+E20+E21</f>
        <v>15288.169940808173</v>
      </c>
    </row>
    <row r="32" spans="1:5" ht="24" customHeight="1">
      <c r="A32" t="s">
        <v>234</v>
      </c>
      <c r="B32">
        <v>52.51273136410736</v>
      </c>
      <c r="C32">
        <v>75.653998954001722</v>
      </c>
      <c r="D32">
        <v>77.912266351872873</v>
      </c>
      <c r="E32">
        <v>81.035677879515802</v>
      </c>
    </row>
    <row r="33" spans="1:5" ht="24" customHeight="1">
      <c r="A33" t="s">
        <v>819</v>
      </c>
      <c r="B33">
        <v>1658.7699915622911</v>
      </c>
      <c r="C33">
        <v>1647.6830666847291</v>
      </c>
      <c r="D33">
        <v>1800.6451673695319</v>
      </c>
      <c r="E33">
        <v>1875.2970728876326</v>
      </c>
    </row>
    <row r="34" spans="1:5" ht="24" customHeight="1">
      <c r="A34" t="s">
        <v>237</v>
      </c>
      <c r="B34">
        <v>1745.8935945549708</v>
      </c>
      <c r="C34">
        <v>2581.4974080243883</v>
      </c>
      <c r="D34">
        <v>2610.1733627869917</v>
      </c>
      <c r="E34">
        <v>2623.950806530459</v>
      </c>
    </row>
    <row r="35" spans="1:5">
      <c r="A35" t="s">
        <v>902</v>
      </c>
      <c r="B35">
        <f>SUM(B18:B29)</f>
        <v>8955.5643368815981</v>
      </c>
      <c r="C35">
        <f>SUM(C18:C29)</f>
        <v>17056.116352875339</v>
      </c>
      <c r="D35">
        <f>SUM(D18:D29)</f>
        <v>21044.081042795813</v>
      </c>
      <c r="E35">
        <f>SUM(E18:E29)</f>
        <v>22808.934491749325</v>
      </c>
    </row>
    <row r="36" spans="1:5">
      <c r="A36" t="s">
        <v>343</v>
      </c>
      <c r="B36">
        <f>1-B35</f>
        <v>-8954.5643368815981</v>
      </c>
      <c r="C36">
        <f t="shared" ref="C36:E36" si="0">1-C35</f>
        <v>-17055.116352875339</v>
      </c>
      <c r="D36">
        <f t="shared" si="0"/>
        <v>-21043.081042795813</v>
      </c>
      <c r="E36">
        <f t="shared" si="0"/>
        <v>-22807.934491749325</v>
      </c>
    </row>
    <row r="38" spans="1:5">
      <c r="A38" t="s">
        <v>831</v>
      </c>
      <c r="B38">
        <f>B4/B54</f>
        <v>6.5628244104997777E-2</v>
      </c>
      <c r="C38">
        <f>C4/C54</f>
        <v>0.16612924250636332</v>
      </c>
      <c r="D38">
        <f>D4/D54</f>
        <v>0.21452079575856978</v>
      </c>
      <c r="E38">
        <f>E4/E54</f>
        <v>0.22635868598070966</v>
      </c>
    </row>
    <row r="39" spans="1:5">
      <c r="A39" t="s">
        <v>832</v>
      </c>
      <c r="B39">
        <f>B5/B54</f>
        <v>1.2485169805724455E-2</v>
      </c>
      <c r="C39">
        <f>C5/C54</f>
        <v>8.9669792874441698E-2</v>
      </c>
      <c r="D39">
        <f>D5/D54</f>
        <v>0.10458634612555376</v>
      </c>
      <c r="E39">
        <f>E5/E54</f>
        <v>0.10664331219906546</v>
      </c>
    </row>
    <row r="40" spans="1:5">
      <c r="A40" t="s">
        <v>833</v>
      </c>
      <c r="B40">
        <f>B6/B54</f>
        <v>0</v>
      </c>
      <c r="C40">
        <f>C6/C54</f>
        <v>2.1010997756539994E-2</v>
      </c>
      <c r="D40">
        <f>D6/D54</f>
        <v>4.5326743786882298E-2</v>
      </c>
      <c r="E40">
        <f>E6/E54</f>
        <v>6.4045983556963379E-2</v>
      </c>
    </row>
    <row r="41" spans="1:5">
      <c r="A41" t="s">
        <v>834</v>
      </c>
      <c r="B41">
        <f>B7/B54</f>
        <v>1.0612857778436898E-2</v>
      </c>
      <c r="C41">
        <f>C7/C54</f>
        <v>3.3212813106746161E-2</v>
      </c>
      <c r="D41">
        <f>D7/D54</f>
        <v>3.9692572593080983E-2</v>
      </c>
      <c r="E41">
        <f>E7/E54</f>
        <v>3.8695030989582005E-2</v>
      </c>
    </row>
    <row r="42" spans="1:5">
      <c r="A42" t="s">
        <v>835</v>
      </c>
      <c r="B42">
        <f>B8/B54</f>
        <v>9.7369494290375207E-3</v>
      </c>
      <c r="C42">
        <f>C8/C54</f>
        <v>2.4112049507056262E-2</v>
      </c>
      <c r="D42">
        <f>D8/D54</f>
        <v>2.535104591795034E-2</v>
      </c>
      <c r="E42">
        <f>E8/E54</f>
        <v>2.3866299910005641E-2</v>
      </c>
    </row>
    <row r="43" spans="1:5">
      <c r="A43" t="s">
        <v>836</v>
      </c>
      <c r="B43">
        <f>B9/B54</f>
        <v>5.9459810173513282E-3</v>
      </c>
      <c r="C43">
        <f>C9/C54</f>
        <v>2.4667768957923119E-2</v>
      </c>
      <c r="D43">
        <f>D9/D54</f>
        <v>2.3326776480332167E-2</v>
      </c>
      <c r="E43">
        <f>E9/E54</f>
        <v>2.3317181803852977E-2</v>
      </c>
    </row>
    <row r="44" spans="1:5">
      <c r="A44" t="s">
        <v>837</v>
      </c>
      <c r="B44">
        <f>B10/B54</f>
        <v>1.9696351772208217E-3</v>
      </c>
      <c r="C44">
        <f>C10/C54</f>
        <v>1.9004233072854131E-2</v>
      </c>
      <c r="D44">
        <f>D10/D54</f>
        <v>1.597347471434098E-2</v>
      </c>
      <c r="E44">
        <f>E10/E54</f>
        <v>1.7152314176907549E-2</v>
      </c>
    </row>
    <row r="45" spans="1:5">
      <c r="A45" t="s">
        <v>903</v>
      </c>
      <c r="B45">
        <f>B11/B54</f>
        <v>0</v>
      </c>
      <c r="C45">
        <f>C11/C54</f>
        <v>0</v>
      </c>
      <c r="D45">
        <f>D11/D54</f>
        <v>1.2205554617132458E-2</v>
      </c>
      <c r="E45">
        <f>E11/E54</f>
        <v>1.3773712495996012E-2</v>
      </c>
    </row>
    <row r="46" spans="1:5">
      <c r="A46" t="s">
        <v>826</v>
      </c>
      <c r="B46">
        <f>B12/B54</f>
        <v>0</v>
      </c>
      <c r="C46">
        <f>C12/C54</f>
        <v>9.0390169940380224E-3</v>
      </c>
      <c r="D46">
        <f>D12/D54</f>
        <v>1.2543386932428088E-2</v>
      </c>
      <c r="E46">
        <f>E12/E54</f>
        <v>1.3328825141474177E-2</v>
      </c>
    </row>
    <row r="47" spans="1:5">
      <c r="A47" t="s">
        <v>827</v>
      </c>
      <c r="B47">
        <f>B13/B54</f>
        <v>0</v>
      </c>
      <c r="C47">
        <f>C13/C54</f>
        <v>0</v>
      </c>
      <c r="D47">
        <f>D13/D54</f>
        <v>9.2495218582956916E-3</v>
      </c>
      <c r="E47">
        <f>E13/E54</f>
        <v>1.156707121756771E-2</v>
      </c>
    </row>
    <row r="48" spans="1:5">
      <c r="A48" t="s">
        <v>828</v>
      </c>
      <c r="B48">
        <f>B14/B54</f>
        <v>5.8115823817292012E-3</v>
      </c>
      <c r="C48">
        <f>C14/C54</f>
        <v>9.9514946108934729E-3</v>
      </c>
      <c r="D48">
        <f>D14/D54</f>
        <v>0</v>
      </c>
      <c r="E48">
        <f>E14/E54</f>
        <v>0</v>
      </c>
    </row>
    <row r="49" spans="1:5">
      <c r="A49" t="s">
        <v>829</v>
      </c>
      <c r="B49">
        <f>B15/B54</f>
        <v>0</v>
      </c>
      <c r="C49">
        <f>C15/C54</f>
        <v>3.5881638617699316E-3</v>
      </c>
      <c r="D49">
        <f>D15/D54</f>
        <v>0</v>
      </c>
      <c r="E49">
        <f>E15/E54</f>
        <v>0</v>
      </c>
    </row>
    <row r="50" spans="1:5">
      <c r="A50" t="s">
        <v>586</v>
      </c>
      <c r="B50">
        <f>B38+B39+B41+B42</f>
        <v>9.846322111819665E-2</v>
      </c>
      <c r="C50">
        <f t="shared" ref="C50:E50" si="1">C38+C39+C40+C41</f>
        <v>0.31002284624409115</v>
      </c>
      <c r="D50">
        <f t="shared" si="1"/>
        <v>0.40412645826408677</v>
      </c>
      <c r="E50">
        <f t="shared" si="1"/>
        <v>0.43574301272632049</v>
      </c>
    </row>
    <row r="51" spans="1:5">
      <c r="A51" t="s">
        <v>830</v>
      </c>
      <c r="B51">
        <f>SUM(B38:B49)</f>
        <v>0.112190419694498</v>
      </c>
      <c r="C51">
        <f>SUM(C38:C49)</f>
        <v>0.40038557324862606</v>
      </c>
      <c r="D51">
        <f>SUM(D38:D49)</f>
        <v>0.50277621878456646</v>
      </c>
      <c r="E51">
        <f>SUM(E38:E49)</f>
        <v>0.53874841747212454</v>
      </c>
    </row>
    <row r="53" spans="1:5">
      <c r="A53" t="s">
        <v>901</v>
      </c>
      <c r="B53">
        <v>5570.2730349999993</v>
      </c>
      <c r="C53">
        <v>15774.2807254</v>
      </c>
      <c r="D53">
        <v>24213.718762</v>
      </c>
      <c r="E53">
        <v>27046.521982739127</v>
      </c>
    </row>
    <row r="54" spans="1:5">
      <c r="A54" t="s">
        <v>823</v>
      </c>
      <c r="B54">
        <v>21577.599999999999</v>
      </c>
      <c r="C54">
        <v>29151.4</v>
      </c>
      <c r="D54">
        <v>36704.6</v>
      </c>
      <c r="E54">
        <v>39335.800000000003</v>
      </c>
    </row>
    <row r="55" spans="1:5">
      <c r="A55" t="s">
        <v>822</v>
      </c>
      <c r="B55">
        <f>B35</f>
        <v>8955.5643368815981</v>
      </c>
      <c r="C55">
        <f>C35</f>
        <v>17056.116352875339</v>
      </c>
      <c r="D55">
        <f>D35</f>
        <v>21044.081042795813</v>
      </c>
      <c r="E55">
        <f>E35</f>
        <v>22808.934491749325</v>
      </c>
    </row>
    <row r="56" spans="1:5">
      <c r="A56" t="s">
        <v>824</v>
      </c>
      <c r="B56">
        <f>B51</f>
        <v>0.112190419694498</v>
      </c>
      <c r="C56">
        <f t="shared" ref="C56:D56" si="2">C51</f>
        <v>0.40038557324862606</v>
      </c>
      <c r="D56">
        <f t="shared" si="2"/>
        <v>0.50277621878456646</v>
      </c>
      <c r="E56">
        <f>E51</f>
        <v>0.53874841747212454</v>
      </c>
    </row>
    <row r="57" spans="1:5">
      <c r="A57" t="s">
        <v>586</v>
      </c>
      <c r="B57">
        <f>B50</f>
        <v>9.846322111819665E-2</v>
      </c>
      <c r="C57">
        <f t="shared" ref="C57:E57" si="3">C50</f>
        <v>0.31002284624409115</v>
      </c>
      <c r="D57">
        <f t="shared" si="3"/>
        <v>0.40412645826408677</v>
      </c>
      <c r="E57">
        <f t="shared" si="3"/>
        <v>0.43574301272632049</v>
      </c>
    </row>
    <row r="58" spans="1:5">
      <c r="A58" t="s">
        <v>585</v>
      </c>
      <c r="B58">
        <v>436.5</v>
      </c>
      <c r="C58">
        <v>604.1</v>
      </c>
      <c r="D58">
        <v>781.4</v>
      </c>
      <c r="E58">
        <v>842.7</v>
      </c>
    </row>
    <row r="59" spans="1:5">
      <c r="A59" t="s">
        <v>584</v>
      </c>
      <c r="B59">
        <v>0.61</v>
      </c>
      <c r="C59">
        <v>0.69799999999999995</v>
      </c>
      <c r="D59">
        <v>0.73299999999999998</v>
      </c>
      <c r="E59">
        <v>0.753</v>
      </c>
    </row>
    <row r="60" spans="1:5">
      <c r="A60" t="s">
        <v>147</v>
      </c>
      <c r="B60">
        <v>1505.4</v>
      </c>
      <c r="C60">
        <v>2019.7</v>
      </c>
      <c r="D60">
        <v>2201</v>
      </c>
      <c r="E60">
        <v>2229.6</v>
      </c>
    </row>
    <row r="64" spans="1:5">
      <c r="A64" t="s">
        <v>499</v>
      </c>
      <c r="B64" t="s">
        <v>12</v>
      </c>
    </row>
    <row r="65" spans="1:2">
      <c r="B65" t="s">
        <v>502</v>
      </c>
    </row>
    <row r="66" spans="1:2">
      <c r="B66" t="s">
        <v>503</v>
      </c>
    </row>
    <row r="67" spans="1:2">
      <c r="B67" t="s">
        <v>497</v>
      </c>
    </row>
    <row r="68" spans="1:2">
      <c r="B68" t="s">
        <v>64</v>
      </c>
    </row>
    <row r="71" spans="1:2">
      <c r="A71" t="s">
        <v>500</v>
      </c>
      <c r="B71" t="s">
        <v>905</v>
      </c>
    </row>
    <row r="72" spans="1:2">
      <c r="B72" t="s">
        <v>433</v>
      </c>
    </row>
    <row r="73" spans="1:2">
      <c r="B73" t="s">
        <v>506</v>
      </c>
    </row>
    <row r="74" spans="1:2">
      <c r="B74" t="s">
        <v>904</v>
      </c>
    </row>
    <row r="75" spans="1:2">
      <c r="B75" t="s">
        <v>10</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EB92B-A0D2-4F4A-88A8-72F766B0DA85}">
  <dimension ref="A1:G16"/>
  <sheetViews>
    <sheetView zoomScale="55" zoomScaleNormal="55" workbookViewId="0"/>
  </sheetViews>
  <sheetFormatPr baseColWidth="10" defaultColWidth="11" defaultRowHeight="16"/>
  <cols>
    <col min="2" max="2" width="11.6640625" bestFit="1" customWidth="1"/>
    <col min="6" max="6" width="13.83203125" customWidth="1"/>
  </cols>
  <sheetData>
    <row r="1" spans="1:7" ht="16" customHeight="1">
      <c r="A1" t="s">
        <v>825</v>
      </c>
    </row>
    <row r="2" spans="1:7">
      <c r="B2" t="s">
        <v>69</v>
      </c>
      <c r="C2" t="s">
        <v>497</v>
      </c>
      <c r="D2" t="s">
        <v>810</v>
      </c>
      <c r="E2" t="s">
        <v>12</v>
      </c>
      <c r="F2" t="s">
        <v>64</v>
      </c>
      <c r="G2" t="s">
        <v>39</v>
      </c>
    </row>
    <row r="3" spans="1:7">
      <c r="A3" t="s">
        <v>179</v>
      </c>
      <c r="B3">
        <v>288.58000000000015</v>
      </c>
      <c r="C3">
        <v>223.77</v>
      </c>
      <c r="D3">
        <v>168.06</v>
      </c>
      <c r="E3">
        <v>8223.59</v>
      </c>
      <c r="F3">
        <v>234.42</v>
      </c>
      <c r="G3">
        <f>SUM(B3:F3)</f>
        <v>9138.42</v>
      </c>
    </row>
    <row r="4" spans="1:7">
      <c r="A4" t="s">
        <v>157</v>
      </c>
      <c r="E4">
        <v>4194.87</v>
      </c>
      <c r="G4">
        <f>SUM(B4:E4)</f>
        <v>4194.87</v>
      </c>
    </row>
    <row r="5" spans="1:7">
      <c r="A5" t="s">
        <v>159</v>
      </c>
      <c r="B5">
        <v>45.58</v>
      </c>
      <c r="D5">
        <v>99.13</v>
      </c>
      <c r="E5">
        <v>2375.04</v>
      </c>
      <c r="G5">
        <f>SUM(B5:E5)</f>
        <v>2519.75</v>
      </c>
    </row>
    <row r="6" spans="1:7">
      <c r="A6" t="s">
        <v>161</v>
      </c>
      <c r="B6">
        <v>1522.098761</v>
      </c>
      <c r="G6">
        <f>SUM(B6:E6)</f>
        <v>1522.098761</v>
      </c>
    </row>
    <row r="7" spans="1:7" ht="17" customHeight="1">
      <c r="A7" t="s">
        <v>162</v>
      </c>
      <c r="B7">
        <v>134.69999999999999</v>
      </c>
      <c r="C7">
        <v>628.88</v>
      </c>
      <c r="D7">
        <v>236.43</v>
      </c>
      <c r="F7">
        <v>298.19660849221447</v>
      </c>
      <c r="G7">
        <f>SUM(B7:F7)</f>
        <v>1298.2066084922144</v>
      </c>
    </row>
    <row r="8" spans="1:7">
      <c r="A8" t="s">
        <v>160</v>
      </c>
      <c r="C8">
        <v>519.98</v>
      </c>
      <c r="E8">
        <v>418.86</v>
      </c>
      <c r="G8">
        <f>SUM(B8:E8)</f>
        <v>938.84</v>
      </c>
    </row>
    <row r="9" spans="1:7">
      <c r="A9" t="s">
        <v>158</v>
      </c>
      <c r="B9">
        <v>541.77800000000002</v>
      </c>
      <c r="G9">
        <f>SUM(B9:E9)</f>
        <v>541.77800000000002</v>
      </c>
    </row>
    <row r="10" spans="1:7">
      <c r="A10" t="s">
        <v>168</v>
      </c>
      <c r="D10">
        <v>524.29</v>
      </c>
      <c r="G10">
        <v>524.29</v>
      </c>
    </row>
    <row r="11" spans="1:7" ht="15" customHeight="1">
      <c r="A11" t="s">
        <v>193</v>
      </c>
      <c r="E11">
        <v>454.99</v>
      </c>
      <c r="G11">
        <f>SUM(B11:E11)</f>
        <v>454.99</v>
      </c>
    </row>
    <row r="12" spans="1:7">
      <c r="A12" t="s">
        <v>646</v>
      </c>
      <c r="B12">
        <v>251.32</v>
      </c>
      <c r="G12">
        <f>SUM(B12:E12)</f>
        <v>251.32</v>
      </c>
    </row>
    <row r="13" spans="1:7">
      <c r="A13" t="s">
        <v>445</v>
      </c>
      <c r="E13">
        <v>198.32</v>
      </c>
      <c r="G13">
        <f>SUM(B13:E13)</f>
        <v>198.32</v>
      </c>
    </row>
    <row r="14" spans="1:7">
      <c r="A14" t="s">
        <v>444</v>
      </c>
      <c r="E14">
        <v>94.66</v>
      </c>
      <c r="G14">
        <f>SUM(B14:E14)</f>
        <v>94.66</v>
      </c>
    </row>
    <row r="16" spans="1:7">
      <c r="A16" t="s">
        <v>809</v>
      </c>
      <c r="B16">
        <v>4075.1</v>
      </c>
      <c r="C16">
        <v>4332.13</v>
      </c>
      <c r="D16">
        <v>1806.585</v>
      </c>
      <c r="E16">
        <v>16551.37</v>
      </c>
      <c r="F16">
        <v>532.62</v>
      </c>
      <c r="G16">
        <f>SUM(B16:F16)</f>
        <v>27297.804999999997</v>
      </c>
    </row>
  </sheetData>
  <pageMargins left="0.7" right="0.7" top="0.75" bottom="0.75" header="0.3" footer="0.3"/>
  <pageSetup paperSize="9" orientation="portrait" verticalDpi="0" r:id="rId1"/>
  <headerFooter>
    <oddHeader>&amp;R&amp;"Calibri"&amp;12&amp;K000000 Unclassified / Non classifié&amp;1#_x000D_</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AE17-648D-FA47-AB1E-9FD230F90CBF}">
  <dimension ref="A1:O139"/>
  <sheetViews>
    <sheetView zoomScale="40" zoomScaleNormal="40" workbookViewId="0"/>
  </sheetViews>
  <sheetFormatPr baseColWidth="10" defaultColWidth="11" defaultRowHeight="16" customHeight="1"/>
  <cols>
    <col min="1" max="1" width="17.5" customWidth="1"/>
    <col min="2" max="2" width="31.5" customWidth="1"/>
    <col min="3" max="3" width="13.6640625" customWidth="1"/>
    <col min="4" max="4" width="13" customWidth="1"/>
    <col min="5" max="5" width="18.33203125" customWidth="1"/>
    <col min="6" max="6" width="12.1640625" customWidth="1"/>
    <col min="7" max="7" width="15.1640625" bestFit="1" customWidth="1"/>
    <col min="8" max="8" width="14.6640625" bestFit="1" customWidth="1"/>
    <col min="9" max="9" width="12" customWidth="1"/>
    <col min="10" max="10" width="18.6640625" customWidth="1"/>
    <col min="11" max="11" width="24.6640625" bestFit="1" customWidth="1"/>
    <col min="12" max="12" width="22.5" customWidth="1"/>
    <col min="13" max="13" width="12.33203125" bestFit="1" customWidth="1"/>
    <col min="14" max="14" width="15.1640625" customWidth="1"/>
    <col min="15" max="16" width="11.1640625" bestFit="1" customWidth="1"/>
    <col min="18" max="19" width="15.1640625" bestFit="1" customWidth="1"/>
  </cols>
  <sheetData>
    <row r="1" spans="1:14" ht="16" customHeight="1">
      <c r="A1" t="s">
        <v>839</v>
      </c>
    </row>
    <row r="2" spans="1:14" ht="16" customHeight="1">
      <c r="B2" t="s">
        <v>72</v>
      </c>
      <c r="C2" t="s">
        <v>71</v>
      </c>
      <c r="D2" t="s">
        <v>70</v>
      </c>
      <c r="E2" t="s">
        <v>69</v>
      </c>
      <c r="F2" t="s">
        <v>497</v>
      </c>
      <c r="G2" t="s">
        <v>67</v>
      </c>
      <c r="H2" t="s">
        <v>76</v>
      </c>
      <c r="I2" t="s">
        <v>17</v>
      </c>
      <c r="J2" t="s">
        <v>10</v>
      </c>
      <c r="K2" t="s">
        <v>12</v>
      </c>
      <c r="L2" t="s">
        <v>64</v>
      </c>
      <c r="M2" t="s">
        <v>39</v>
      </c>
      <c r="N2" t="s">
        <v>112</v>
      </c>
    </row>
    <row r="3" spans="1:14" ht="16" customHeight="1">
      <c r="A3" t="s">
        <v>179</v>
      </c>
      <c r="E3">
        <v>288.60000000000002</v>
      </c>
      <c r="F3">
        <v>223.77</v>
      </c>
      <c r="H3">
        <v>168.06</v>
      </c>
      <c r="K3">
        <v>8223.59</v>
      </c>
      <c r="L3">
        <v>234.42</v>
      </c>
      <c r="M3">
        <v>9138.44</v>
      </c>
      <c r="N3">
        <v>19.712034374683181</v>
      </c>
    </row>
    <row r="4" spans="1:14" ht="16" customHeight="1">
      <c r="A4" t="s">
        <v>113</v>
      </c>
      <c r="B4">
        <v>2074.3000000000002</v>
      </c>
      <c r="C4">
        <v>569.79999999999995</v>
      </c>
      <c r="D4">
        <v>1379</v>
      </c>
      <c r="E4">
        <v>631.56679999999994</v>
      </c>
      <c r="G4">
        <v>221.88</v>
      </c>
      <c r="J4">
        <v>4.7155634852766886</v>
      </c>
      <c r="K4">
        <v>136.13999999999999</v>
      </c>
      <c r="M4">
        <v>5017.4023634852774</v>
      </c>
      <c r="N4">
        <v>10.822767109116921</v>
      </c>
    </row>
    <row r="5" spans="1:14" ht="16" customHeight="1">
      <c r="A5" t="s">
        <v>157</v>
      </c>
      <c r="K5">
        <v>4194.87</v>
      </c>
      <c r="M5">
        <v>4194.87</v>
      </c>
      <c r="N5">
        <v>9.0485270612191187</v>
      </c>
    </row>
    <row r="6" spans="1:14" ht="16" customHeight="1">
      <c r="A6" t="s">
        <v>121</v>
      </c>
      <c r="B6">
        <v>2366.9</v>
      </c>
      <c r="C6">
        <v>193.8</v>
      </c>
      <c r="D6">
        <v>796.7</v>
      </c>
      <c r="E6">
        <v>365.21499999999997</v>
      </c>
      <c r="G6">
        <v>136.41999999999999</v>
      </c>
      <c r="K6">
        <v>59.68</v>
      </c>
      <c r="M6">
        <v>3918.7150000000006</v>
      </c>
      <c r="N6">
        <v>8.4528480555309891</v>
      </c>
    </row>
    <row r="7" spans="1:14" ht="16" customHeight="1">
      <c r="A7" t="s">
        <v>159</v>
      </c>
      <c r="E7">
        <v>45.58</v>
      </c>
      <c r="H7">
        <v>99.13</v>
      </c>
      <c r="K7">
        <v>2375.04</v>
      </c>
      <c r="M7">
        <v>2519.75</v>
      </c>
      <c r="N7">
        <v>5.435216362487246</v>
      </c>
    </row>
    <row r="8" spans="1:14" ht="16" customHeight="1">
      <c r="A8" t="s">
        <v>115</v>
      </c>
      <c r="C8">
        <v>1014.89</v>
      </c>
      <c r="D8">
        <v>160.6</v>
      </c>
      <c r="E8">
        <v>25.55</v>
      </c>
      <c r="G8">
        <v>375</v>
      </c>
      <c r="K8">
        <v>73.099999999999994</v>
      </c>
      <c r="M8">
        <v>1649.1399999999999</v>
      </c>
      <c r="N8">
        <v>3.5572706467039259</v>
      </c>
    </row>
    <row r="9" spans="1:14" ht="16" customHeight="1">
      <c r="A9" t="s">
        <v>161</v>
      </c>
      <c r="E9">
        <v>1522.098761</v>
      </c>
      <c r="M9">
        <v>1522.098761</v>
      </c>
      <c r="N9">
        <v>3.2832368652083597</v>
      </c>
    </row>
    <row r="10" spans="1:14" ht="16" customHeight="1">
      <c r="A10" t="s">
        <v>123</v>
      </c>
      <c r="B10">
        <v>802.6</v>
      </c>
      <c r="C10">
        <v>182.2</v>
      </c>
      <c r="D10">
        <v>204.04</v>
      </c>
      <c r="E10">
        <v>68.400000000000006</v>
      </c>
      <c r="I10">
        <v>150.76579519000001</v>
      </c>
      <c r="J10">
        <v>37.164000000000001</v>
      </c>
      <c r="K10">
        <v>73.63</v>
      </c>
      <c r="M10">
        <v>1518.7997951900002</v>
      </c>
      <c r="N10">
        <v>3.2761208445913153</v>
      </c>
    </row>
    <row r="11" spans="1:14" ht="16" customHeight="1">
      <c r="A11" t="s">
        <v>581</v>
      </c>
      <c r="C11">
        <v>298.39999999999998</v>
      </c>
      <c r="D11">
        <v>614.91</v>
      </c>
      <c r="E11">
        <v>146</v>
      </c>
      <c r="G11">
        <v>76.25</v>
      </c>
      <c r="K11">
        <v>218.83</v>
      </c>
      <c r="M11">
        <v>1354.3899999999999</v>
      </c>
      <c r="N11">
        <v>2.9214813728302809</v>
      </c>
    </row>
    <row r="12" spans="1:14" ht="16" customHeight="1">
      <c r="A12" t="s">
        <v>162</v>
      </c>
      <c r="E12">
        <v>134.69999999999999</v>
      </c>
      <c r="F12">
        <v>628.88</v>
      </c>
      <c r="H12">
        <v>236.43</v>
      </c>
      <c r="L12">
        <v>298.19660849221447</v>
      </c>
      <c r="M12">
        <v>1298.2066084922144</v>
      </c>
      <c r="N12">
        <v>2.8002912195122365</v>
      </c>
    </row>
    <row r="13" spans="1:14" ht="16" customHeight="1">
      <c r="A13" t="s">
        <v>160</v>
      </c>
      <c r="F13">
        <v>519.98</v>
      </c>
      <c r="K13">
        <v>418.86</v>
      </c>
      <c r="M13">
        <v>938.84</v>
      </c>
      <c r="N13">
        <v>2.0251209563478625</v>
      </c>
    </row>
    <row r="14" spans="1:14" ht="16" customHeight="1">
      <c r="A14" t="s">
        <v>156</v>
      </c>
      <c r="B14">
        <v>839.84299999999996</v>
      </c>
      <c r="M14">
        <v>839.84299999999996</v>
      </c>
      <c r="N14">
        <v>1.8115798851157359</v>
      </c>
    </row>
    <row r="15" spans="1:14" ht="16" customHeight="1">
      <c r="A15" t="s">
        <v>166</v>
      </c>
      <c r="H15">
        <v>798.57</v>
      </c>
      <c r="M15">
        <v>798.57</v>
      </c>
      <c r="N15">
        <v>1.7225521304063656</v>
      </c>
    </row>
    <row r="16" spans="1:14" ht="16" customHeight="1">
      <c r="A16" t="s">
        <v>165</v>
      </c>
      <c r="F16">
        <v>455.51</v>
      </c>
      <c r="H16">
        <v>219.17</v>
      </c>
      <c r="M16">
        <v>674.68</v>
      </c>
      <c r="N16">
        <v>1.4553157160205952</v>
      </c>
    </row>
    <row r="17" spans="1:14" ht="16" customHeight="1">
      <c r="A17" t="s">
        <v>140</v>
      </c>
      <c r="B17">
        <v>465.39</v>
      </c>
      <c r="D17">
        <v>4.4800000000000004</v>
      </c>
      <c r="G17">
        <v>83.65</v>
      </c>
      <c r="M17">
        <v>553.52</v>
      </c>
      <c r="N17">
        <v>1.1939680368941128</v>
      </c>
    </row>
    <row r="18" spans="1:14" ht="16" customHeight="1">
      <c r="A18" t="s">
        <v>192</v>
      </c>
      <c r="I18">
        <v>405.24</v>
      </c>
      <c r="J18">
        <v>1.8584357011958073</v>
      </c>
      <c r="K18">
        <v>138.35789400000002</v>
      </c>
      <c r="M18">
        <v>545.45632970119584</v>
      </c>
      <c r="N18">
        <v>1.1765743300780545</v>
      </c>
    </row>
    <row r="19" spans="1:14" ht="16" customHeight="1">
      <c r="A19" t="s">
        <v>158</v>
      </c>
      <c r="E19">
        <v>541.77800000000002</v>
      </c>
      <c r="M19">
        <v>541.77800000000002</v>
      </c>
      <c r="N19">
        <v>1.1686400041415281</v>
      </c>
    </row>
    <row r="20" spans="1:14" ht="16" customHeight="1">
      <c r="A20" t="s">
        <v>168</v>
      </c>
      <c r="H20">
        <v>465.39</v>
      </c>
      <c r="K20">
        <v>58.9</v>
      </c>
      <c r="M20">
        <v>524.29</v>
      </c>
      <c r="N20">
        <v>1.1309175857479663</v>
      </c>
    </row>
    <row r="21" spans="1:14" ht="16" customHeight="1">
      <c r="A21" t="s">
        <v>167</v>
      </c>
      <c r="G21">
        <v>467.59500000000003</v>
      </c>
      <c r="M21">
        <v>467.59500000000003</v>
      </c>
      <c r="N21">
        <v>1.0086238694383267</v>
      </c>
    </row>
    <row r="22" spans="1:14" ht="16" customHeight="1">
      <c r="A22" t="s">
        <v>343</v>
      </c>
      <c r="D22">
        <v>468.48477368116846</v>
      </c>
      <c r="F22">
        <v>226.22700000000077</v>
      </c>
      <c r="G22">
        <v>164.06500000000051</v>
      </c>
      <c r="H22">
        <v>408.52</v>
      </c>
      <c r="M22">
        <v>1267.2967736811697</v>
      </c>
      <c r="N22">
        <v>2.7336172876036078</v>
      </c>
    </row>
    <row r="23" spans="1:14" ht="16" customHeight="1">
      <c r="A23" t="s">
        <v>811</v>
      </c>
      <c r="M23">
        <v>46359.700000000004</v>
      </c>
    </row>
    <row r="24" spans="1:14" ht="16" customHeight="1">
      <c r="A24" t="s">
        <v>803</v>
      </c>
      <c r="N24">
        <v>48.036176600550206</v>
      </c>
    </row>
    <row r="25" spans="1:14" ht="16" customHeight="1">
      <c r="A25" t="s">
        <v>146</v>
      </c>
      <c r="N25">
        <v>757.03076421825085</v>
      </c>
    </row>
    <row r="26" spans="1:14" ht="16" customHeight="1">
      <c r="A26" t="s">
        <v>584</v>
      </c>
      <c r="N26">
        <v>78.8</v>
      </c>
    </row>
    <row r="27" spans="1:14" ht="16" customHeight="1">
      <c r="A27" t="s">
        <v>147</v>
      </c>
      <c r="N27">
        <v>2229.6</v>
      </c>
    </row>
    <row r="28" spans="1:14" ht="16" customHeight="1">
      <c r="A28" t="s">
        <v>840</v>
      </c>
      <c r="N28">
        <v>48.790476145212779</v>
      </c>
    </row>
    <row r="57" spans="1:15" ht="16" customHeight="1">
      <c r="A57">
        <v>2017</v>
      </c>
    </row>
    <row r="58" spans="1:15" ht="16" customHeight="1">
      <c r="B58" t="s">
        <v>72</v>
      </c>
      <c r="C58" t="s">
        <v>71</v>
      </c>
      <c r="D58" t="s">
        <v>70</v>
      </c>
      <c r="E58" t="s">
        <v>69</v>
      </c>
      <c r="F58" t="s">
        <v>497</v>
      </c>
      <c r="G58" t="s">
        <v>67</v>
      </c>
      <c r="H58" t="s">
        <v>76</v>
      </c>
      <c r="I58" t="s">
        <v>17</v>
      </c>
      <c r="J58" t="s">
        <v>10</v>
      </c>
      <c r="K58" t="s">
        <v>12</v>
      </c>
      <c r="L58" t="s">
        <v>64</v>
      </c>
      <c r="M58" t="s">
        <v>39</v>
      </c>
      <c r="N58" t="s">
        <v>112</v>
      </c>
    </row>
    <row r="59" spans="1:15" ht="16" customHeight="1">
      <c r="A59" t="s">
        <v>216</v>
      </c>
      <c r="B59">
        <v>2492.5</v>
      </c>
      <c r="C59">
        <v>675.4</v>
      </c>
      <c r="D59">
        <v>1508</v>
      </c>
      <c r="E59">
        <v>167.26</v>
      </c>
      <c r="G59">
        <v>372.6</v>
      </c>
      <c r="J59">
        <v>6.6235211058263994</v>
      </c>
      <c r="K59">
        <v>57.06</v>
      </c>
      <c r="M59">
        <f t="shared" ref="M59:M74" si="0">SUM(B59:L59)</f>
        <v>5279.4435211058271</v>
      </c>
      <c r="N59">
        <f t="shared" ref="N59:N79" si="1">(M59/$M$79)*100</f>
        <v>16.452748587675053</v>
      </c>
      <c r="O59">
        <f>SUM(N60,N64,N69,N71,N72)</f>
        <v>21.537622302306243</v>
      </c>
    </row>
    <row r="60" spans="1:15" ht="16" customHeight="1">
      <c r="A60" t="s">
        <v>442</v>
      </c>
      <c r="E60">
        <v>0</v>
      </c>
      <c r="F60">
        <v>127.99</v>
      </c>
      <c r="K60">
        <v>3438.89</v>
      </c>
      <c r="L60">
        <v>34.58</v>
      </c>
      <c r="M60">
        <f t="shared" si="0"/>
        <v>3601.4599999999996</v>
      </c>
      <c r="N60">
        <f t="shared" si="1"/>
        <v>11.223515450385371</v>
      </c>
    </row>
    <row r="61" spans="1:15" ht="16" customHeight="1">
      <c r="A61" t="s">
        <v>138</v>
      </c>
      <c r="B61">
        <v>1921.5</v>
      </c>
      <c r="C61">
        <v>345.6</v>
      </c>
      <c r="D61">
        <v>858.29</v>
      </c>
      <c r="G61">
        <v>149.19999999999999</v>
      </c>
      <c r="K61">
        <v>31.96</v>
      </c>
      <c r="M61">
        <f t="shared" si="0"/>
        <v>3306.5499999999997</v>
      </c>
      <c r="N61">
        <f t="shared" si="1"/>
        <v>10.304464026387006</v>
      </c>
    </row>
    <row r="62" spans="1:15" ht="16" customHeight="1">
      <c r="A62" t="s">
        <v>121</v>
      </c>
      <c r="B62">
        <v>1501</v>
      </c>
      <c r="C62">
        <v>205.5</v>
      </c>
      <c r="D62">
        <v>818.2</v>
      </c>
      <c r="E62">
        <v>81.650000000000006</v>
      </c>
      <c r="G62">
        <v>219.6</v>
      </c>
      <c r="J62">
        <v>110</v>
      </c>
      <c r="K62">
        <v>45.7</v>
      </c>
      <c r="M62">
        <f t="shared" si="0"/>
        <v>2981.6499999999996</v>
      </c>
      <c r="N62">
        <f t="shared" si="1"/>
        <v>9.2919523867102622</v>
      </c>
    </row>
    <row r="63" spans="1:15" ht="16" customHeight="1">
      <c r="A63" t="s">
        <v>123</v>
      </c>
      <c r="B63">
        <v>1010</v>
      </c>
      <c r="C63">
        <v>219.2</v>
      </c>
      <c r="D63">
        <v>234.42</v>
      </c>
      <c r="E63">
        <v>39.700000000000003</v>
      </c>
      <c r="I63">
        <v>159.80000000000001</v>
      </c>
      <c r="J63">
        <v>94.6</v>
      </c>
      <c r="K63">
        <v>46.16</v>
      </c>
      <c r="M63">
        <f t="shared" si="0"/>
        <v>1803.88</v>
      </c>
      <c r="N63">
        <f t="shared" si="1"/>
        <v>5.6215743200371975</v>
      </c>
    </row>
    <row r="64" spans="1:15" ht="16" customHeight="1">
      <c r="A64" t="s">
        <v>443</v>
      </c>
      <c r="K64">
        <v>1750.1</v>
      </c>
      <c r="M64">
        <f t="shared" si="0"/>
        <v>1750.1</v>
      </c>
      <c r="N64">
        <f t="shared" si="1"/>
        <v>5.4539754404378877</v>
      </c>
    </row>
    <row r="65" spans="1:14" ht="16" customHeight="1">
      <c r="A65" t="s">
        <v>115</v>
      </c>
      <c r="C65">
        <v>996.2</v>
      </c>
      <c r="D65">
        <v>176.6</v>
      </c>
      <c r="G65">
        <v>314.8</v>
      </c>
      <c r="K65">
        <v>36.6</v>
      </c>
      <c r="M65">
        <f t="shared" si="0"/>
        <v>1524.1999999999998</v>
      </c>
      <c r="N65">
        <f t="shared" si="1"/>
        <v>4.749985353017216</v>
      </c>
    </row>
    <row r="66" spans="1:14" ht="16" customHeight="1">
      <c r="A66" t="s">
        <v>192</v>
      </c>
      <c r="I66">
        <v>754.3</v>
      </c>
      <c r="J66">
        <v>2.6071306480380505</v>
      </c>
      <c r="K66">
        <v>105.5</v>
      </c>
      <c r="M66">
        <f t="shared" si="0"/>
        <v>862.40713064803799</v>
      </c>
      <c r="N66">
        <f t="shared" si="1"/>
        <v>2.687587743679166</v>
      </c>
    </row>
    <row r="67" spans="1:14" ht="16" customHeight="1">
      <c r="A67" t="s">
        <v>156</v>
      </c>
      <c r="B67">
        <v>769.3</v>
      </c>
      <c r="M67">
        <f t="shared" si="0"/>
        <v>769.3</v>
      </c>
      <c r="N67">
        <f t="shared" si="1"/>
        <v>2.3974306075817764</v>
      </c>
    </row>
    <row r="68" spans="1:14" ht="16" customHeight="1">
      <c r="A68" t="s">
        <v>120</v>
      </c>
      <c r="I68">
        <v>619.29999999999995</v>
      </c>
      <c r="K68">
        <v>128.5</v>
      </c>
      <c r="M68">
        <f t="shared" si="0"/>
        <v>747.8</v>
      </c>
      <c r="N68">
        <f t="shared" si="1"/>
        <v>2.3304284522938419</v>
      </c>
    </row>
    <row r="69" spans="1:14" ht="16" customHeight="1">
      <c r="A69" t="s">
        <v>161</v>
      </c>
      <c r="E69">
        <v>631.49</v>
      </c>
      <c r="M69">
        <f t="shared" si="0"/>
        <v>631.49</v>
      </c>
      <c r="N69">
        <f t="shared" si="1"/>
        <v>1.9679623740826939</v>
      </c>
    </row>
    <row r="70" spans="1:14" ht="16" customHeight="1">
      <c r="A70" t="s">
        <v>140</v>
      </c>
      <c r="B70">
        <v>495.8</v>
      </c>
      <c r="D70">
        <v>11</v>
      </c>
      <c r="G70">
        <v>104.7</v>
      </c>
      <c r="M70">
        <f t="shared" si="0"/>
        <v>611.5</v>
      </c>
      <c r="N70">
        <f t="shared" si="1"/>
        <v>1.9056659515614929</v>
      </c>
    </row>
    <row r="71" spans="1:14" ht="16" customHeight="1">
      <c r="A71" t="s">
        <v>160</v>
      </c>
      <c r="F71">
        <v>331.1</v>
      </c>
      <c r="K71">
        <v>153.41424000000001</v>
      </c>
      <c r="M71">
        <f t="shared" si="0"/>
        <v>484.51424000000003</v>
      </c>
      <c r="N71">
        <f t="shared" si="1"/>
        <v>1.5099301557067761</v>
      </c>
    </row>
    <row r="72" spans="1:14" ht="16" customHeight="1">
      <c r="A72" t="s">
        <v>162</v>
      </c>
      <c r="E72">
        <v>82.91</v>
      </c>
      <c r="F72">
        <v>232.43</v>
      </c>
      <c r="H72">
        <v>65.400000000000006</v>
      </c>
      <c r="L72">
        <v>62.8</v>
      </c>
      <c r="M72">
        <f t="shared" si="0"/>
        <v>443.54</v>
      </c>
      <c r="N72">
        <f t="shared" si="1"/>
        <v>1.3822388816935154</v>
      </c>
    </row>
    <row r="73" spans="1:14" ht="16" customHeight="1">
      <c r="A73" t="s">
        <v>450</v>
      </c>
      <c r="I73">
        <v>240.86</v>
      </c>
      <c r="J73">
        <v>135.19999999999999</v>
      </c>
      <c r="K73">
        <v>26.5</v>
      </c>
      <c r="M73">
        <f t="shared" si="0"/>
        <v>402.56</v>
      </c>
      <c r="N73">
        <f t="shared" si="1"/>
        <v>1.2545296573353959</v>
      </c>
    </row>
    <row r="74" spans="1:14" ht="16" customHeight="1">
      <c r="A74" t="s">
        <v>589</v>
      </c>
      <c r="G74">
        <v>370.83</v>
      </c>
      <c r="M74">
        <f t="shared" si="0"/>
        <v>370.83</v>
      </c>
      <c r="N74">
        <f t="shared" si="1"/>
        <v>1.1556469416476671</v>
      </c>
    </row>
    <row r="75" spans="1:14" ht="16" customHeight="1">
      <c r="A75" t="s">
        <v>166</v>
      </c>
      <c r="H75">
        <v>346.03</v>
      </c>
      <c r="M75">
        <v>346.03</v>
      </c>
      <c r="N75">
        <f t="shared" si="1"/>
        <v>1.0783607346178632</v>
      </c>
    </row>
    <row r="76" spans="1:14" ht="16" customHeight="1">
      <c r="A76" t="s">
        <v>169</v>
      </c>
      <c r="F76">
        <v>293.02999999999997</v>
      </c>
      <c r="M76">
        <f>SUM(B76:L76)</f>
        <v>293.02999999999997</v>
      </c>
      <c r="N76">
        <f t="shared" si="1"/>
        <v>0.91319263088481473</v>
      </c>
    </row>
    <row r="77" spans="1:14" ht="16" customHeight="1">
      <c r="A77" t="s">
        <v>814</v>
      </c>
      <c r="B77">
        <v>283.7</v>
      </c>
      <c r="M77">
        <f>SUM(B77:L77)</f>
        <v>283.7</v>
      </c>
      <c r="N77">
        <f t="shared" si="1"/>
        <v>0.88411681186916691</v>
      </c>
    </row>
    <row r="78" spans="1:14" ht="16" customHeight="1">
      <c r="A78" t="s">
        <v>165</v>
      </c>
      <c r="F78">
        <v>184.69</v>
      </c>
      <c r="H78">
        <v>73.649999999999991</v>
      </c>
      <c r="M78">
        <f>SUM(B78:L78)</f>
        <v>258.33999999999997</v>
      </c>
      <c r="N78">
        <f t="shared" si="1"/>
        <v>0.80508543242256092</v>
      </c>
    </row>
    <row r="79" spans="1:14" ht="16" customHeight="1">
      <c r="A79" t="s">
        <v>811</v>
      </c>
      <c r="B79">
        <v>8581.1</v>
      </c>
      <c r="C79">
        <v>2559.31</v>
      </c>
      <c r="D79">
        <v>4365</v>
      </c>
      <c r="E79">
        <v>1298.6400000000003</v>
      </c>
      <c r="F79">
        <v>2371.4699999999998</v>
      </c>
      <c r="G79">
        <v>2238.27</v>
      </c>
      <c r="H79" t="s">
        <v>816</v>
      </c>
      <c r="I79">
        <v>2785.5</v>
      </c>
      <c r="J79">
        <v>1314.7</v>
      </c>
      <c r="K79">
        <v>6771</v>
      </c>
      <c r="L79">
        <v>97.39</v>
      </c>
      <c r="M79">
        <f>SUM(B79:L79)-293.86</f>
        <v>32088.52</v>
      </c>
      <c r="N79">
        <f t="shared" si="1"/>
        <v>100</v>
      </c>
    </row>
    <row r="80" spans="1:14" ht="16" customHeight="1">
      <c r="A80" t="s">
        <v>143</v>
      </c>
      <c r="N80">
        <f>SUM(N59:N62)</f>
        <v>47.272680451157697</v>
      </c>
    </row>
    <row r="81" spans="1:14" ht="16" customHeight="1">
      <c r="A81" t="s">
        <v>144</v>
      </c>
      <c r="N81">
        <f>SUM(N59:N68)</f>
        <v>70.513662368204791</v>
      </c>
    </row>
    <row r="82" spans="1:14" ht="16" customHeight="1">
      <c r="A82" t="s">
        <v>345</v>
      </c>
      <c r="N82">
        <f>SUMSQ(N59:N78)</f>
        <v>709.52548243255569</v>
      </c>
    </row>
    <row r="83" spans="1:14" ht="16" customHeight="1">
      <c r="A83" t="s">
        <v>584</v>
      </c>
      <c r="N83">
        <v>68.400000000000006</v>
      </c>
    </row>
    <row r="84" spans="1:14" ht="16" customHeight="1">
      <c r="A84" t="s">
        <v>147</v>
      </c>
      <c r="N84">
        <v>1967.5</v>
      </c>
    </row>
    <row r="112" spans="1:1" ht="16" customHeight="1">
      <c r="A112">
        <v>2013</v>
      </c>
    </row>
    <row r="113" spans="1:15" ht="16" customHeight="1">
      <c r="B113" t="s">
        <v>72</v>
      </c>
      <c r="C113" t="s">
        <v>71</v>
      </c>
      <c r="D113" t="s">
        <v>70</v>
      </c>
      <c r="E113" t="s">
        <v>69</v>
      </c>
      <c r="F113" t="s">
        <v>497</v>
      </c>
      <c r="G113" t="s">
        <v>67</v>
      </c>
      <c r="H113" t="s">
        <v>76</v>
      </c>
      <c r="I113" t="s">
        <v>17</v>
      </c>
      <c r="J113" t="s">
        <v>10</v>
      </c>
      <c r="K113" t="s">
        <v>12</v>
      </c>
      <c r="L113" t="s">
        <v>64</v>
      </c>
      <c r="M113" t="s">
        <v>39</v>
      </c>
      <c r="N113" t="s">
        <v>112</v>
      </c>
    </row>
    <row r="114" spans="1:15" ht="16" customHeight="1">
      <c r="A114" t="s">
        <v>216</v>
      </c>
      <c r="B114">
        <v>2143.0590000000002</v>
      </c>
      <c r="C114">
        <v>776.1</v>
      </c>
      <c r="D114">
        <v>1412.9</v>
      </c>
      <c r="G114">
        <v>422.7</v>
      </c>
      <c r="M114">
        <f t="shared" ref="M114:M132" si="2">SUM(B114:L114)</f>
        <v>4754.759</v>
      </c>
      <c r="N114">
        <f t="shared" ref="N114:N134" si="3">(M114/$M$134)*100</f>
        <v>15.922724091217621</v>
      </c>
    </row>
    <row r="115" spans="1:15" ht="16" customHeight="1">
      <c r="A115" t="s">
        <v>138</v>
      </c>
      <c r="B115">
        <v>2124.1</v>
      </c>
      <c r="C115">
        <v>445.57254799999998</v>
      </c>
      <c r="D115">
        <v>1105.8000000000002</v>
      </c>
      <c r="G115">
        <v>183.7</v>
      </c>
      <c r="M115">
        <f t="shared" si="2"/>
        <v>3859.172548</v>
      </c>
      <c r="N115">
        <f t="shared" si="3"/>
        <v>12.923586600752065</v>
      </c>
    </row>
    <row r="116" spans="1:15" ht="16" customHeight="1">
      <c r="A116" t="s">
        <v>121</v>
      </c>
      <c r="B116">
        <v>1771.6</v>
      </c>
      <c r="C116">
        <v>273.3</v>
      </c>
      <c r="D116">
        <v>512.70000000000005</v>
      </c>
      <c r="G116">
        <v>224.5</v>
      </c>
      <c r="J116">
        <v>238.6</v>
      </c>
      <c r="M116">
        <f t="shared" si="2"/>
        <v>3020.7</v>
      </c>
      <c r="N116">
        <f t="shared" si="3"/>
        <v>10.115711997672451</v>
      </c>
    </row>
    <row r="117" spans="1:15" ht="16" customHeight="1">
      <c r="A117" t="s">
        <v>123</v>
      </c>
      <c r="B117">
        <v>1090</v>
      </c>
      <c r="C117">
        <v>236.50000000000003</v>
      </c>
      <c r="D117">
        <v>158.69999999999999</v>
      </c>
      <c r="I117">
        <v>859.88806396344955</v>
      </c>
      <c r="J117">
        <v>67.900000000000006</v>
      </c>
      <c r="M117">
        <f t="shared" si="2"/>
        <v>2412.9880639634498</v>
      </c>
      <c r="N117">
        <f t="shared" si="3"/>
        <v>8.0806079083906024</v>
      </c>
    </row>
    <row r="118" spans="1:15" ht="16" customHeight="1">
      <c r="A118" t="s">
        <v>115</v>
      </c>
      <c r="C118">
        <v>1203.8</v>
      </c>
      <c r="D118">
        <v>178.2</v>
      </c>
      <c r="G118">
        <v>309.5</v>
      </c>
      <c r="M118">
        <f t="shared" si="2"/>
        <v>1691.5</v>
      </c>
      <c r="N118">
        <f t="shared" si="3"/>
        <v>5.6644906293451687</v>
      </c>
    </row>
    <row r="119" spans="1:15" ht="16" customHeight="1">
      <c r="A119" t="s">
        <v>442</v>
      </c>
      <c r="E119">
        <v>0</v>
      </c>
      <c r="F119">
        <v>17.739999999999998</v>
      </c>
      <c r="K119">
        <v>1416.06</v>
      </c>
      <c r="L119">
        <v>2.78</v>
      </c>
      <c r="M119">
        <f t="shared" si="2"/>
        <v>1436.58</v>
      </c>
      <c r="N119">
        <f t="shared" si="3"/>
        <v>4.8108152221724403</v>
      </c>
    </row>
    <row r="120" spans="1:15" ht="16" customHeight="1">
      <c r="A120" t="s">
        <v>120</v>
      </c>
      <c r="I120">
        <v>930.47047206032653</v>
      </c>
      <c r="M120">
        <f t="shared" si="2"/>
        <v>930.47047206032653</v>
      </c>
      <c r="N120">
        <f t="shared" si="3"/>
        <v>3.11595700258238</v>
      </c>
    </row>
    <row r="121" spans="1:15" ht="16" customHeight="1">
      <c r="A121" t="s">
        <v>192</v>
      </c>
      <c r="I121">
        <v>751.6</v>
      </c>
      <c r="J121">
        <v>3.4</v>
      </c>
      <c r="M121">
        <f t="shared" si="2"/>
        <v>755</v>
      </c>
      <c r="N121">
        <f t="shared" si="3"/>
        <v>2.5283419598909855</v>
      </c>
    </row>
    <row r="122" spans="1:15" ht="16" customHeight="1">
      <c r="A122" t="s">
        <v>140</v>
      </c>
      <c r="B122">
        <v>631.5</v>
      </c>
      <c r="D122">
        <v>19.7</v>
      </c>
      <c r="G122">
        <v>94.7</v>
      </c>
      <c r="M122">
        <f t="shared" si="2"/>
        <v>745.90000000000009</v>
      </c>
      <c r="N122">
        <f t="shared" si="3"/>
        <v>2.4978679044803798</v>
      </c>
    </row>
    <row r="123" spans="1:15" ht="16" customHeight="1">
      <c r="A123" t="s">
        <v>156</v>
      </c>
      <c r="B123">
        <v>496.4</v>
      </c>
      <c r="M123">
        <f t="shared" si="2"/>
        <v>496.4</v>
      </c>
      <c r="N123">
        <f t="shared" si="3"/>
        <v>1.6623429786620996</v>
      </c>
      <c r="O123">
        <f>SUM(N119,N128,N130,N132)</f>
        <v>7.1833376437935881</v>
      </c>
    </row>
    <row r="124" spans="1:15" ht="16" customHeight="1">
      <c r="A124" t="s">
        <v>450</v>
      </c>
      <c r="I124">
        <v>256.17599999999999</v>
      </c>
      <c r="J124">
        <v>146.4</v>
      </c>
      <c r="M124">
        <f t="shared" si="2"/>
        <v>402.57600000000002</v>
      </c>
      <c r="N124">
        <f t="shared" si="3"/>
        <v>1.3481454209868524</v>
      </c>
    </row>
    <row r="125" spans="1:15" ht="16" customHeight="1">
      <c r="A125" t="s">
        <v>815</v>
      </c>
      <c r="I125">
        <v>368.6</v>
      </c>
      <c r="M125">
        <f t="shared" si="2"/>
        <v>368.6</v>
      </c>
      <c r="N125">
        <f t="shared" si="3"/>
        <v>1.23436668399446</v>
      </c>
    </row>
    <row r="126" spans="1:15" ht="16" customHeight="1">
      <c r="A126" t="s">
        <v>814</v>
      </c>
      <c r="B126">
        <v>332.7</v>
      </c>
      <c r="M126">
        <f t="shared" si="2"/>
        <v>332.7</v>
      </c>
      <c r="N126">
        <f t="shared" si="3"/>
        <v>1.1141448610009681</v>
      </c>
    </row>
    <row r="127" spans="1:15" ht="16" customHeight="1">
      <c r="A127" t="s">
        <v>813</v>
      </c>
      <c r="I127">
        <v>272.10000000000002</v>
      </c>
      <c r="J127">
        <v>6.7</v>
      </c>
      <c r="M127">
        <f t="shared" si="2"/>
        <v>278.8</v>
      </c>
      <c r="N127">
        <f t="shared" si="3"/>
        <v>0.933644686645837</v>
      </c>
    </row>
    <row r="128" spans="1:15" ht="16" customHeight="1">
      <c r="A128" t="s">
        <v>443</v>
      </c>
      <c r="K128">
        <v>269.39999999999998</v>
      </c>
      <c r="M128">
        <f t="shared" si="2"/>
        <v>269.39999999999998</v>
      </c>
      <c r="N128">
        <f t="shared" si="3"/>
        <v>0.90216599204586967</v>
      </c>
    </row>
    <row r="129" spans="1:14" ht="16" customHeight="1">
      <c r="A129" t="s">
        <v>589</v>
      </c>
      <c r="G129">
        <v>232.35</v>
      </c>
      <c r="M129">
        <f t="shared" si="2"/>
        <v>232.35</v>
      </c>
      <c r="N129">
        <f t="shared" si="3"/>
        <v>0.7780930521598286</v>
      </c>
    </row>
    <row r="130" spans="1:14" ht="16" customHeight="1">
      <c r="A130" t="s">
        <v>161</v>
      </c>
      <c r="E130">
        <v>229.02</v>
      </c>
      <c r="M130">
        <f t="shared" si="2"/>
        <v>229.02</v>
      </c>
      <c r="N130">
        <f t="shared" si="3"/>
        <v>0.76694155715792534</v>
      </c>
    </row>
    <row r="131" spans="1:14" ht="16" customHeight="1">
      <c r="A131" t="s">
        <v>812</v>
      </c>
      <c r="I131">
        <v>218.73713861469898</v>
      </c>
      <c r="M131">
        <f t="shared" si="2"/>
        <v>218.73713861469898</v>
      </c>
      <c r="N131">
        <f t="shared" si="3"/>
        <v>0.7325063387364692</v>
      </c>
    </row>
    <row r="132" spans="1:14" ht="16" customHeight="1">
      <c r="A132" t="s">
        <v>160</v>
      </c>
      <c r="F132">
        <v>210.05</v>
      </c>
      <c r="M132">
        <f t="shared" si="2"/>
        <v>210.05</v>
      </c>
      <c r="N132">
        <f t="shared" si="3"/>
        <v>0.70341487241735312</v>
      </c>
    </row>
    <row r="133" spans="1:14" ht="16" customHeight="1">
      <c r="A133" t="s">
        <v>166</v>
      </c>
      <c r="H133">
        <v>188.13</v>
      </c>
      <c r="M133">
        <v>188.13</v>
      </c>
      <c r="N133">
        <f t="shared" si="3"/>
        <v>0.63000923564806777</v>
      </c>
    </row>
    <row r="134" spans="1:14" ht="16" customHeight="1">
      <c r="A134" t="s">
        <v>811</v>
      </c>
      <c r="B134">
        <v>8793.9</v>
      </c>
      <c r="C134">
        <v>3113.12</v>
      </c>
      <c r="D134">
        <v>4090.9940000000001</v>
      </c>
      <c r="E134">
        <v>397.15000000000003</v>
      </c>
      <c r="F134">
        <v>1303.0999999999999</v>
      </c>
      <c r="G134">
        <v>2221.8330000000001</v>
      </c>
      <c r="H134">
        <v>733</v>
      </c>
      <c r="I134">
        <v>3957.4</v>
      </c>
      <c r="J134">
        <v>1968.4</v>
      </c>
      <c r="K134">
        <v>3418</v>
      </c>
      <c r="L134">
        <v>8.09</v>
      </c>
      <c r="M134">
        <f>SUM(B134:L134)-143.52</f>
        <v>29861.467000000001</v>
      </c>
      <c r="N134">
        <f t="shared" si="3"/>
        <v>100</v>
      </c>
    </row>
    <row r="135" spans="1:14" ht="16" customHeight="1">
      <c r="A135" t="s">
        <v>143</v>
      </c>
      <c r="N135">
        <f>SUM(N114:N117)</f>
        <v>47.042630598032737</v>
      </c>
    </row>
    <row r="136" spans="1:14" ht="16" customHeight="1">
      <c r="A136" t="s">
        <v>144</v>
      </c>
      <c r="N136">
        <f>SUM(N114:N123)</f>
        <v>67.322446295166188</v>
      </c>
    </row>
    <row r="137" spans="1:14" ht="16" customHeight="1">
      <c r="A137" t="s">
        <v>345</v>
      </c>
      <c r="N137">
        <f>SUMSQ(N114:N132)</f>
        <v>677.00397105305933</v>
      </c>
    </row>
    <row r="138" spans="1:14" ht="16" customHeight="1">
      <c r="A138" t="s">
        <v>584</v>
      </c>
      <c r="N138">
        <v>61</v>
      </c>
    </row>
    <row r="139" spans="1:14" ht="16" customHeight="1">
      <c r="A139" t="s">
        <v>147</v>
      </c>
      <c r="N139">
        <v>1505.4</v>
      </c>
    </row>
  </sheetData>
  <pageMargins left="0.7" right="0.7" top="0.75" bottom="0.75" header="0.3" footer="0.3"/>
  <pageSetup orientation="portrait" verticalDpi="0" r:id="rId1"/>
  <headerFooter>
    <oddHeader>&amp;R&amp;"Calibri"&amp;12&amp;K000000 Unclassified / Non classifié&amp;1#_x000D_</oddHead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DDED-205B-6144-9EAD-D285B93EF833}">
  <dimension ref="A1:N8"/>
  <sheetViews>
    <sheetView zoomScale="55" zoomScaleNormal="55" workbookViewId="0"/>
  </sheetViews>
  <sheetFormatPr baseColWidth="10" defaultColWidth="10" defaultRowHeight="16"/>
  <cols>
    <col min="1" max="1" width="36.1640625" customWidth="1"/>
    <col min="2" max="11" width="11" bestFit="1" customWidth="1"/>
    <col min="12" max="12" width="13.83203125" bestFit="1" customWidth="1"/>
    <col min="13" max="14" width="11" bestFit="1" customWidth="1"/>
  </cols>
  <sheetData>
    <row r="1" spans="1:14">
      <c r="A1" t="s">
        <v>858</v>
      </c>
    </row>
    <row r="2" spans="1:14">
      <c r="B2">
        <v>2011</v>
      </c>
      <c r="C2">
        <v>2012</v>
      </c>
      <c r="D2">
        <v>2013</v>
      </c>
      <c r="E2">
        <v>2014</v>
      </c>
      <c r="F2">
        <v>2015</v>
      </c>
      <c r="G2">
        <v>2016</v>
      </c>
      <c r="H2">
        <v>2017</v>
      </c>
      <c r="I2">
        <v>2018</v>
      </c>
      <c r="J2">
        <v>2019</v>
      </c>
      <c r="K2">
        <v>2020</v>
      </c>
      <c r="L2">
        <v>2021</v>
      </c>
      <c r="M2">
        <v>2022</v>
      </c>
      <c r="N2">
        <v>2023</v>
      </c>
    </row>
    <row r="3" spans="1:14">
      <c r="A3" t="s">
        <v>237</v>
      </c>
      <c r="B3">
        <v>1792.20605186428</v>
      </c>
      <c r="C3">
        <v>1707.1331011027944</v>
      </c>
      <c r="D3">
        <v>1745.8935945549708</v>
      </c>
      <c r="E3">
        <v>2498.8927707679968</v>
      </c>
      <c r="F3">
        <v>2396.2464096081844</v>
      </c>
      <c r="G3">
        <v>2416.4201352872637</v>
      </c>
      <c r="H3">
        <v>2690.7906932446485</v>
      </c>
      <c r="I3">
        <v>2437.4686460412076</v>
      </c>
      <c r="J3">
        <v>2581.4974080243883</v>
      </c>
      <c r="K3">
        <v>2622.1737988202699</v>
      </c>
      <c r="L3">
        <v>2680.7582104896505</v>
      </c>
      <c r="M3">
        <v>2610.1733627869917</v>
      </c>
      <c r="N3">
        <v>2623.950806530459</v>
      </c>
    </row>
    <row r="4" spans="1:14">
      <c r="A4" t="s">
        <v>146</v>
      </c>
      <c r="B4">
        <v>780.60248948270805</v>
      </c>
      <c r="C4">
        <v>735.89999911825453</v>
      </c>
      <c r="D4">
        <v>743.68729423644925</v>
      </c>
      <c r="E4">
        <v>1205.7520861808036</v>
      </c>
      <c r="F4">
        <v>1143.7059015768095</v>
      </c>
      <c r="G4">
        <v>1237.7940454156501</v>
      </c>
      <c r="H4">
        <v>1442.1152138039545</v>
      </c>
      <c r="I4">
        <v>1272.1035798664448</v>
      </c>
      <c r="J4">
        <v>1407.0960225664062</v>
      </c>
      <c r="K4">
        <v>1441.93395817039</v>
      </c>
      <c r="L4">
        <v>1561.8496185572278</v>
      </c>
      <c r="M4">
        <v>1521.1524055201364</v>
      </c>
      <c r="N4">
        <v>1579.358957314392</v>
      </c>
    </row>
    <row r="7" spans="1:14">
      <c r="A7" t="s">
        <v>234</v>
      </c>
      <c r="B7">
        <v>55.056681463292129</v>
      </c>
      <c r="C7">
        <v>52.980629079017596</v>
      </c>
      <c r="D7">
        <v>52.51273136410736</v>
      </c>
      <c r="E7">
        <v>65.41595096063476</v>
      </c>
      <c r="F7">
        <v>64.780255768730811</v>
      </c>
      <c r="G7">
        <v>67.595363885453878</v>
      </c>
      <c r="H7">
        <v>73.829418862387186</v>
      </c>
      <c r="I7">
        <v>70.297081882851458</v>
      </c>
      <c r="J7">
        <v>75.653998954001722</v>
      </c>
      <c r="K7">
        <v>77.146720941895524</v>
      </c>
      <c r="L7">
        <v>79.191651216119013</v>
      </c>
      <c r="M7">
        <v>77.912266351872873</v>
      </c>
      <c r="N7">
        <v>81.035677879515774</v>
      </c>
    </row>
    <row r="8" spans="1:14">
      <c r="A8" t="s">
        <v>803</v>
      </c>
      <c r="B8">
        <v>39.372014542955803</v>
      </c>
      <c r="C8">
        <v>37.550430570974207</v>
      </c>
      <c r="D8">
        <v>38.375613308254266</v>
      </c>
      <c r="E8">
        <v>50.845042763695282</v>
      </c>
      <c r="F8">
        <v>50.2389089150792</v>
      </c>
      <c r="G8">
        <v>54.260721026076162</v>
      </c>
      <c r="H8">
        <v>59.580133038851834</v>
      </c>
      <c r="I8">
        <v>56.504365951436917</v>
      </c>
      <c r="J8">
        <v>60.118685500570386</v>
      </c>
      <c r="K8">
        <v>61.55417237348346</v>
      </c>
      <c r="L8">
        <v>63.292214462333057</v>
      </c>
      <c r="M8">
        <v>62.146664990629141</v>
      </c>
      <c r="N8">
        <v>64.411442664741116</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51A5-DDDE-9843-9EC3-F718E8EE758C}">
  <dimension ref="A1:V8"/>
  <sheetViews>
    <sheetView zoomScale="40" zoomScaleNormal="40" workbookViewId="0"/>
  </sheetViews>
  <sheetFormatPr baseColWidth="10" defaultColWidth="9.33203125" defaultRowHeight="16"/>
  <cols>
    <col min="1" max="1" width="33.83203125" customWidth="1"/>
    <col min="2" max="16" width="10" bestFit="1" customWidth="1"/>
    <col min="17" max="22" width="10.1640625" bestFit="1" customWidth="1"/>
  </cols>
  <sheetData>
    <row r="1" spans="1:22">
      <c r="A1" t="s">
        <v>856</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237</v>
      </c>
      <c r="B3">
        <v>1926.09323005017</v>
      </c>
      <c r="C3">
        <v>1657.9558217489689</v>
      </c>
      <c r="D3">
        <v>1484.0847643268266</v>
      </c>
      <c r="E3">
        <v>1347.1877312289441</v>
      </c>
      <c r="F3">
        <v>1422.1</v>
      </c>
      <c r="G3">
        <v>1409.8</v>
      </c>
      <c r="H3">
        <v>1525.3</v>
      </c>
      <c r="I3">
        <v>1423.1</v>
      </c>
      <c r="J3">
        <v>1465.2</v>
      </c>
      <c r="K3">
        <v>1398.1</v>
      </c>
      <c r="L3">
        <v>1505.4</v>
      </c>
      <c r="M3">
        <v>1776.5</v>
      </c>
      <c r="N3">
        <v>1781.3</v>
      </c>
      <c r="O3">
        <v>1821</v>
      </c>
      <c r="P3">
        <v>1967.5</v>
      </c>
      <c r="Q3">
        <v>1920</v>
      </c>
      <c r="R3">
        <v>2019.7</v>
      </c>
      <c r="S3">
        <v>2192.8000000000002</v>
      </c>
      <c r="T3">
        <v>2266.8000000000002</v>
      </c>
      <c r="U3">
        <v>2201</v>
      </c>
      <c r="V3">
        <v>2229.6</v>
      </c>
    </row>
    <row r="4" spans="1:22">
      <c r="A4" t="s">
        <v>146</v>
      </c>
      <c r="B4">
        <v>551.44981440749973</v>
      </c>
      <c r="C4">
        <v>582.87102474490246</v>
      </c>
      <c r="D4">
        <v>495.95858506083886</v>
      </c>
      <c r="E4">
        <v>461.57703116846562</v>
      </c>
      <c r="F4">
        <v>485.18832394126741</v>
      </c>
      <c r="G4">
        <v>568.74519798177244</v>
      </c>
      <c r="H4">
        <v>544.83884967789959</v>
      </c>
      <c r="I4">
        <v>429.64145461680044</v>
      </c>
      <c r="J4">
        <v>420.46053184740606</v>
      </c>
      <c r="K4">
        <v>389.46080566574045</v>
      </c>
      <c r="L4">
        <v>436.53550314978452</v>
      </c>
      <c r="M4">
        <v>485.0102034734158</v>
      </c>
      <c r="N4">
        <v>483.39134711154094</v>
      </c>
      <c r="O4">
        <v>496.32622385518113</v>
      </c>
      <c r="P4">
        <v>548.5901669308596</v>
      </c>
      <c r="Q4">
        <v>536.89930299708396</v>
      </c>
      <c r="R4">
        <v>604.08084855992877</v>
      </c>
      <c r="S4">
        <v>685.38610746560721</v>
      </c>
      <c r="T4">
        <v>785.87356745436114</v>
      </c>
      <c r="U4">
        <v>781.43915455624835</v>
      </c>
      <c r="V4">
        <v>842.66078231401616</v>
      </c>
    </row>
    <row r="7" spans="1:22">
      <c r="A7" t="s">
        <v>803</v>
      </c>
      <c r="B7">
        <v>39.070806953183201</v>
      </c>
      <c r="C7">
        <v>42.549189882478558</v>
      </c>
      <c r="D7">
        <v>38.108883602800773</v>
      </c>
      <c r="E7">
        <v>36.186523014838215</v>
      </c>
      <c r="F7">
        <v>36.54185792673195</v>
      </c>
      <c r="G7">
        <v>41.81213197844626</v>
      </c>
      <c r="H7">
        <v>40.054773518476381</v>
      </c>
      <c r="I7">
        <v>33.944853066262468</v>
      </c>
      <c r="J7">
        <v>33.06513139335803</v>
      </c>
      <c r="K7">
        <v>31.844181860211251</v>
      </c>
      <c r="L7">
        <v>34.546674539234075</v>
      </c>
      <c r="M7">
        <v>37.367599109436441</v>
      </c>
      <c r="N7">
        <v>36.808086643630205</v>
      </c>
      <c r="O7">
        <v>36.862275834308861</v>
      </c>
      <c r="P7">
        <v>32.637982797269672</v>
      </c>
      <c r="Q7">
        <v>32.832612732493665</v>
      </c>
      <c r="R7">
        <v>36.120179581146516</v>
      </c>
      <c r="S7">
        <v>276.68250011343866</v>
      </c>
      <c r="T7">
        <v>119.63625064519265</v>
      </c>
      <c r="U7">
        <v>237.09071064653961</v>
      </c>
      <c r="V7">
        <v>47.834409268434001</v>
      </c>
    </row>
    <row r="8" spans="1:22">
      <c r="A8" t="s">
        <v>234</v>
      </c>
      <c r="B8">
        <v>55.879385941864129</v>
      </c>
      <c r="C8">
        <v>60.149968340134144</v>
      </c>
      <c r="D8">
        <v>57.320114749078108</v>
      </c>
      <c r="E8">
        <v>54.416986637269261</v>
      </c>
      <c r="F8">
        <v>61.2</v>
      </c>
      <c r="G8">
        <v>60.7</v>
      </c>
      <c r="H8">
        <v>62.8</v>
      </c>
      <c r="I8">
        <v>58.5</v>
      </c>
      <c r="J8">
        <v>62.6</v>
      </c>
      <c r="K8">
        <v>60.3</v>
      </c>
      <c r="L8">
        <v>61</v>
      </c>
      <c r="M8">
        <v>64.2</v>
      </c>
      <c r="N8">
        <v>64.3</v>
      </c>
      <c r="O8">
        <v>65.3</v>
      </c>
      <c r="P8">
        <v>68.400000000000006</v>
      </c>
      <c r="Q8">
        <v>67.2</v>
      </c>
      <c r="R8">
        <v>69.8</v>
      </c>
      <c r="S8">
        <v>73.5</v>
      </c>
      <c r="T8">
        <v>74.900000000000006</v>
      </c>
      <c r="U8">
        <v>73.267855794269593</v>
      </c>
      <c r="V8">
        <v>75.3032541399661</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7E8D-1915-6C4F-AAE5-AC05B5CBB14E}">
  <dimension ref="A1:V7"/>
  <sheetViews>
    <sheetView zoomScale="94" zoomScaleNormal="70" workbookViewId="0">
      <selection activeCell="L18" sqref="L18"/>
    </sheetView>
  </sheetViews>
  <sheetFormatPr baseColWidth="10" defaultColWidth="11.83203125" defaultRowHeight="17.5" customHeight="1"/>
  <cols>
    <col min="1" max="1" width="20.33203125" customWidth="1"/>
    <col min="2" max="22" width="8.83203125" customWidth="1"/>
    <col min="25" max="25" width="12.1640625" bestFit="1" customWidth="1"/>
  </cols>
  <sheetData>
    <row r="1" spans="1:22" ht="17.5" customHeight="1">
      <c r="A1" t="s">
        <v>843</v>
      </c>
    </row>
    <row r="2" spans="1:22" ht="17.5" customHeight="1">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ht="17.5" customHeight="1">
      <c r="A3" t="s">
        <v>142</v>
      </c>
      <c r="B3">
        <v>45.6205069028602</v>
      </c>
      <c r="C3">
        <v>40.355921014453479</v>
      </c>
      <c r="D3">
        <v>38.100660929832451</v>
      </c>
      <c r="E3">
        <v>33.15868537720295</v>
      </c>
      <c r="F3">
        <v>34.804234714491557</v>
      </c>
      <c r="G3">
        <v>30.707825565322672</v>
      </c>
      <c r="H3">
        <v>26.625609091760232</v>
      </c>
      <c r="I3">
        <v>27.320996878506172</v>
      </c>
      <c r="J3">
        <v>28.626776093738805</v>
      </c>
      <c r="K3">
        <v>27.628594929240496</v>
      </c>
      <c r="L3">
        <v>28.509716655570106</v>
      </c>
      <c r="M3">
        <v>31.250128087108763</v>
      </c>
      <c r="N3">
        <v>27.559014826937865</v>
      </c>
      <c r="O3">
        <v>27.047973470949483</v>
      </c>
      <c r="P3">
        <v>27.551845134051796</v>
      </c>
      <c r="Q3">
        <v>26.53029493309252</v>
      </c>
      <c r="R3">
        <v>26.04</v>
      </c>
      <c r="S3">
        <v>25.954088787659575</v>
      </c>
      <c r="T3">
        <v>24.361363744563363</v>
      </c>
      <c r="U3">
        <v>23.454240056887773</v>
      </c>
      <c r="V3">
        <v>22.805939979903027</v>
      </c>
    </row>
    <row r="4" spans="1:22" ht="17.5" customHeight="1">
      <c r="A4" t="s">
        <v>143</v>
      </c>
      <c r="B4">
        <v>63.650392095166517</v>
      </c>
      <c r="C4">
        <v>58.456639290747738</v>
      </c>
      <c r="D4">
        <v>55.569918049598805</v>
      </c>
      <c r="E4">
        <v>54.393224920916545</v>
      </c>
      <c r="F4">
        <v>59.225268215951985</v>
      </c>
      <c r="G4">
        <v>59.178445524071719</v>
      </c>
      <c r="H4">
        <v>62.636383949659148</v>
      </c>
      <c r="I4">
        <v>65.410496958582812</v>
      </c>
      <c r="J4">
        <v>67.166752753413391</v>
      </c>
      <c r="K4">
        <v>66.184685093819397</v>
      </c>
      <c r="L4">
        <v>67.471546147147407</v>
      </c>
      <c r="M4">
        <v>70.063110116604506</v>
      </c>
      <c r="N4">
        <v>66.780177903639967</v>
      </c>
      <c r="O4">
        <v>66.701032067421153</v>
      </c>
      <c r="P4">
        <v>66.768612776066803</v>
      </c>
      <c r="Q4">
        <v>66.149663636028194</v>
      </c>
      <c r="R4">
        <v>57.315552881014064</v>
      </c>
      <c r="S4">
        <v>63.389851890062133</v>
      </c>
      <c r="T4">
        <v>61.149682915512564</v>
      </c>
      <c r="U4">
        <v>60.765901919667876</v>
      </c>
      <c r="V4">
        <v>66.436712430300673</v>
      </c>
    </row>
    <row r="5" spans="1:22" ht="17.5" customHeight="1">
      <c r="A5" t="s">
        <v>144</v>
      </c>
      <c r="B5">
        <v>75.625639271828305</v>
      </c>
      <c r="C5">
        <v>73.568486930286227</v>
      </c>
      <c r="D5">
        <v>71.618700953236527</v>
      </c>
      <c r="E5">
        <v>69.814713289466482</v>
      </c>
      <c r="F5">
        <v>74.610517777478393</v>
      </c>
      <c r="G5">
        <v>76.036495160177353</v>
      </c>
      <c r="H5">
        <v>80.700096497996284</v>
      </c>
      <c r="I5">
        <v>80.55595216532835</v>
      </c>
      <c r="J5">
        <v>79.923686780483195</v>
      </c>
      <c r="K5">
        <v>79.242458264145426</v>
      </c>
      <c r="L5">
        <v>80.794490903600277</v>
      </c>
      <c r="M5">
        <v>84.166443265590317</v>
      </c>
      <c r="N5">
        <v>80.343573174735695</v>
      </c>
      <c r="O5">
        <v>80.311673332012802</v>
      </c>
      <c r="P5">
        <v>81.644064222353521</v>
      </c>
      <c r="Q5">
        <v>80.792143543136575</v>
      </c>
      <c r="R5">
        <v>80.05343701636906</v>
      </c>
      <c r="S5">
        <v>81.485435362557141</v>
      </c>
      <c r="T5">
        <v>80.818741814980498</v>
      </c>
      <c r="U5">
        <v>79.909579770676146</v>
      </c>
      <c r="V5">
        <v>81.615341022944179</v>
      </c>
    </row>
    <row r="6" spans="1:22" ht="17.5" customHeight="1">
      <c r="A6" t="s">
        <v>368</v>
      </c>
      <c r="B6">
        <v>4.5318758815015219</v>
      </c>
      <c r="C6">
        <v>2.195501684750333</v>
      </c>
      <c r="D6">
        <v>3.3972879287248943</v>
      </c>
      <c r="E6">
        <v>8.710735231113695</v>
      </c>
      <c r="F6">
        <v>45.451284551588842</v>
      </c>
      <c r="G6">
        <v>49.233900235721322</v>
      </c>
      <c r="H6">
        <v>26.5</v>
      </c>
      <c r="I6">
        <v>29.15</v>
      </c>
      <c r="J6">
        <v>57.91025102828862</v>
      </c>
      <c r="K6">
        <v>56.668096645192676</v>
      </c>
      <c r="L6">
        <v>57.470069308462143</v>
      </c>
      <c r="M6">
        <v>59.656321499830156</v>
      </c>
      <c r="N6">
        <v>55.626060709714473</v>
      </c>
      <c r="O6">
        <v>55.590073913693452</v>
      </c>
      <c r="P6">
        <v>55.505776251294748</v>
      </c>
      <c r="Q6">
        <v>54.539811715559175</v>
      </c>
      <c r="R6">
        <v>53.062454919185043</v>
      </c>
      <c r="S6">
        <v>52.723335871485709</v>
      </c>
      <c r="T6">
        <v>49.803142811335356</v>
      </c>
      <c r="U6">
        <v>48.480984654045692</v>
      </c>
      <c r="V6">
        <v>45.977008114935302</v>
      </c>
    </row>
    <row r="7" spans="1:22" ht="17.5" customHeight="1">
      <c r="A7" t="s">
        <v>817</v>
      </c>
      <c r="H7">
        <v>1.2182984976611595</v>
      </c>
      <c r="I7">
        <v>1.4610166454504323</v>
      </c>
      <c r="J7">
        <v>2.3998678579146984</v>
      </c>
      <c r="K7">
        <v>2.7949365231155774</v>
      </c>
      <c r="L7">
        <v>3.2364309865908543</v>
      </c>
      <c r="M7">
        <v>4.8469687555844159</v>
      </c>
      <c r="N7">
        <v>6.0272738081892552</v>
      </c>
      <c r="O7">
        <v>7.21</v>
      </c>
      <c r="P7">
        <v>9.1004684442083601</v>
      </c>
      <c r="Q7">
        <v>9.7762019350692437</v>
      </c>
      <c r="R7">
        <v>11.600661843203529</v>
      </c>
      <c r="S7">
        <v>13.358566569933938</v>
      </c>
      <c r="T7">
        <v>16.004657525511643</v>
      </c>
      <c r="U7">
        <v>16.562019254697631</v>
      </c>
      <c r="V7">
        <v>18.875861004753826</v>
      </c>
    </row>
  </sheetData>
  <pageMargins left="0.7" right="0.7" top="0.75" bottom="0.75" header="0.3" footer="0.3"/>
  <pageSetup orientation="portrait" verticalDpi="0" r:id="rId1"/>
  <headerFooter>
    <oddHeader>&amp;R&amp;"Calibri"&amp;12&amp;K000000 Unclassified / Non classifié&amp;1#_x000D_</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E1D8-03FA-934B-8C9F-F01B8F0A9D86}">
  <dimension ref="A1:V9"/>
  <sheetViews>
    <sheetView zoomScale="75" zoomScaleNormal="70" workbookViewId="0">
      <selection activeCell="P19" sqref="P19"/>
    </sheetView>
  </sheetViews>
  <sheetFormatPr baseColWidth="10" defaultColWidth="9.33203125" defaultRowHeight="16"/>
  <cols>
    <col min="1" max="1" width="17.1640625" customWidth="1"/>
    <col min="2" max="22" width="8.83203125" customWidth="1"/>
  </cols>
  <sheetData>
    <row r="1" spans="1:22">
      <c r="A1" t="s">
        <v>857</v>
      </c>
    </row>
    <row r="2" spans="1:22">
      <c r="B2">
        <v>1984</v>
      </c>
      <c r="C2">
        <v>1988</v>
      </c>
      <c r="D2">
        <v>1992</v>
      </c>
      <c r="E2">
        <v>1996</v>
      </c>
      <c r="F2">
        <v>2000</v>
      </c>
      <c r="G2">
        <v>2004</v>
      </c>
      <c r="H2">
        <v>2008</v>
      </c>
      <c r="I2">
        <v>2010</v>
      </c>
      <c r="J2">
        <v>2011</v>
      </c>
      <c r="K2">
        <v>2012</v>
      </c>
      <c r="L2">
        <v>2013</v>
      </c>
      <c r="M2">
        <v>2014</v>
      </c>
      <c r="N2">
        <v>2015</v>
      </c>
      <c r="O2">
        <v>2016</v>
      </c>
      <c r="P2">
        <v>2017</v>
      </c>
      <c r="Q2">
        <v>2018</v>
      </c>
      <c r="R2">
        <v>2019</v>
      </c>
      <c r="S2">
        <v>2020</v>
      </c>
      <c r="T2">
        <v>2021</v>
      </c>
      <c r="U2">
        <v>2022</v>
      </c>
      <c r="V2">
        <v>2023</v>
      </c>
    </row>
    <row r="3" spans="1:22">
      <c r="A3" t="s">
        <v>237</v>
      </c>
      <c r="B3">
        <v>3924.4766728367304</v>
      </c>
      <c r="C3">
        <v>3391.2470668038573</v>
      </c>
      <c r="D3">
        <v>3209.5443870666618</v>
      </c>
      <c r="E3">
        <v>2747.4548967588626</v>
      </c>
      <c r="F3">
        <v>2812.4748613997358</v>
      </c>
      <c r="G3">
        <v>2323.1638120053967</v>
      </c>
      <c r="H3">
        <v>2553.5368221774002</v>
      </c>
      <c r="I3">
        <v>2636.1278083446041</v>
      </c>
      <c r="J3">
        <v>2619.5774165855291</v>
      </c>
      <c r="K3">
        <v>2340.3333472849558</v>
      </c>
      <c r="L3">
        <v>2419.5596108402337</v>
      </c>
      <c r="M3">
        <v>2472.1423067269479</v>
      </c>
      <c r="N3">
        <v>2394.6067267094977</v>
      </c>
      <c r="O3">
        <v>2359.3819022422686</v>
      </c>
      <c r="P3">
        <v>2480.94638598552</v>
      </c>
      <c r="Q3">
        <v>2411.8363658033245</v>
      </c>
      <c r="R3">
        <v>2413.0025109221415</v>
      </c>
      <c r="S3">
        <v>2407.4984602732457</v>
      </c>
      <c r="T3">
        <v>2394.0154150532417</v>
      </c>
      <c r="U3">
        <v>2341.2101755856957</v>
      </c>
      <c r="V3">
        <v>2502.0842206192024</v>
      </c>
    </row>
    <row r="4" spans="1:22">
      <c r="A4" t="s">
        <v>819</v>
      </c>
      <c r="B4">
        <v>2228.8636569482856</v>
      </c>
      <c r="C4">
        <v>1800.1265746051361</v>
      </c>
      <c r="D4">
        <v>1622.9187721081694</v>
      </c>
      <c r="E4">
        <v>1321.0468184230688</v>
      </c>
      <c r="F4">
        <v>1522.1106257756467</v>
      </c>
      <c r="G4">
        <v>1317.7596854865983</v>
      </c>
      <c r="H4">
        <v>1265.7766731068216</v>
      </c>
      <c r="I4">
        <v>1324.7852460972779</v>
      </c>
      <c r="J4">
        <v>1405.2584561949889</v>
      </c>
      <c r="K4">
        <v>1352.191954219584</v>
      </c>
      <c r="L4">
        <v>1411.8728663187105</v>
      </c>
      <c r="M4">
        <v>1575.8841991009724</v>
      </c>
      <c r="N4">
        <v>1367.8296287151134</v>
      </c>
      <c r="O4">
        <v>1348.2364731131345</v>
      </c>
      <c r="P4">
        <v>1380.2219534501446</v>
      </c>
      <c r="Q4">
        <v>1337.5391791387976</v>
      </c>
      <c r="R4">
        <v>1287.1333155035027</v>
      </c>
      <c r="S4">
        <v>1259.558932624469</v>
      </c>
      <c r="T4">
        <v>1180.9259999999999</v>
      </c>
      <c r="U4">
        <v>1138.8</v>
      </c>
      <c r="V4">
        <v>1255.9000000000001</v>
      </c>
    </row>
    <row r="7" spans="1:22">
      <c r="B7">
        <v>1984</v>
      </c>
      <c r="C7">
        <v>1988</v>
      </c>
      <c r="D7">
        <v>1992</v>
      </c>
      <c r="E7">
        <v>1996</v>
      </c>
      <c r="F7">
        <v>2000</v>
      </c>
      <c r="G7">
        <v>2004</v>
      </c>
      <c r="H7">
        <v>2008</v>
      </c>
      <c r="I7">
        <v>2010</v>
      </c>
      <c r="J7">
        <v>2011</v>
      </c>
      <c r="K7">
        <v>2012</v>
      </c>
      <c r="L7">
        <v>2013</v>
      </c>
      <c r="M7">
        <v>2014</v>
      </c>
      <c r="N7">
        <v>2015</v>
      </c>
      <c r="O7">
        <v>2016</v>
      </c>
      <c r="P7">
        <v>2017</v>
      </c>
      <c r="Q7">
        <v>2018</v>
      </c>
      <c r="R7">
        <v>2019</v>
      </c>
      <c r="S7">
        <v>2020</v>
      </c>
      <c r="T7">
        <v>2021</v>
      </c>
      <c r="U7">
        <v>2022</v>
      </c>
      <c r="V7">
        <v>2023</v>
      </c>
    </row>
    <row r="8" spans="1:22">
      <c r="A8" t="s">
        <v>234</v>
      </c>
      <c r="B8">
        <v>78.805272478778704</v>
      </c>
      <c r="C8">
        <v>78.264475307970855</v>
      </c>
      <c r="D8">
        <v>77.1864099027121</v>
      </c>
      <c r="E8">
        <v>74.827572886362077</v>
      </c>
      <c r="F8">
        <v>79.475015143620411</v>
      </c>
      <c r="G8">
        <v>76.741738742938708</v>
      </c>
      <c r="H8">
        <v>80.551865783200839</v>
      </c>
      <c r="I8">
        <v>80.27822143887883</v>
      </c>
      <c r="J8">
        <v>81.622369999934662</v>
      </c>
      <c r="K8">
        <v>80.040639925834697</v>
      </c>
      <c r="L8">
        <v>79.747899087666582</v>
      </c>
      <c r="M8">
        <v>80.882605905710207</v>
      </c>
      <c r="N8">
        <v>81.380483250859768</v>
      </c>
      <c r="O8">
        <v>80.302160121698009</v>
      </c>
      <c r="P8">
        <v>82.032432752219847</v>
      </c>
      <c r="Q8">
        <v>81.309507995377274</v>
      </c>
      <c r="R8">
        <v>81.391369428582891</v>
      </c>
      <c r="S8">
        <v>81.228662075426541</v>
      </c>
      <c r="T8">
        <v>81.238085367270472</v>
      </c>
      <c r="U8">
        <v>80.597543451666169</v>
      </c>
      <c r="V8">
        <v>85.651483287152985</v>
      </c>
    </row>
    <row r="9" spans="1:22">
      <c r="A9" t="s">
        <v>803</v>
      </c>
      <c r="B9">
        <v>63.650392095166517</v>
      </c>
      <c r="C9">
        <v>58.456639290747738</v>
      </c>
      <c r="D9">
        <v>55.569918049598805</v>
      </c>
      <c r="E9">
        <v>54.393224920916545</v>
      </c>
      <c r="F9">
        <v>59.225268215951985</v>
      </c>
      <c r="G9">
        <v>59.178445524071719</v>
      </c>
      <c r="H9">
        <v>62.636383949659148</v>
      </c>
      <c r="I9">
        <v>65.410496958582812</v>
      </c>
      <c r="J9">
        <v>67.166752753413391</v>
      </c>
      <c r="K9">
        <v>66.184685093819397</v>
      </c>
      <c r="L9">
        <v>67.471546147147407</v>
      </c>
      <c r="M9">
        <v>70.063110116604506</v>
      </c>
      <c r="N9">
        <v>66.780177903639967</v>
      </c>
      <c r="O9">
        <v>66.701032067421153</v>
      </c>
      <c r="P9">
        <v>66.768612776066803</v>
      </c>
      <c r="Q9">
        <v>66.149663636028194</v>
      </c>
      <c r="R9">
        <v>64.900000000000006</v>
      </c>
      <c r="S9">
        <v>63.389851890062133</v>
      </c>
      <c r="T9">
        <v>61.15</v>
      </c>
      <c r="U9">
        <v>60.8</v>
      </c>
      <c r="V9">
        <v>66.400000000000006</v>
      </c>
    </row>
  </sheetData>
  <pageMargins left="0.7" right="0.7" top="0.75" bottom="0.75" header="0.3" footer="0.3"/>
  <pageSetup orientation="portrait" horizontalDpi="0" verticalDpi="0"/>
  <headerFooter>
    <oddHeader>&amp;R&amp;"Calibri"&amp;12&amp;K000000 Unclassified / Non classifié&amp;1#_x000D_</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B0E7-2A96-8140-9639-3C3834F9F56C}">
  <dimension ref="A1:B8"/>
  <sheetViews>
    <sheetView zoomScale="70" zoomScaleNormal="70" workbookViewId="0"/>
  </sheetViews>
  <sheetFormatPr baseColWidth="10" defaultColWidth="10.6640625" defaultRowHeight="16"/>
  <cols>
    <col min="1" max="1" width="48.1640625" customWidth="1"/>
    <col min="2" max="2" width="19" customWidth="1"/>
  </cols>
  <sheetData>
    <row r="1" spans="1:2">
      <c r="A1" t="s">
        <v>852</v>
      </c>
    </row>
    <row r="2" spans="1:2">
      <c r="A2" t="s">
        <v>848</v>
      </c>
      <c r="B2">
        <v>0.52754446366180596</v>
      </c>
    </row>
    <row r="3" spans="1:2">
      <c r="A3" t="s">
        <v>847</v>
      </c>
      <c r="B3">
        <v>0.28318797934281964</v>
      </c>
    </row>
    <row r="4" spans="1:2">
      <c r="A4" t="s">
        <v>442</v>
      </c>
      <c r="B4">
        <v>0.12386384173498224</v>
      </c>
    </row>
    <row r="5" spans="1:2">
      <c r="A5" t="s">
        <v>849</v>
      </c>
      <c r="B5">
        <v>3.4150611722727431E-2</v>
      </c>
    </row>
    <row r="6" spans="1:2">
      <c r="A6" t="s">
        <v>162</v>
      </c>
      <c r="B6">
        <v>2.1960173454587142E-2</v>
      </c>
    </row>
    <row r="7" spans="1:2">
      <c r="A7" t="s">
        <v>850</v>
      </c>
      <c r="B7">
        <v>4.833773775332971E-3</v>
      </c>
    </row>
    <row r="8" spans="1:2">
      <c r="A8" t="s">
        <v>851</v>
      </c>
      <c r="B8">
        <v>4.4591563077446637E-3</v>
      </c>
    </row>
  </sheetData>
  <pageMargins left="0.7" right="0.7" top="0.75" bottom="0.75" header="0.3" footer="0.3"/>
  <headerFooter>
    <oddHeader>&amp;R&amp;"Calibri"&amp;12&amp;K000000 Unclassified / Non classifié&amp;1#_x000D_</oddHead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12D0-8A04-EC4A-B2F8-36A495C7A04A}">
  <dimension ref="A1:R50"/>
  <sheetViews>
    <sheetView zoomScale="75" zoomScaleNormal="40" workbookViewId="0">
      <selection activeCell="F42" sqref="F42"/>
    </sheetView>
  </sheetViews>
  <sheetFormatPr baseColWidth="10" defaultColWidth="11" defaultRowHeight="16"/>
  <cols>
    <col min="1" max="2" width="18.83203125" customWidth="1"/>
    <col min="3" max="4" width="10.1640625" customWidth="1"/>
    <col min="5" max="5" width="17.1640625" customWidth="1"/>
    <col min="6" max="6" width="13.1640625" customWidth="1"/>
    <col min="7" max="7" width="12" customWidth="1"/>
    <col min="8" max="8" width="11.33203125" customWidth="1"/>
    <col min="9" max="9" width="10" customWidth="1"/>
    <col min="10" max="10" width="15.83203125" customWidth="1"/>
    <col min="11" max="11" width="14" customWidth="1"/>
    <col min="12" max="12" width="11.33203125" customWidth="1"/>
    <col min="13" max="13" width="10.33203125" customWidth="1"/>
    <col min="14" max="15" width="19" customWidth="1"/>
    <col min="16" max="16" width="13.5" customWidth="1"/>
    <col min="17" max="17" width="10" bestFit="1" customWidth="1"/>
    <col min="18" max="18" width="10.5" customWidth="1"/>
    <col min="19" max="19" width="14.33203125" customWidth="1"/>
    <col min="20" max="21" width="13.1640625" customWidth="1"/>
    <col min="22" max="22" width="34.1640625" bestFit="1" customWidth="1"/>
    <col min="23" max="23" width="31" bestFit="1" customWidth="1"/>
    <col min="24" max="24" width="34.1640625" bestFit="1" customWidth="1"/>
    <col min="25" max="25" width="31" bestFit="1" customWidth="1"/>
    <col min="26" max="26" width="34.1640625" bestFit="1" customWidth="1"/>
    <col min="27" max="27" width="31" bestFit="1" customWidth="1"/>
    <col min="28" max="28" width="34.1640625" bestFit="1" customWidth="1"/>
    <col min="29" max="29" width="31" bestFit="1" customWidth="1"/>
    <col min="30" max="30" width="38.83203125" bestFit="1" customWidth="1"/>
    <col min="31" max="31" width="35.6640625" bestFit="1" customWidth="1"/>
  </cols>
  <sheetData>
    <row r="1" spans="1:18" ht="19.5" customHeight="1">
      <c r="A1" t="s">
        <v>853</v>
      </c>
    </row>
    <row r="2" spans="1:18">
      <c r="C2" t="s">
        <v>74</v>
      </c>
      <c r="D2" t="s">
        <v>75</v>
      </c>
      <c r="E2" t="s">
        <v>73</v>
      </c>
      <c r="F2" t="s">
        <v>820</v>
      </c>
      <c r="G2" t="s">
        <v>72</v>
      </c>
      <c r="H2" t="s">
        <v>71</v>
      </c>
      <c r="I2" t="s">
        <v>70</v>
      </c>
      <c r="J2" t="s">
        <v>548</v>
      </c>
      <c r="K2" t="s">
        <v>497</v>
      </c>
      <c r="L2" t="s">
        <v>67</v>
      </c>
      <c r="M2" t="s">
        <v>76</v>
      </c>
      <c r="N2" t="s">
        <v>17</v>
      </c>
      <c r="O2" t="s">
        <v>10</v>
      </c>
      <c r="P2" t="s">
        <v>12</v>
      </c>
      <c r="Q2" t="s">
        <v>64</v>
      </c>
      <c r="R2" t="s">
        <v>39</v>
      </c>
    </row>
    <row r="3" spans="1:18">
      <c r="B3" t="s">
        <v>113</v>
      </c>
      <c r="C3">
        <v>5841</v>
      </c>
      <c r="D3">
        <v>10005</v>
      </c>
      <c r="E3">
        <v>4047.71</v>
      </c>
      <c r="G3">
        <v>2074.3000000000002</v>
      </c>
      <c r="H3">
        <v>569.79999999999995</v>
      </c>
      <c r="I3">
        <v>1379</v>
      </c>
      <c r="J3">
        <v>631.56679999999994</v>
      </c>
      <c r="L3">
        <v>221.88</v>
      </c>
      <c r="O3">
        <v>4.7155634852766886</v>
      </c>
      <c r="P3">
        <v>136.13999999999999</v>
      </c>
      <c r="R3">
        <v>24911.112363485274</v>
      </c>
    </row>
    <row r="4" spans="1:18">
      <c r="B4" t="s">
        <v>121</v>
      </c>
      <c r="C4">
        <v>2000.35</v>
      </c>
      <c r="D4">
        <v>10222</v>
      </c>
      <c r="E4">
        <v>4052.58</v>
      </c>
      <c r="G4">
        <v>2366.9</v>
      </c>
      <c r="H4">
        <v>193.8</v>
      </c>
      <c r="I4">
        <v>796.7</v>
      </c>
      <c r="J4">
        <v>365.21499999999997</v>
      </c>
      <c r="L4">
        <v>136.41999999999999</v>
      </c>
      <c r="P4">
        <v>59.68</v>
      </c>
      <c r="R4">
        <v>20193.645</v>
      </c>
    </row>
    <row r="5" spans="1:18">
      <c r="B5" t="s">
        <v>156</v>
      </c>
      <c r="C5">
        <v>4853.277</v>
      </c>
      <c r="D5">
        <v>9217</v>
      </c>
      <c r="E5">
        <v>2326.7600000000002</v>
      </c>
      <c r="G5">
        <v>839.84299999999996</v>
      </c>
      <c r="R5">
        <v>17236.88</v>
      </c>
    </row>
    <row r="6" spans="1:18">
      <c r="B6" t="s">
        <v>179</v>
      </c>
      <c r="F6">
        <v>1460.8</v>
      </c>
      <c r="J6">
        <v>288.58000000000015</v>
      </c>
      <c r="K6">
        <v>223.77</v>
      </c>
      <c r="M6">
        <v>168.06</v>
      </c>
      <c r="P6">
        <v>8223.59</v>
      </c>
      <c r="Q6">
        <v>234.42</v>
      </c>
      <c r="R6">
        <v>10599.22</v>
      </c>
    </row>
    <row r="7" spans="1:18">
      <c r="B7" t="s">
        <v>159</v>
      </c>
      <c r="F7">
        <v>6221.6268546085057</v>
      </c>
      <c r="J7">
        <v>45.58</v>
      </c>
      <c r="M7">
        <v>99.13</v>
      </c>
      <c r="P7">
        <v>2375.04</v>
      </c>
      <c r="R7">
        <v>8741.3768546085048</v>
      </c>
    </row>
    <row r="8" spans="1:18">
      <c r="B8" t="s">
        <v>123</v>
      </c>
      <c r="C8">
        <v>278.3</v>
      </c>
      <c r="D8">
        <v>2033.5</v>
      </c>
      <c r="E8">
        <v>1285.7</v>
      </c>
      <c r="G8">
        <v>802.6</v>
      </c>
      <c r="H8">
        <v>182.2</v>
      </c>
      <c r="I8">
        <v>204.04</v>
      </c>
      <c r="J8">
        <v>68.400000000000006</v>
      </c>
      <c r="N8">
        <v>150.76579519000001</v>
      </c>
      <c r="O8">
        <v>37.164000000000001</v>
      </c>
      <c r="P8">
        <v>73.63</v>
      </c>
      <c r="R8">
        <v>5116.2997951899997</v>
      </c>
    </row>
    <row r="9" spans="1:18">
      <c r="B9" t="s">
        <v>160</v>
      </c>
      <c r="F9">
        <v>3339.79</v>
      </c>
      <c r="K9">
        <v>519.98</v>
      </c>
      <c r="P9">
        <v>418.86</v>
      </c>
      <c r="R9">
        <v>4278.63</v>
      </c>
    </row>
    <row r="10" spans="1:18">
      <c r="B10" t="s">
        <v>157</v>
      </c>
      <c r="P10">
        <v>4194.87</v>
      </c>
      <c r="R10">
        <v>4194.87</v>
      </c>
    </row>
    <row r="11" spans="1:18">
      <c r="B11" t="s">
        <v>115</v>
      </c>
      <c r="H11">
        <v>1014.89</v>
      </c>
      <c r="I11">
        <v>160.6</v>
      </c>
      <c r="J11">
        <v>25.55</v>
      </c>
      <c r="L11">
        <v>375</v>
      </c>
      <c r="P11">
        <v>73.099999999999994</v>
      </c>
      <c r="R11">
        <v>1649.1399999999999</v>
      </c>
    </row>
    <row r="12" spans="1:18">
      <c r="B12" t="s">
        <v>140</v>
      </c>
      <c r="C12">
        <v>184.52</v>
      </c>
      <c r="E12">
        <v>840</v>
      </c>
      <c r="G12">
        <v>465.39</v>
      </c>
      <c r="I12">
        <v>4.4800000000000004</v>
      </c>
      <c r="L12">
        <v>83.65</v>
      </c>
      <c r="R12">
        <v>1578.04</v>
      </c>
    </row>
    <row r="13" spans="1:18">
      <c r="B13" t="s">
        <v>162</v>
      </c>
      <c r="F13">
        <v>258.99</v>
      </c>
      <c r="J13">
        <v>134.69999999999999</v>
      </c>
      <c r="K13">
        <v>628.88</v>
      </c>
      <c r="M13">
        <v>236.43</v>
      </c>
      <c r="Q13">
        <v>298.19660849221447</v>
      </c>
      <c r="R13">
        <v>1557.1966084922144</v>
      </c>
    </row>
    <row r="14" spans="1:18">
      <c r="B14" t="s">
        <v>161</v>
      </c>
      <c r="J14">
        <v>1522.098761</v>
      </c>
      <c r="R14">
        <v>1522.098761</v>
      </c>
    </row>
    <row r="15" spans="1:18">
      <c r="B15" t="s">
        <v>478</v>
      </c>
      <c r="H15">
        <v>298.39999999999998</v>
      </c>
      <c r="I15">
        <v>614.91</v>
      </c>
      <c r="J15">
        <v>146</v>
      </c>
      <c r="L15">
        <v>76.25</v>
      </c>
      <c r="P15">
        <v>218.83</v>
      </c>
      <c r="R15">
        <v>1354.3899999999999</v>
      </c>
    </row>
    <row r="16" spans="1:18">
      <c r="B16" t="s">
        <v>118</v>
      </c>
      <c r="C16">
        <v>266.39999999999998</v>
      </c>
      <c r="D16">
        <v>640.70000000000005</v>
      </c>
      <c r="E16">
        <v>307.39999999999998</v>
      </c>
      <c r="G16">
        <v>96</v>
      </c>
      <c r="R16">
        <v>1310.5</v>
      </c>
    </row>
    <row r="17" spans="2:18">
      <c r="B17" t="s">
        <v>342</v>
      </c>
      <c r="C17">
        <v>110.47</v>
      </c>
      <c r="D17">
        <v>226.05</v>
      </c>
      <c r="E17">
        <v>369.79</v>
      </c>
      <c r="G17">
        <v>252.05</v>
      </c>
      <c r="R17">
        <v>958.3599999999999</v>
      </c>
    </row>
    <row r="18" spans="2:18">
      <c r="B18" t="s">
        <v>166</v>
      </c>
      <c r="M18">
        <v>798.57</v>
      </c>
      <c r="O18">
        <v>22007.084199999998</v>
      </c>
      <c r="R18">
        <v>22805.654199999997</v>
      </c>
    </row>
    <row r="19" spans="2:18">
      <c r="B19" t="s">
        <v>165</v>
      </c>
      <c r="K19">
        <v>455.51</v>
      </c>
      <c r="M19">
        <v>219.17</v>
      </c>
      <c r="R19">
        <v>674.68</v>
      </c>
    </row>
    <row r="20" spans="2:18">
      <c r="B20" t="s">
        <v>192</v>
      </c>
      <c r="N20">
        <v>405.24</v>
      </c>
      <c r="O20">
        <v>1.8584357011958073</v>
      </c>
      <c r="P20">
        <v>138.35789400000002</v>
      </c>
      <c r="R20">
        <v>545.45632970119584</v>
      </c>
    </row>
    <row r="21" spans="2:18">
      <c r="B21" t="s">
        <v>158</v>
      </c>
      <c r="J21">
        <v>541.77800000000002</v>
      </c>
      <c r="R21">
        <v>541.77800000000002</v>
      </c>
    </row>
    <row r="22" spans="2:18">
      <c r="B22" t="s">
        <v>168</v>
      </c>
      <c r="M22">
        <v>465.39</v>
      </c>
      <c r="P22">
        <v>58.9</v>
      </c>
      <c r="R22">
        <v>524.29</v>
      </c>
    </row>
    <row r="23" spans="2:18">
      <c r="B23" t="s">
        <v>167</v>
      </c>
      <c r="L23">
        <v>467.59500000000003</v>
      </c>
      <c r="R23">
        <v>467.59500000000003</v>
      </c>
    </row>
    <row r="24" spans="2:18">
      <c r="B24" t="s">
        <v>193</v>
      </c>
      <c r="P24">
        <v>454.99</v>
      </c>
      <c r="R24">
        <v>454.99</v>
      </c>
    </row>
    <row r="25" spans="2:18">
      <c r="B25" t="s">
        <v>194</v>
      </c>
      <c r="E25">
        <v>420</v>
      </c>
      <c r="P25">
        <v>94.7</v>
      </c>
      <c r="R25">
        <v>514.70000000000005</v>
      </c>
    </row>
    <row r="26" spans="2:18">
      <c r="B26" t="s">
        <v>195</v>
      </c>
      <c r="M26">
        <v>414.81</v>
      </c>
      <c r="R26">
        <v>414.81</v>
      </c>
    </row>
    <row r="27" spans="2:18">
      <c r="B27" t="s">
        <v>488</v>
      </c>
      <c r="K27">
        <v>324.97000000000003</v>
      </c>
      <c r="R27">
        <v>324.97000000000003</v>
      </c>
    </row>
    <row r="28" spans="2:18">
      <c r="B28" t="s">
        <v>841</v>
      </c>
      <c r="E28">
        <v>289.52999999999997</v>
      </c>
      <c r="R28">
        <v>289.52999999999997</v>
      </c>
    </row>
    <row r="29" spans="2:18">
      <c r="B29" t="s">
        <v>496</v>
      </c>
      <c r="K29">
        <v>278.08999999999997</v>
      </c>
      <c r="R29">
        <v>278.08999999999997</v>
      </c>
    </row>
    <row r="30" spans="2:18">
      <c r="B30" t="s">
        <v>495</v>
      </c>
      <c r="C30">
        <v>267.10000000000002</v>
      </c>
      <c r="R30">
        <v>267.10000000000002</v>
      </c>
    </row>
    <row r="31" spans="2:18">
      <c r="B31" t="s">
        <v>494</v>
      </c>
      <c r="K31">
        <v>265.73</v>
      </c>
      <c r="R31">
        <v>265.73</v>
      </c>
    </row>
    <row r="32" spans="2:18">
      <c r="B32" t="s">
        <v>493</v>
      </c>
      <c r="N32">
        <v>253.10441416259999</v>
      </c>
      <c r="R32">
        <v>253.10441416259999</v>
      </c>
    </row>
    <row r="33" spans="1:18">
      <c r="B33" t="s">
        <v>424</v>
      </c>
      <c r="E33">
        <v>251.78</v>
      </c>
      <c r="R33">
        <v>251.78</v>
      </c>
    </row>
    <row r="34" spans="1:18">
      <c r="B34" t="s">
        <v>492</v>
      </c>
      <c r="J34">
        <v>251.32</v>
      </c>
      <c r="R34">
        <v>251.32</v>
      </c>
    </row>
    <row r="35" spans="1:18">
      <c r="B35" t="s">
        <v>842</v>
      </c>
      <c r="N35">
        <v>193.98</v>
      </c>
      <c r="O35">
        <v>3.3608159647788098</v>
      </c>
      <c r="P35">
        <v>31.454999999999998</v>
      </c>
      <c r="R35">
        <v>228.7958159647788</v>
      </c>
    </row>
    <row r="36" spans="1:18">
      <c r="B36" t="s">
        <v>361</v>
      </c>
      <c r="C36">
        <v>23.680175999999999</v>
      </c>
      <c r="D36">
        <v>133.71199999999999</v>
      </c>
      <c r="E36">
        <v>61.807823999999997</v>
      </c>
      <c r="R36">
        <v>219.2</v>
      </c>
    </row>
    <row r="37" spans="1:18">
      <c r="B37" t="s">
        <v>445</v>
      </c>
      <c r="P37">
        <v>198.32</v>
      </c>
      <c r="R37">
        <v>198.32</v>
      </c>
    </row>
    <row r="38" spans="1:18">
      <c r="B38" t="s">
        <v>491</v>
      </c>
      <c r="M38">
        <v>189.61</v>
      </c>
      <c r="R38">
        <v>189.61</v>
      </c>
    </row>
    <row r="42" spans="1:18">
      <c r="A42" t="s">
        <v>490</v>
      </c>
      <c r="C42">
        <v>119935.02007202005</v>
      </c>
    </row>
    <row r="43" spans="1:18">
      <c r="A43" t="s">
        <v>142</v>
      </c>
      <c r="C43">
        <v>20.770507520260843</v>
      </c>
    </row>
    <row r="44" spans="1:18">
      <c r="A44" t="s">
        <v>143</v>
      </c>
      <c r="C44">
        <v>60.816980161161311</v>
      </c>
    </row>
    <row r="45" spans="1:18">
      <c r="A45" t="s">
        <v>144</v>
      </c>
      <c r="C45">
        <v>82.127150146917685</v>
      </c>
    </row>
    <row r="46" spans="1:18">
      <c r="A46" t="s">
        <v>145</v>
      </c>
      <c r="C46">
        <v>41.873555470718998</v>
      </c>
    </row>
    <row r="47" spans="1:18" ht="19" customHeight="1">
      <c r="A47" t="s">
        <v>489</v>
      </c>
      <c r="C47">
        <v>25.758441700805552</v>
      </c>
    </row>
    <row r="48" spans="1:18">
      <c r="A48" t="s">
        <v>146</v>
      </c>
      <c r="C48">
        <v>1469.4872138433018</v>
      </c>
    </row>
    <row r="49" spans="1:3">
      <c r="A49" t="s">
        <v>147</v>
      </c>
      <c r="C49">
        <v>2624.1296950015067</v>
      </c>
    </row>
    <row r="50" spans="1:3">
      <c r="A50" t="s">
        <v>885</v>
      </c>
    </row>
  </sheetData>
  <pageMargins left="0.7" right="0.7" top="0.75" bottom="0.75" header="0.3" footer="0.3"/>
  <pageSetup orientation="portrait" horizontalDpi="0" verticalDpi="0"/>
  <headerFooter>
    <oddHeader>&amp;R&amp;"Calibri"&amp;12&amp;K000000 Unclassified / Non classifié&amp;1#_x000D_</oddHeader>
  </headerFooter>
  <legacy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D3FDF-CC6E-1E48-8356-12AF2412D28B}">
  <dimension ref="A1:N8"/>
  <sheetViews>
    <sheetView zoomScale="70" zoomScaleNormal="70" workbookViewId="0">
      <selection activeCell="G13" sqref="G13"/>
    </sheetView>
  </sheetViews>
  <sheetFormatPr baseColWidth="10" defaultColWidth="10.6640625" defaultRowHeight="16"/>
  <cols>
    <col min="1" max="1" width="10.83203125"/>
    <col min="2" max="2" width="11.33203125" bestFit="1" customWidth="1"/>
    <col min="3" max="8" width="11" bestFit="1" customWidth="1"/>
    <col min="9" max="10" width="11.1640625" bestFit="1" customWidth="1"/>
    <col min="11" max="11" width="11.33203125" bestFit="1" customWidth="1"/>
    <col min="12" max="13" width="11.1640625" bestFit="1" customWidth="1"/>
    <col min="14" max="14" width="11" bestFit="1" customWidth="1"/>
  </cols>
  <sheetData>
    <row r="1" spans="1:14">
      <c r="A1" t="s">
        <v>865</v>
      </c>
    </row>
    <row r="2" spans="1:14">
      <c r="B2" t="s">
        <v>241</v>
      </c>
      <c r="C2" t="s">
        <v>242</v>
      </c>
      <c r="D2" t="s">
        <v>265</v>
      </c>
      <c r="E2" t="s">
        <v>844</v>
      </c>
      <c r="F2" t="s">
        <v>254</v>
      </c>
      <c r="G2" t="s">
        <v>250</v>
      </c>
      <c r="H2" t="s">
        <v>261</v>
      </c>
      <c r="I2" t="s">
        <v>246</v>
      </c>
      <c r="J2" t="s">
        <v>252</v>
      </c>
      <c r="K2" t="s">
        <v>854</v>
      </c>
      <c r="L2" t="s">
        <v>247</v>
      </c>
      <c r="M2" t="s">
        <v>253</v>
      </c>
      <c r="N2" t="s">
        <v>855</v>
      </c>
    </row>
    <row r="3" spans="1:14">
      <c r="A3" t="s">
        <v>142</v>
      </c>
      <c r="B3" s="43">
        <v>0.112</v>
      </c>
      <c r="C3" s="43">
        <v>0.17899999999999999</v>
      </c>
      <c r="D3" s="43">
        <v>0.14599999999999999</v>
      </c>
      <c r="E3" s="43">
        <v>0.154</v>
      </c>
      <c r="F3" s="43">
        <v>0.19600000000000001</v>
      </c>
      <c r="G3" s="43">
        <v>0.21099999999999999</v>
      </c>
      <c r="H3" s="43">
        <v>0.26100000000000001</v>
      </c>
      <c r="I3" s="43">
        <v>0.23</v>
      </c>
      <c r="J3" s="43">
        <v>0.25</v>
      </c>
      <c r="K3" s="43">
        <v>0.182</v>
      </c>
      <c r="L3" s="43">
        <v>0.317</v>
      </c>
      <c r="M3" s="43">
        <v>0.32</v>
      </c>
      <c r="N3" s="43">
        <v>0.47199999999999998</v>
      </c>
    </row>
    <row r="4" spans="1:14">
      <c r="A4" t="s">
        <v>143</v>
      </c>
      <c r="B4" s="43">
        <v>0.32900000000000001</v>
      </c>
      <c r="C4" s="43">
        <v>0.42</v>
      </c>
      <c r="D4" s="43">
        <v>0.39200000000000002</v>
      </c>
      <c r="E4" s="43">
        <v>0.40899999999999997</v>
      </c>
      <c r="F4" s="43">
        <v>0.42699999999999999</v>
      </c>
      <c r="G4" s="43">
        <v>0.54200000000000004</v>
      </c>
      <c r="H4" s="43">
        <v>0.56200000000000006</v>
      </c>
      <c r="I4" s="43">
        <v>0.60699999999999998</v>
      </c>
      <c r="J4" s="43">
        <v>0.57999999999999996</v>
      </c>
      <c r="K4" s="43">
        <v>0.46800000000000003</v>
      </c>
      <c r="L4" s="43">
        <v>0.70099999999999996</v>
      </c>
      <c r="M4" s="43">
        <v>0.82599999999999996</v>
      </c>
      <c r="N4" s="43">
        <v>0.72699999999999998</v>
      </c>
    </row>
    <row r="5" spans="1:14">
      <c r="A5" t="s">
        <v>144</v>
      </c>
      <c r="B5" s="43">
        <v>0.54500000000000004</v>
      </c>
      <c r="C5" s="43">
        <v>0.65400000000000003</v>
      </c>
      <c r="D5" s="43">
        <v>0.57599999999999996</v>
      </c>
      <c r="E5" s="43">
        <v>0.56000000000000005</v>
      </c>
      <c r="F5" s="43">
        <v>0.67300000000000004</v>
      </c>
      <c r="G5" s="43">
        <v>0.77600000000000002</v>
      </c>
      <c r="H5" s="43">
        <v>0.747</v>
      </c>
      <c r="I5" s="43">
        <v>0.79600000000000004</v>
      </c>
      <c r="J5" s="43">
        <v>0.84</v>
      </c>
      <c r="K5" s="43">
        <v>0.65800000000000003</v>
      </c>
      <c r="L5" s="43">
        <v>0.82099999999999995</v>
      </c>
      <c r="M5" s="43">
        <v>0.99399999999999999</v>
      </c>
      <c r="N5" s="43">
        <v>0.92900000000000005</v>
      </c>
    </row>
    <row r="6" spans="1:14">
      <c r="A6" t="s">
        <v>845</v>
      </c>
      <c r="B6" s="43">
        <v>0.183</v>
      </c>
      <c r="C6" s="43">
        <v>0.29599999999999999</v>
      </c>
      <c r="D6" t="s">
        <v>846</v>
      </c>
      <c r="F6" s="43">
        <v>0.10199999999999999</v>
      </c>
      <c r="G6" s="43">
        <v>0.12</v>
      </c>
      <c r="H6" s="43">
        <v>0.21199999999999999</v>
      </c>
      <c r="I6" s="43">
        <v>0.189</v>
      </c>
      <c r="J6" s="43">
        <v>0.19</v>
      </c>
      <c r="K6" s="43">
        <v>0.14399999999999999</v>
      </c>
      <c r="L6" s="43">
        <v>0.106</v>
      </c>
      <c r="M6" s="43">
        <v>0.13100000000000001</v>
      </c>
      <c r="N6" s="43">
        <v>0.17299999999999999</v>
      </c>
    </row>
    <row r="7" spans="1:14">
      <c r="A7" t="s">
        <v>146</v>
      </c>
      <c r="B7">
        <v>384.5</v>
      </c>
      <c r="C7">
        <v>648</v>
      </c>
      <c r="D7">
        <v>492.6</v>
      </c>
      <c r="E7">
        <v>542.20000000000005</v>
      </c>
      <c r="F7">
        <v>689</v>
      </c>
      <c r="G7">
        <v>935.3</v>
      </c>
      <c r="H7">
        <v>1076.7</v>
      </c>
      <c r="I7">
        <v>1263.3</v>
      </c>
      <c r="J7">
        <v>1167</v>
      </c>
      <c r="K7">
        <v>691.3</v>
      </c>
      <c r="L7">
        <v>1662.6</v>
      </c>
      <c r="M7">
        <v>2165.9</v>
      </c>
      <c r="N7">
        <v>2552.6</v>
      </c>
    </row>
    <row r="8" spans="1:14">
      <c r="A8" t="s">
        <v>147</v>
      </c>
      <c r="B8">
        <v>2027</v>
      </c>
      <c r="C8">
        <v>2097.9</v>
      </c>
      <c r="D8">
        <v>2153.8000000000002</v>
      </c>
      <c r="E8" t="s">
        <v>846</v>
      </c>
      <c r="F8" t="s">
        <v>846</v>
      </c>
      <c r="G8" t="s">
        <v>846</v>
      </c>
      <c r="H8" t="s">
        <v>846</v>
      </c>
      <c r="I8">
        <v>2502.1</v>
      </c>
      <c r="J8">
        <v>3677.2</v>
      </c>
      <c r="K8">
        <v>3936.4</v>
      </c>
      <c r="L8" t="s">
        <v>846</v>
      </c>
      <c r="M8" t="s">
        <v>846</v>
      </c>
      <c r="N8">
        <v>5033.8999999999996</v>
      </c>
    </row>
  </sheetData>
  <pageMargins left="0.7" right="0.7" top="0.75" bottom="0.75" header="0.3" footer="0.3"/>
  <headerFooter>
    <oddHeader>&amp;R&amp;"Calibri"&amp;12&amp;K000000 Unclassified / Non classifié&amp;1#_x000D_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86</vt:i4>
      </vt:variant>
      <vt:variant>
        <vt:lpstr>Named Ranges</vt:lpstr>
      </vt:variant>
      <vt:variant>
        <vt:i4>2</vt:i4>
      </vt:variant>
    </vt:vector>
  </HeadingPairs>
  <TitlesOfParts>
    <vt:vector size="88" baseType="lpstr">
      <vt:lpstr>Table of Contents</vt:lpstr>
      <vt:lpstr>Figure 1 Sectors Covered</vt:lpstr>
      <vt:lpstr>Figure 2 Development</vt:lpstr>
      <vt:lpstr>Figure 3 GSDR</vt:lpstr>
      <vt:lpstr>Figure 4 Household Spending </vt:lpstr>
      <vt:lpstr>Fig 5 Leading Companies</vt:lpstr>
      <vt:lpstr>Figure 6 Conc RankingsHHI</vt:lpstr>
      <vt:lpstr>Figure 7 1969 Media Economy</vt:lpstr>
      <vt:lpstr>Figure 8 Leading BC&amp;Pubs</vt:lpstr>
      <vt:lpstr>Figure 9  Leading Mediacos</vt:lpstr>
      <vt:lpstr>Fig 10 MediaEcon 1969v84v96</vt:lpstr>
      <vt:lpstr>Fig 11 Major Comms+Media M&amp;A</vt:lpstr>
      <vt:lpstr>Figure 12 Can vs US VI</vt:lpstr>
      <vt:lpstr>Figure 13 Com vs Content</vt:lpstr>
      <vt:lpstr>Figure 14 VI vs Big Tech</vt:lpstr>
      <vt:lpstr>Figure 15 NME All Sector $</vt:lpstr>
      <vt:lpstr>Figure 16  Telecom+ISP $</vt:lpstr>
      <vt:lpstr>Figure 17 Network Conn Subs</vt:lpstr>
      <vt:lpstr>Figure 18 Network Conn $</vt:lpstr>
      <vt:lpstr>Figure 19 CR4 Telecom+Internet</vt:lpstr>
      <vt:lpstr>Figure 20 HHI Telecom+Internet</vt:lpstr>
      <vt:lpstr>Figure 21 Biggest Mobile Mrkts</vt:lpstr>
      <vt:lpstr>Figure 22 Comm Serv vs CPI</vt:lpstr>
      <vt:lpstr>Figure 23 ARPU</vt:lpstr>
      <vt:lpstr>Figure 24 ICT Income</vt:lpstr>
      <vt:lpstr>Fig 25 OECD Mobile Adoption</vt:lpstr>
      <vt:lpstr>Figure 26 Mobile Data Usage</vt:lpstr>
      <vt:lpstr>Figure 27 Nat'l Wireless Mrkt </vt:lpstr>
      <vt:lpstr>Figure 28 Prov Wireless Subs</vt:lpstr>
      <vt:lpstr>Figure 29 Prov Wireless $</vt:lpstr>
      <vt:lpstr>Figure 30 IPTV Subs</vt:lpstr>
      <vt:lpstr>Figure 31 IPTV $</vt:lpstr>
      <vt:lpstr>Figure 32 BDU $</vt:lpstr>
      <vt:lpstr>Figure 33 BDU RS Before After</vt:lpstr>
      <vt:lpstr>Fig 34 Cable vs Telcos</vt:lpstr>
      <vt:lpstr>Figure 35 HSIA</vt:lpstr>
      <vt:lpstr>Figure 36 Fibre Broadband</vt:lpstr>
      <vt:lpstr>Figure 37 ISP MS Subs</vt:lpstr>
      <vt:lpstr>Fig38 RS ISP Before-After</vt:lpstr>
      <vt:lpstr>Figure 39 Content Media $</vt:lpstr>
      <vt:lpstr>Figure 40 OnlineVsLegacymedia</vt:lpstr>
      <vt:lpstr>Figure 41 Rise &amp; Fall of Ad Med</vt:lpstr>
      <vt:lpstr>Figure 42 Internet ad$vsallad$</vt:lpstr>
      <vt:lpstr>Figure 43 Ad $ vs GDI</vt:lpstr>
      <vt:lpstr>Figure 44 Adv % Media Economy</vt:lpstr>
      <vt:lpstr>Figure 45 Adv per Capita </vt:lpstr>
      <vt:lpstr>Fig 46 Internet Ad$ </vt:lpstr>
      <vt:lpstr>Figure 47 Search Engine DT MS</vt:lpstr>
      <vt:lpstr>Figure 48 Google Ad Tech Stack</vt:lpstr>
      <vt:lpstr>Figure 49 Social Media </vt:lpstr>
      <vt:lpstr>Figure 50 Facebook Growth</vt:lpstr>
      <vt:lpstr>Figure 51 Total Ad$ ConMetrics </vt:lpstr>
      <vt:lpstr>Figure 52 CR1, 4 &amp; 10</vt:lpstr>
      <vt:lpstr>Figure 53 Radio Recomposed</vt:lpstr>
      <vt:lpstr>Figure 54 Online Video $</vt:lpstr>
      <vt:lpstr>Figure 55 OVS Conc $</vt:lpstr>
      <vt:lpstr>Figure 56 OVS Conc Subs MS</vt:lpstr>
      <vt:lpstr>Figure 57 OVD MrktShare $ w YT</vt:lpstr>
      <vt:lpstr>Figure58 GrowthUpheavaTV Mrkt</vt:lpstr>
      <vt:lpstr>Figure 59 TV ownership, 84-23</vt:lpstr>
      <vt:lpstr>Figure 60 CR ScoresTV</vt:lpstr>
      <vt:lpstr>Figure 61 HHI ScoresTV</vt:lpstr>
      <vt:lpstr>Figure 62 TV+Film Prod</vt:lpstr>
      <vt:lpstr>Figure 63 PayingforTV</vt:lpstr>
      <vt:lpstr>Figure 64 Newspaper $</vt:lpstr>
      <vt:lpstr>Figure 65 Journos vs PR  </vt:lpstr>
      <vt:lpstr>Figure 66 Internet News</vt:lpstr>
      <vt:lpstr>Figure 67 App Store &amp; Game $</vt:lpstr>
      <vt:lpstr>Figure 68 Gaming Industry $</vt:lpstr>
      <vt:lpstr>Figure 69 GameCos</vt:lpstr>
      <vt:lpstr>Figure 70 Games ConcMetric</vt:lpstr>
      <vt:lpstr>Figure 71 Total Music $</vt:lpstr>
      <vt:lpstr>Figure72 StreamingMusic+Publish</vt:lpstr>
      <vt:lpstr>Figure 73 MusicChange</vt:lpstr>
      <vt:lpstr>Figure 74  Leading Music Cos</vt:lpstr>
      <vt:lpstr>Figure 75 Online Media Economy</vt:lpstr>
      <vt:lpstr>Figure 76 Top InternetCos</vt:lpstr>
      <vt:lpstr>Figure 77 Top internetcos ranke</vt:lpstr>
      <vt:lpstr>Figure 78 Leading Content Cos</vt:lpstr>
      <vt:lpstr>Figure 79 Online digital media</vt:lpstr>
      <vt:lpstr>Figure 80 Dig+Legacy HHI&amp;CR4</vt:lpstr>
      <vt:lpstr>Figure 81 CR1, 4 &amp; 10</vt:lpstr>
      <vt:lpstr>Figure 82 NME CR4&amp;HHI</vt:lpstr>
      <vt:lpstr>Figure 83  Cloud computing $</vt:lpstr>
      <vt:lpstr>Figure 84 Top Cos with Cloud</vt:lpstr>
      <vt:lpstr>Figure 85 Select Intl Compari</vt:lpstr>
      <vt:lpstr>'Figure 7 1969 Media Economy'!Print_Area</vt:lpstr>
      <vt:lpstr>'Figure 9  Leading Mediacos'!Print_Area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dc:creator>
  <cp:lastModifiedBy>Agnes Malkinson</cp:lastModifiedBy>
  <cp:lastPrinted>2024-12-09T03:39:21Z</cp:lastPrinted>
  <dcterms:created xsi:type="dcterms:W3CDTF">2024-11-13T00:11:17Z</dcterms:created>
  <dcterms:modified xsi:type="dcterms:W3CDTF">2025-04-08T02:25:39Z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d8ed60-cd71-485b-a85b-277aaf32f506_Enabled">
    <vt:lpwstr>true</vt:lpwstr>
  </property>
  <property fmtid="{D5CDD505-2E9C-101B-9397-08002B2CF9AE}" pid="3" name="MSIP_Label_05d8ed60-cd71-485b-a85b-277aaf32f506_SetDate">
    <vt:lpwstr>2024-12-11T00:02:20Z</vt:lpwstr>
  </property>
  <property fmtid="{D5CDD505-2E9C-101B-9397-08002B2CF9AE}" pid="4" name="MSIP_Label_05d8ed60-cd71-485b-a85b-277aaf32f506_Method">
    <vt:lpwstr>Standard</vt:lpwstr>
  </property>
  <property fmtid="{D5CDD505-2E9C-101B-9397-08002B2CF9AE}" pid="5" name="MSIP_Label_05d8ed60-cd71-485b-a85b-277aaf32f506_Name">
    <vt:lpwstr>Unclassified</vt:lpwstr>
  </property>
  <property fmtid="{D5CDD505-2E9C-101B-9397-08002B2CF9AE}" pid="6" name="MSIP_Label_05d8ed60-cd71-485b-a85b-277aaf32f506_SiteId">
    <vt:lpwstr>42fd9015-de4d-4223-a368-baeacab48927</vt:lpwstr>
  </property>
  <property fmtid="{D5CDD505-2E9C-101B-9397-08002B2CF9AE}" pid="7" name="MSIP_Label_05d8ed60-cd71-485b-a85b-277aaf32f506_ActionId">
    <vt:lpwstr>303ed401-cf1f-410e-a47a-dce8336ef2bb</vt:lpwstr>
  </property>
  <property fmtid="{D5CDD505-2E9C-101B-9397-08002B2CF9AE}" pid="8" name="MSIP_Label_05d8ed60-cd71-485b-a85b-277aaf32f506_ContentBits">
    <vt:lpwstr>1</vt:lpwstr>
  </property>
</Properties>
</file>