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gnesmalkinson/Documents/GMCIP/2023 reports/France/For upload/"/>
    </mc:Choice>
  </mc:AlternateContent>
  <xr:revisionPtr revIDLastSave="0" documentId="13_ncr:1_{86D5DACF-CAA2-7740-807C-BE6A9FD17FC2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Table of contents" sheetId="25" r:id="rId1"/>
    <sheet name="Figure 1" sheetId="24" r:id="rId2"/>
    <sheet name="Figure 2" sheetId="23" r:id="rId3"/>
    <sheet name="Figure 3" sheetId="10" r:id="rId4"/>
    <sheet name="Figure 4" sheetId="17" r:id="rId5"/>
    <sheet name="Figure 5" sheetId="18" r:id="rId6"/>
    <sheet name="Figure 6" sheetId="19" r:id="rId7"/>
    <sheet name="Figure 7" sheetId="20" r:id="rId8"/>
    <sheet name="Figure 8" sheetId="21" r:id="rId9"/>
    <sheet name="Figure 9" sheetId="22" r:id="rId10"/>
    <sheet name="Figure 10" sheetId="11" r:id="rId11"/>
    <sheet name="Figure 11" sheetId="4" r:id="rId12"/>
    <sheet name="Figure 12" sheetId="5" r:id="rId13"/>
    <sheet name="Figure 13" sheetId="6" r:id="rId14"/>
    <sheet name="Figure 14" sheetId="7" r:id="rId15"/>
    <sheet name="Figure 15" sheetId="3" r:id="rId16"/>
    <sheet name="Figure 16" sheetId="8" r:id="rId17"/>
    <sheet name="Figure 17" sheetId="9" r:id="rId18"/>
    <sheet name="Figure 18" sheetId="12" r:id="rId19"/>
    <sheet name="Figure 19" sheetId="13" r:id="rId20"/>
    <sheet name="Figure 20" sheetId="14" r:id="rId21"/>
    <sheet name="Figure 21" sheetId="15" r:id="rId22"/>
    <sheet name="Figure 22" sheetId="16" r:id="rId23"/>
  </sheets>
  <definedNames>
    <definedName name="OLE_LINK1" localSheetId="2">'Figure 2'!$A$1</definedName>
    <definedName name="OLE_LINK2" localSheetId="0">'Table of contents'!$A$21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6" l="1"/>
  <c r="K8" i="16"/>
  <c r="M8" i="16"/>
  <c r="N8" i="16"/>
  <c r="M11" i="16"/>
  <c r="N11" i="16"/>
  <c r="H14" i="16"/>
  <c r="K14" i="16"/>
  <c r="M14" i="16"/>
  <c r="N14" i="16"/>
  <c r="H15" i="16"/>
  <c r="N15" i="16"/>
  <c r="I20" i="16"/>
  <c r="N20" i="16"/>
  <c r="I23" i="16"/>
  <c r="K23" i="16"/>
  <c r="N23" i="16"/>
  <c r="B25" i="16"/>
  <c r="N25" i="16" s="1"/>
  <c r="C25" i="16"/>
  <c r="D25" i="16"/>
  <c r="E25" i="16"/>
  <c r="F25" i="16"/>
  <c r="G25" i="16"/>
  <c r="H25" i="16"/>
  <c r="I25" i="16"/>
  <c r="J25" i="16"/>
  <c r="K25" i="16"/>
  <c r="L25" i="16"/>
  <c r="M25" i="16"/>
  <c r="B3" i="16"/>
  <c r="C3" i="16"/>
  <c r="N3" i="16" s="1"/>
  <c r="D3" i="16"/>
  <c r="E3" i="16"/>
  <c r="G3" i="16"/>
  <c r="K3" i="16"/>
  <c r="B4" i="16"/>
  <c r="C4" i="16"/>
  <c r="D4" i="16"/>
  <c r="N4" i="16" s="1"/>
  <c r="E4" i="16"/>
  <c r="F4" i="16"/>
  <c r="G4" i="16"/>
  <c r="B5" i="16"/>
  <c r="C5" i="16"/>
  <c r="D5" i="16"/>
  <c r="E5" i="16"/>
  <c r="N5" i="16" s="1"/>
  <c r="F5" i="16"/>
  <c r="G5" i="16"/>
  <c r="B6" i="16"/>
  <c r="C6" i="16"/>
  <c r="D6" i="16"/>
  <c r="E6" i="16"/>
  <c r="N6" i="16"/>
  <c r="E7" i="16"/>
  <c r="N7" i="16" s="1"/>
  <c r="F7" i="16"/>
  <c r="G7" i="16"/>
  <c r="H7" i="16"/>
  <c r="K7" i="16"/>
  <c r="L7" i="16"/>
  <c r="J9" i="16"/>
  <c r="N9" i="16" s="1"/>
  <c r="L9" i="16"/>
  <c r="F13" i="16"/>
  <c r="N13" i="16" s="1"/>
  <c r="G13" i="16"/>
  <c r="J13" i="16"/>
  <c r="F10" i="16"/>
  <c r="N10" i="16" s="1"/>
  <c r="O10" i="16" s="1"/>
  <c r="P10" i="16" s="1"/>
  <c r="I12" i="16"/>
  <c r="N12" i="16"/>
  <c r="E16" i="16"/>
  <c r="N16" i="16" s="1"/>
  <c r="O16" i="16" s="1"/>
  <c r="P16" i="16" s="1"/>
  <c r="J17" i="16"/>
  <c r="N17" i="16" s="1"/>
  <c r="I18" i="16"/>
  <c r="N18" i="16" s="1"/>
  <c r="I19" i="16"/>
  <c r="N19" i="16" s="1"/>
  <c r="H21" i="16"/>
  <c r="N21" i="16" s="1"/>
  <c r="K22" i="16"/>
  <c r="N22" i="16"/>
  <c r="N24" i="16"/>
  <c r="B3" i="13"/>
  <c r="D17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B17" i="24"/>
  <c r="C17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  <c r="F4" i="23"/>
  <c r="F5" i="23"/>
  <c r="F6" i="23"/>
  <c r="F7" i="23"/>
  <c r="F8" i="23"/>
  <c r="F9" i="23"/>
  <c r="F3" i="23"/>
  <c r="B10" i="10"/>
  <c r="B9" i="10"/>
  <c r="B8" i="10"/>
  <c r="B7" i="10"/>
  <c r="B6" i="10"/>
  <c r="B5" i="10"/>
  <c r="B4" i="10"/>
  <c r="B3" i="10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D9" i="19"/>
  <c r="E9" i="19" s="1"/>
  <c r="D8" i="19"/>
  <c r="D7" i="19"/>
  <c r="D6" i="19"/>
  <c r="D5" i="19"/>
  <c r="D4" i="19"/>
  <c r="D3" i="19"/>
  <c r="E3" i="19" s="1"/>
  <c r="C9" i="19"/>
  <c r="C8" i="19"/>
  <c r="C7" i="19"/>
  <c r="C6" i="19"/>
  <c r="C5" i="19"/>
  <c r="C4" i="19"/>
  <c r="C3" i="19"/>
  <c r="B9" i="19"/>
  <c r="B8" i="19"/>
  <c r="B7" i="19"/>
  <c r="E7" i="19" s="1"/>
  <c r="B6" i="19"/>
  <c r="E6" i="19" s="1"/>
  <c r="B5" i="19"/>
  <c r="E5" i="19" s="1"/>
  <c r="B4" i="19"/>
  <c r="E4" i="19" s="1"/>
  <c r="B3" i="19"/>
  <c r="B9" i="18"/>
  <c r="B8" i="18"/>
  <c r="B7" i="18"/>
  <c r="B6" i="18"/>
  <c r="B5" i="18"/>
  <c r="B4" i="18"/>
  <c r="B3" i="18"/>
  <c r="B2" i="18"/>
  <c r="E8" i="19"/>
  <c r="D11" i="22"/>
  <c r="C11" i="22"/>
  <c r="B11" i="22"/>
  <c r="D10" i="22"/>
  <c r="C10" i="22"/>
  <c r="B10" i="22"/>
  <c r="D9" i="22"/>
  <c r="C9" i="22"/>
  <c r="B9" i="22"/>
  <c r="D8" i="22"/>
  <c r="C8" i="22"/>
  <c r="B8" i="22"/>
  <c r="D7" i="22"/>
  <c r="C7" i="22"/>
  <c r="C12" i="22" s="1"/>
  <c r="B7" i="22"/>
  <c r="D6" i="22"/>
  <c r="C6" i="22"/>
  <c r="B6" i="22"/>
  <c r="D5" i="22"/>
  <c r="C5" i="22"/>
  <c r="B5" i="22"/>
  <c r="B12" i="22" s="1"/>
  <c r="D4" i="22"/>
  <c r="D12" i="22" s="1"/>
  <c r="C4" i="22"/>
  <c r="B4" i="22"/>
  <c r="D3" i="22"/>
  <c r="C3" i="22"/>
  <c r="B3" i="22"/>
  <c r="E7" i="21"/>
  <c r="E6" i="21"/>
  <c r="E5" i="21"/>
  <c r="E4" i="21"/>
  <c r="E3" i="21"/>
  <c r="D6" i="14"/>
  <c r="C6" i="14"/>
  <c r="B6" i="14"/>
  <c r="E6" i="11"/>
  <c r="D6" i="11"/>
  <c r="G5" i="11"/>
  <c r="F5" i="11"/>
  <c r="E5" i="11"/>
  <c r="D5" i="11"/>
  <c r="C5" i="11"/>
  <c r="B5" i="11"/>
  <c r="G4" i="11"/>
  <c r="F4" i="11"/>
  <c r="E4" i="11"/>
  <c r="D4" i="11"/>
  <c r="C4" i="11"/>
  <c r="C6" i="11" s="1"/>
  <c r="B4" i="11"/>
  <c r="G3" i="11"/>
  <c r="G6" i="11" s="1"/>
  <c r="F3" i="11"/>
  <c r="F6" i="11" s="1"/>
  <c r="E3" i="11"/>
  <c r="D3" i="11"/>
  <c r="C3" i="11"/>
  <c r="B3" i="11"/>
  <c r="B6" i="11" s="1"/>
  <c r="D4" i="6"/>
  <c r="D5" i="6"/>
  <c r="C4" i="6"/>
  <c r="C5" i="6" s="1"/>
  <c r="B4" i="6"/>
  <c r="B5" i="6" s="1"/>
  <c r="D11" i="3"/>
  <c r="E13" i="3"/>
  <c r="E12" i="3"/>
  <c r="E11" i="3"/>
  <c r="E10" i="3"/>
  <c r="D13" i="3"/>
  <c r="D12" i="3"/>
  <c r="D10" i="3"/>
  <c r="C10" i="3"/>
  <c r="B13" i="3"/>
  <c r="C13" i="3"/>
  <c r="C12" i="3"/>
  <c r="C11" i="3"/>
  <c r="B12" i="3"/>
  <c r="B11" i="3"/>
  <c r="B10" i="3"/>
  <c r="N28" i="16" l="1"/>
  <c r="N27" i="16"/>
  <c r="O8" i="16"/>
  <c r="P8" i="16" s="1"/>
  <c r="O12" i="16"/>
  <c r="P12" i="16" s="1"/>
  <c r="O20" i="16"/>
  <c r="P20" i="16" s="1"/>
  <c r="O17" i="16"/>
  <c r="P17" i="16" s="1"/>
  <c r="O6" i="16"/>
  <c r="P6" i="16" s="1"/>
  <c r="O15" i="16"/>
  <c r="P15" i="16" s="1"/>
  <c r="N30" i="16"/>
  <c r="O9" i="16"/>
  <c r="P9" i="16" s="1"/>
  <c r="N29" i="16"/>
  <c r="O24" i="16"/>
  <c r="P24" i="16" s="1"/>
  <c r="O14" i="16"/>
  <c r="P14" i="16" s="1"/>
  <c r="O22" i="16"/>
  <c r="P22" i="16" s="1"/>
  <c r="O23" i="16"/>
  <c r="P23" i="16" s="1"/>
  <c r="O21" i="16"/>
  <c r="P21" i="16" s="1"/>
  <c r="N26" i="16"/>
  <c r="O3" i="16"/>
  <c r="P3" i="16" s="1"/>
  <c r="H5" i="11"/>
  <c r="H4" i="11"/>
  <c r="O19" i="16"/>
  <c r="P19" i="16" s="1"/>
  <c r="O4" i="16"/>
  <c r="P4" i="16" s="1"/>
  <c r="O11" i="16"/>
  <c r="P11" i="16" s="1"/>
  <c r="O18" i="16"/>
  <c r="P18" i="16" s="1"/>
  <c r="O13" i="16"/>
  <c r="P13" i="16" s="1"/>
  <c r="O7" i="16"/>
  <c r="P7" i="16" s="1"/>
  <c r="O5" i="16"/>
  <c r="P5" i="16" s="1"/>
  <c r="H3" i="11"/>
  <c r="H6" i="11" s="1"/>
  <c r="P25" i="16" l="1"/>
</calcChain>
</file>

<file path=xl/sharedStrings.xml><?xml version="1.0" encoding="utf-8"?>
<sst xmlns="http://schemas.openxmlformats.org/spreadsheetml/2006/main" count="359" uniqueCount="218">
  <si>
    <t>Wireline</t>
  </si>
  <si>
    <t>Wireless</t>
  </si>
  <si>
    <t>Internet Service Providers</t>
  </si>
  <si>
    <t>Multichannel Video Distribution</t>
  </si>
  <si>
    <t>Internet Access</t>
  </si>
  <si>
    <t>Radio</t>
  </si>
  <si>
    <t>Newspapers</t>
  </si>
  <si>
    <t>Magazines</t>
  </si>
  <si>
    <t>Internet Advertising</t>
  </si>
  <si>
    <t>Digital Games</t>
  </si>
  <si>
    <t xml:space="preserve">Total </t>
  </si>
  <si>
    <t>Broadcast TV</t>
  </si>
  <si>
    <t>Online Video Services</t>
  </si>
  <si>
    <t>Pay Programming TV Services</t>
  </si>
  <si>
    <t>App Distribution</t>
  </si>
  <si>
    <t>Search Engines-Mobile</t>
  </si>
  <si>
    <t>Search Engines</t>
  </si>
  <si>
    <t>Social Media Platforms</t>
  </si>
  <si>
    <t>Mobile OS</t>
  </si>
  <si>
    <t>Desktop OS</t>
  </si>
  <si>
    <t>Mobile Browsers</t>
  </si>
  <si>
    <t>Desktop Browsers</t>
  </si>
  <si>
    <t>Online News Media</t>
  </si>
  <si>
    <t>Total Network Media Economy ($ millions)</t>
  </si>
  <si>
    <t xml:space="preserve"> Network Media Economy CR4</t>
  </si>
  <si>
    <t>Telecoms &amp; Internet Access HHI</t>
  </si>
  <si>
    <t>Core Internet Sectors</t>
  </si>
  <si>
    <t>Audiovisual Media + Publishing</t>
  </si>
  <si>
    <t xml:space="preserve">Multichannel Video Distribution </t>
  </si>
  <si>
    <t>Total</t>
  </si>
  <si>
    <t>ISP</t>
  </si>
  <si>
    <t>Broadcast Radio</t>
  </si>
  <si>
    <t>Music Services</t>
  </si>
  <si>
    <t>Netflix</t>
  </si>
  <si>
    <t>Amazon</t>
  </si>
  <si>
    <t>Apple</t>
  </si>
  <si>
    <t>Microsoft</t>
  </si>
  <si>
    <t>Total Network Media Economy (millions)</t>
  </si>
  <si>
    <t>CR1</t>
  </si>
  <si>
    <t>CR4</t>
  </si>
  <si>
    <t>CR10</t>
  </si>
  <si>
    <t>GAFAM + Netflix</t>
  </si>
  <si>
    <t>HHI</t>
  </si>
  <si>
    <t>Vertically Integrated Companies</t>
  </si>
  <si>
    <t>Telecoms &amp; Internet Access</t>
  </si>
  <si>
    <t>Orange</t>
  </si>
  <si>
    <t>Bouygues Telecom</t>
  </si>
  <si>
    <t>Vivendi</t>
  </si>
  <si>
    <t>ISPs</t>
  </si>
  <si>
    <t>Others</t>
  </si>
  <si>
    <t>HHI normalisé</t>
  </si>
  <si>
    <t>Pay TV</t>
  </si>
  <si>
    <t>Books</t>
  </si>
  <si>
    <t>Digital Music Services</t>
  </si>
  <si>
    <t>0.01</t>
  </si>
  <si>
    <t>0.69</t>
  </si>
  <si>
    <t>0.03</t>
  </si>
  <si>
    <t>0.07</t>
  </si>
  <si>
    <t>0.02</t>
  </si>
  <si>
    <t>Audiovisual &amp; Publishing Media</t>
  </si>
  <si>
    <t>Iliad</t>
  </si>
  <si>
    <t>Bouygues</t>
  </si>
  <si>
    <t>Eutel Sat</t>
  </si>
  <si>
    <t>Altice</t>
  </si>
  <si>
    <t>France TV</t>
  </si>
  <si>
    <t>Mediawan</t>
  </si>
  <si>
    <t>Nintendo</t>
  </si>
  <si>
    <t>Electronic Arts</t>
  </si>
  <si>
    <t>Ubisoft</t>
  </si>
  <si>
    <t>Radio France</t>
  </si>
  <si>
    <t>Spotify</t>
  </si>
  <si>
    <t>Alphabet</t>
  </si>
  <si>
    <t>Meta</t>
  </si>
  <si>
    <t>Pay TV Services</t>
  </si>
  <si>
    <t>Lagardere *</t>
  </si>
  <si>
    <t>Walt Disney</t>
  </si>
  <si>
    <t>Telecoms + Internet Access</t>
  </si>
  <si>
    <t>Marketshare 2021</t>
  </si>
  <si>
    <t>Search engines</t>
  </si>
  <si>
    <t>Social Netorks</t>
  </si>
  <si>
    <t>Display</t>
  </si>
  <si>
    <t>E-Mailing</t>
  </si>
  <si>
    <t>Windows</t>
  </si>
  <si>
    <t>OS X</t>
  </si>
  <si>
    <t>Linux</t>
  </si>
  <si>
    <t>Chrome OS</t>
  </si>
  <si>
    <t>75.15</t>
  </si>
  <si>
    <t>18.81</t>
  </si>
  <si>
    <t>2.29</t>
  </si>
  <si>
    <t>72.69</t>
  </si>
  <si>
    <t>23.29</t>
  </si>
  <si>
    <t>2.04</t>
  </si>
  <si>
    <t>0.37</t>
  </si>
  <si>
    <t>73.87</t>
  </si>
  <si>
    <t>20.57</t>
  </si>
  <si>
    <t>1.97</t>
  </si>
  <si>
    <t>0.25</t>
  </si>
  <si>
    <t>76.52</t>
  </si>
  <si>
    <t>18.73</t>
  </si>
  <si>
    <t>1.82</t>
  </si>
  <si>
    <t>0.24</t>
  </si>
  <si>
    <t>78.04</t>
  </si>
  <si>
    <t>18.29</t>
  </si>
  <si>
    <t>2.16</t>
  </si>
  <si>
    <t>79.31</t>
  </si>
  <si>
    <t>16.15</t>
  </si>
  <si>
    <t>0.20</t>
  </si>
  <si>
    <t>Year</t>
  </si>
  <si>
    <t>Figure 14: CR4 Scores for Core Internet Sectors, 2019-2021</t>
  </si>
  <si>
    <t>Figure 21: CR4 Scores for the Network Media Economy, 2019-2021</t>
  </si>
  <si>
    <t>Figure 1: Evolution of France global market revenues 2017-2021 (current US$, millions)</t>
  </si>
  <si>
    <t>Figure 2: Revenues for the telecom and internet access services, 2019-2021 (current US$, millions)</t>
  </si>
  <si>
    <t>Table of Contents</t>
  </si>
  <si>
    <r>
      <t>Figure 3a: Evolution of wireline services revenues</t>
    </r>
    <r>
      <rPr>
        <b/>
        <sz val="11"/>
        <color theme="1"/>
        <rFont val="Open Sans SemiBold"/>
      </rPr>
      <t xml:space="preserve"> - France </t>
    </r>
    <r>
      <rPr>
        <sz val="12"/>
        <color theme="1"/>
        <rFont val="Open Sans SemiBold"/>
      </rPr>
      <t xml:space="preserve">2015-2022 </t>
    </r>
    <r>
      <rPr>
        <b/>
        <sz val="11"/>
        <color theme="1"/>
        <rFont val="Open Sans SemiBold"/>
      </rPr>
      <t>(current US$, millions)</t>
    </r>
    <r>
      <rPr>
        <sz val="12"/>
        <color theme="1"/>
        <rFont val="Open Sans SemiBold"/>
      </rPr>
      <t xml:space="preserve"> </t>
    </r>
  </si>
  <si>
    <t>Figure 3b: Evolution of market shares of wireline services market - France 2017-2021 (%)</t>
  </si>
  <si>
    <t>Figure 4a: Evolution of wireless services revenues France 1998-2022 (current US$, millions)</t>
  </si>
  <si>
    <t>Figure 4b: Evolution of market share of wireless services market France 2017-2022 (%)</t>
  </si>
  <si>
    <t>Figure 6b: Evolution of market share of multichannel video distribution market - France 2017-2021 (%)</t>
  </si>
  <si>
    <t>Figure 6a: Evolution of multichannel video distribution revenues for IPTV satellite and cable technologies - France 2015-2021 (current US$, millions)</t>
  </si>
  <si>
    <t>Figure 7: CR4 Scores for the telecom and internet access services, 2019-2021 (based on revenue)</t>
  </si>
  <si>
    <t>Figure 8: HHI Scores for the telecom &amp; internet access services, 2019-2021 (based on revenue)</t>
  </si>
  <si>
    <t>Figure 8: HHI Scores for the telecom and internet access services, 2019-2021 (based on revenue)</t>
  </si>
  <si>
    <r>
      <t xml:space="preserve">Figure 9: Revenues for </t>
    </r>
    <r>
      <rPr>
        <b/>
        <sz val="11"/>
        <color rgb="FF000000"/>
        <rFont val="Open Sans SemiBold"/>
      </rPr>
      <t>online media and traditional media services,</t>
    </r>
    <r>
      <rPr>
        <b/>
        <sz val="11"/>
        <color theme="1"/>
        <rFont val="Open Sans SemiBold"/>
      </rPr>
      <t xml:space="preserve">  2019-2021 (current US$, millions)</t>
    </r>
  </si>
  <si>
    <t>Figure 9: Revenues for online media and traditional media services, 2019-2021 (current US$, millions)</t>
  </si>
  <si>
    <t>Figure 10: Revenues 2016-2021 and market share 2021 for audiovisual services – France (current US$, millions)</t>
  </si>
  <si>
    <t>Figure 11: CR4 Scores for online media and traditional media services, 2019-2021 (based on revenue)</t>
  </si>
  <si>
    <t>Figure 12: HHI for online media and traditional media services, 2019-2021 (based on revenue)</t>
  </si>
  <si>
    <t>Figure 13: Revenues for core internet sectors, 2019-2021 (current US$, millions)</t>
  </si>
  <si>
    <t>Figure 14: CR4 Scores for core internet sectors, 2019-2021</t>
  </si>
  <si>
    <t>Figure 15a: Revenues for digital advertising, 2013-2022 (current US$, millions)</t>
  </si>
  <si>
    <t>Figure 15b: Revenues for digital advertising, 2019-2022 (current US$, millions)</t>
  </si>
  <si>
    <t>Figure 16: HHI scores for core internet sectors, 2019-2021</t>
  </si>
  <si>
    <t>Figure 17a: Operating system market share for desktop - France 2016-2021 (% users)</t>
  </si>
  <si>
    <t>Figure 17b: Operating system market share for mobile - France 2016-2021 (% users)</t>
  </si>
  <si>
    <t>Figure 22: Leading communications-internet and media companies in France, 2021* (current US$, millions)</t>
  </si>
  <si>
    <t>Revenue</t>
  </si>
  <si>
    <t>Illiad Free</t>
  </si>
  <si>
    <t>Others/MVNO</t>
  </si>
  <si>
    <t>Total Revenue</t>
  </si>
  <si>
    <t>IPTV</t>
  </si>
  <si>
    <t>Satellite</t>
  </si>
  <si>
    <t>Cable</t>
  </si>
  <si>
    <t>Bouygues Telecom (IPTV)</t>
  </si>
  <si>
    <t>Bertelsmann</t>
  </si>
  <si>
    <t>Altice SFR</t>
  </si>
  <si>
    <t>Iliad Free (IPTV)</t>
  </si>
  <si>
    <t>Alitce SFR (IPTV)</t>
  </si>
  <si>
    <t>Altice Numericable (Cable)</t>
  </si>
  <si>
    <t>Orange (IPTV)</t>
  </si>
  <si>
    <t>Vivendi Canal+ (Sat)</t>
  </si>
  <si>
    <t>Eutel Sat (Sat)</t>
  </si>
  <si>
    <t>66.17</t>
  </si>
  <si>
    <t>33.28</t>
  </si>
  <si>
    <t>0.49</t>
  </si>
  <si>
    <t>70.56</t>
  </si>
  <si>
    <t>29.09</t>
  </si>
  <si>
    <t>0.15</t>
  </si>
  <si>
    <t>71.29</t>
  </si>
  <si>
    <t>28.06</t>
  </si>
  <si>
    <t>0.23</t>
  </si>
  <si>
    <t>0.04</t>
  </si>
  <si>
    <t>65.23</t>
  </si>
  <si>
    <t>33.52</t>
  </si>
  <si>
    <t>0.66</t>
  </si>
  <si>
    <t>0.05</t>
  </si>
  <si>
    <t>61.38</t>
  </si>
  <si>
    <t>36.2</t>
  </si>
  <si>
    <t>1.65</t>
  </si>
  <si>
    <t>0.09</t>
  </si>
  <si>
    <t>0.14</t>
  </si>
  <si>
    <t>0.06</t>
  </si>
  <si>
    <t>63.02</t>
  </si>
  <si>
    <t>32.9</t>
  </si>
  <si>
    <t>2.91</t>
  </si>
  <si>
    <t>0.26</t>
  </si>
  <si>
    <t>0.13</t>
  </si>
  <si>
    <t>0.47</t>
  </si>
  <si>
    <t>Samsung Electronics</t>
  </si>
  <si>
    <t>BlackBerry</t>
  </si>
  <si>
    <t>Sony</t>
  </si>
  <si>
    <t>HMD Global</t>
  </si>
  <si>
    <t>Verizon</t>
  </si>
  <si>
    <t>DuckDuckGo</t>
  </si>
  <si>
    <t>Ecosia</t>
  </si>
  <si>
    <t>Caisse des Dépôts et Consignations</t>
  </si>
  <si>
    <t>Yandex</t>
  </si>
  <si>
    <t>Baidu</t>
  </si>
  <si>
    <t>IAC Publishing</t>
  </si>
  <si>
    <t>Lilo SAS</t>
  </si>
  <si>
    <t>UC Web</t>
  </si>
  <si>
    <t>Mozilla Foundation</t>
  </si>
  <si>
    <t>Opera</t>
  </si>
  <si>
    <t>CloudMosa</t>
  </si>
  <si>
    <t>Tencent</t>
  </si>
  <si>
    <t>MoboTap Inc.</t>
  </si>
  <si>
    <t>Opera Software</t>
  </si>
  <si>
    <t>Qihoo 360</t>
  </si>
  <si>
    <t>Coc Coc</t>
  </si>
  <si>
    <t>Maxthon</t>
  </si>
  <si>
    <t>Figure 20: Development of network and media industries, 2019-2021 (current US$, millions)</t>
  </si>
  <si>
    <t>Figure 22: Leading Communications-Internet and Media Companies in 
France, 2021 US Dollars</t>
  </si>
  <si>
    <t>Figure 19b: Web browser market share for Desktop, 2016-2021 (% users)</t>
  </si>
  <si>
    <t>Figure 19a: Web browser market share for Mobile, 2016-2021 (% users)</t>
  </si>
  <si>
    <t>Figure 18: Search engines market share, 2016-2021 (% users)</t>
  </si>
  <si>
    <t>Figure 5a: Evolution of internet services providers revenues, 2014-2021 (current US$, millions)</t>
  </si>
  <si>
    <t xml:space="preserve">Figure 3a: Evolution of wireline services revenues, 2015-2022 (current US$, millions) </t>
  </si>
  <si>
    <t>Figure 3b: Evolution of market shares of wireline services market, 2017-2021 (%)</t>
  </si>
  <si>
    <t>Figure 6b: Evolution of market share of multichannel video distribution market, 2017-2021 (%)</t>
  </si>
  <si>
    <t>Figure 10: Revenues 2016-2021 and market share 2021 for audiovisual services (current US$, millions)</t>
  </si>
  <si>
    <t>Figure 17a: Operating system market share for desktop, 2016-2021 (% users)</t>
  </si>
  <si>
    <t>Figure 17b: Operating system market share for mobile, 2016-2021 (% users)</t>
  </si>
  <si>
    <t>Figure 19a: Web browser market share for mobile, 2016-2021 (% users)</t>
  </si>
  <si>
    <t>Figure 19b: Web browser market share for desktop, 2016-2021 (% users)</t>
  </si>
  <si>
    <t>Figure 21: CR4 scores for the network media economy, 2019-2021</t>
  </si>
  <si>
    <t>Figure 5a: Evolution of internet services providers revenues, 2015-2021 (current US$, millions)</t>
  </si>
  <si>
    <t>Figure 4b: Evolution of market share of wireless services market, 2017-2022 (%)</t>
  </si>
  <si>
    <t>Figure 4a: Evolution of wireless services revenues, 1998-2022 (current US$, millions)</t>
  </si>
  <si>
    <t>Figure 5b: Evolution of market share of internet services market, 2015-2021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</si>
</sst>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Open Sans SemiBold"/>
    </font>
    <font>
      <u/>
      <sz val="12"/>
      <color rgb="FF0432FF"/>
      <name val="Calibri"/>
      <family val="2"/>
      <scheme val="minor"/>
    </font>
    <font>
      <sz val="12"/>
      <color theme="1"/>
      <name val="Open Sans SemiBold"/>
    </font>
    <font>
      <b/>
      <sz val="11"/>
      <color rgb="FF000000"/>
      <name val="Open Sans SemiBold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 vertical="top"/>
    </xf>
    <xf numFmtId="165" fontId="0" fillId="0" borderId="0" xfId="0" applyNumberFormat="1"/>
    <xf numFmtId="0" fontId="5" fillId="0" borderId="0" xfId="0" applyFont="1"/>
    <xf numFmtId="1" fontId="0" fillId="0" borderId="0" xfId="0" applyNumberFormat="1" applyAlignment="1">
      <alignment horizontal="left"/>
    </xf>
    <xf numFmtId="4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8" fillId="0" borderId="0" xfId="7" applyFill="1" applyAlignment="1">
      <alignment vertical="center"/>
    </xf>
    <xf numFmtId="0" fontId="8" fillId="0" borderId="0" xfId="7" applyFill="1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customBuiltin="1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15'!$A$41</c:f>
              <c:strCache>
                <c:ptCount val="1"/>
                <c:pt idx="0">
                  <c:v>Windows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15'!$B$40:$G$40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'Figure 15'!$B$41:$G$41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7-1047-BAFA-64AF9D2BC672}"/>
            </c:ext>
          </c:extLst>
        </c:ser>
        <c:ser>
          <c:idx val="1"/>
          <c:order val="1"/>
          <c:tx>
            <c:strRef>
              <c:f>'Figure 15'!$A$42</c:f>
              <c:strCache>
                <c:ptCount val="1"/>
                <c:pt idx="0">
                  <c:v>OS 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15'!$B$40:$G$40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'Figure 15'!$B$42:$G$42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7-1047-BAFA-64AF9D2BC672}"/>
            </c:ext>
          </c:extLst>
        </c:ser>
        <c:ser>
          <c:idx val="2"/>
          <c:order val="2"/>
          <c:tx>
            <c:strRef>
              <c:f>'Figure 15'!$A$43</c:f>
              <c:strCache>
                <c:ptCount val="1"/>
                <c:pt idx="0">
                  <c:v>Linux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15'!$B$40:$G$40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'Figure 15'!$B$43:$G$43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7-1047-BAFA-64AF9D2BC672}"/>
            </c:ext>
          </c:extLst>
        </c:ser>
        <c:ser>
          <c:idx val="3"/>
          <c:order val="3"/>
          <c:tx>
            <c:strRef>
              <c:f>'Figure 15'!$A$44</c:f>
              <c:strCache>
                <c:ptCount val="1"/>
                <c:pt idx="0">
                  <c:v>Chrome 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15'!$B$40:$G$40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'Figure 15'!$B$44:$G$44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7-1047-BAFA-64AF9D2BC672}"/>
            </c:ext>
          </c:extLst>
        </c:ser>
        <c:ser>
          <c:idx val="4"/>
          <c:order val="4"/>
          <c:tx>
            <c:strRef>
              <c:f>'Figure 15'!$A$45</c:f>
              <c:strCache>
                <c:ptCount val="1"/>
                <c:pt idx="0">
                  <c:v>Others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15'!$B$40:$G$40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'Figure 15'!$B$45:$G$45</c:f>
              <c:numCache>
                <c:formatCode>General</c:formatCode>
                <c:ptCount val="6"/>
                <c:pt idx="0">
                  <c:v>2.38</c:v>
                </c:pt>
                <c:pt idx="1">
                  <c:v>1.27</c:v>
                </c:pt>
                <c:pt idx="2">
                  <c:v>2.69</c:v>
                </c:pt>
                <c:pt idx="3">
                  <c:v>3.34</c:v>
                </c:pt>
                <c:pt idx="4">
                  <c:v>1.61</c:v>
                </c:pt>
                <c:pt idx="5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7-1047-BAFA-64AF9D2B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243216"/>
        <c:axId val="2107246608"/>
      </c:lineChart>
      <c:catAx>
        <c:axId val="210724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246608"/>
        <c:crosses val="autoZero"/>
        <c:auto val="1"/>
        <c:lblAlgn val="ctr"/>
        <c:lblOffset val="100"/>
        <c:noMultiLvlLbl val="0"/>
      </c:catAx>
      <c:valAx>
        <c:axId val="21072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24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565150</xdr:colOff>
      <xdr:row>31</xdr:row>
      <xdr:rowOff>0</xdr:rowOff>
    </xdr:from>
    <xdr:to>
      <xdr:col>18</xdr:col>
      <xdr:colOff>184150</xdr:colOff>
      <xdr:row>44</xdr:row>
      <xdr:rowOff>101600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384DA0"/>
      </a:accent1>
      <a:accent2>
        <a:srgbClr val="F36036"/>
      </a:accent2>
      <a:accent3>
        <a:srgbClr val="4D4D4F"/>
      </a:accent3>
      <a:accent4>
        <a:srgbClr val="85BAA1"/>
      </a:accent4>
      <a:accent5>
        <a:srgbClr val="ED244E"/>
      </a:accent5>
      <a:accent6>
        <a:srgbClr val="E3B23C"/>
      </a:accent6>
      <a:hlink>
        <a:srgbClr val="6CCFF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A9" sqref="A9"/>
    </sheetView>
  </sheetViews>
  <sheetFormatPr baseColWidth="10" defaultRowHeight="17" x14ac:dyDescent="0.2"/>
  <cols>
    <col min="1" max="10" width="10.83203125" style="14"/>
  </cols>
  <sheetData>
    <row r="1" spans="1:13" ht="16" customHeight="1" x14ac:dyDescent="0.2">
      <c r="A1" s="14" t="s">
        <v>112</v>
      </c>
    </row>
    <row r="2" spans="1:13" ht="16" customHeight="1" x14ac:dyDescent="0.2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M2" s="9"/>
    </row>
    <row r="3" spans="1:13" x14ac:dyDescent="0.2">
      <c r="A3" s="22" t="s">
        <v>111</v>
      </c>
      <c r="M3" s="9"/>
    </row>
    <row r="4" spans="1:13" x14ac:dyDescent="0.2">
      <c r="A4" s="22" t="s">
        <v>205</v>
      </c>
    </row>
    <row r="5" spans="1:13" x14ac:dyDescent="0.2">
      <c r="A5" s="22" t="s">
        <v>206</v>
      </c>
      <c r="M5" s="9"/>
    </row>
    <row r="6" spans="1:13" x14ac:dyDescent="0.2">
      <c r="A6" s="22" t="s">
        <v>216</v>
      </c>
      <c r="M6" s="9"/>
    </row>
    <row r="7" spans="1:13" x14ac:dyDescent="0.2">
      <c r="A7" s="22" t="s">
        <v>215</v>
      </c>
      <c r="M7" s="9"/>
    </row>
    <row r="8" spans="1:13" x14ac:dyDescent="0.2">
      <c r="A8" s="22" t="s">
        <v>214</v>
      </c>
      <c r="M8" s="9"/>
    </row>
    <row r="9" spans="1:13" x14ac:dyDescent="0.2">
      <c r="A9" s="22" t="s">
        <v>217</v>
      </c>
      <c r="M9" s="9"/>
    </row>
    <row r="10" spans="1:13" x14ac:dyDescent="0.2">
      <c r="A10" s="22" t="s">
        <v>118</v>
      </c>
      <c r="M10" s="9"/>
    </row>
    <row r="11" spans="1:13" x14ac:dyDescent="0.2">
      <c r="A11" s="22" t="s">
        <v>207</v>
      </c>
      <c r="M11" s="9"/>
    </row>
    <row r="12" spans="1:13" x14ac:dyDescent="0.2">
      <c r="A12" s="22" t="s">
        <v>119</v>
      </c>
    </row>
    <row r="13" spans="1:13" x14ac:dyDescent="0.2">
      <c r="A13" s="22" t="s">
        <v>121</v>
      </c>
    </row>
    <row r="14" spans="1:13" x14ac:dyDescent="0.2">
      <c r="A14" s="22" t="s">
        <v>123</v>
      </c>
    </row>
    <row r="15" spans="1:13" x14ac:dyDescent="0.2">
      <c r="A15" s="22" t="s">
        <v>208</v>
      </c>
    </row>
    <row r="16" spans="1:13" x14ac:dyDescent="0.2">
      <c r="A16" s="22" t="s">
        <v>125</v>
      </c>
    </row>
    <row r="17" spans="1:13" x14ac:dyDescent="0.2">
      <c r="A17" s="22" t="s">
        <v>126</v>
      </c>
    </row>
    <row r="18" spans="1:13" x14ac:dyDescent="0.2">
      <c r="A18" s="22" t="s">
        <v>127</v>
      </c>
    </row>
    <row r="19" spans="1:13" x14ac:dyDescent="0.2">
      <c r="A19" s="22" t="s">
        <v>128</v>
      </c>
    </row>
    <row r="20" spans="1:13" x14ac:dyDescent="0.2">
      <c r="A20" s="22" t="s">
        <v>129</v>
      </c>
    </row>
    <row r="21" spans="1:13" x14ac:dyDescent="0.2">
      <c r="A21" s="22" t="s">
        <v>130</v>
      </c>
    </row>
    <row r="22" spans="1:13" x14ac:dyDescent="0.2">
      <c r="A22" s="22" t="s">
        <v>131</v>
      </c>
    </row>
    <row r="23" spans="1:13" x14ac:dyDescent="0.2">
      <c r="A23" s="22" t="s">
        <v>209</v>
      </c>
    </row>
    <row r="24" spans="1:13" x14ac:dyDescent="0.2">
      <c r="A24" s="22" t="s">
        <v>210</v>
      </c>
      <c r="M24" s="9"/>
    </row>
    <row r="25" spans="1:13" x14ac:dyDescent="0.2">
      <c r="A25" s="22" t="s">
        <v>203</v>
      </c>
      <c r="M25" s="9"/>
    </row>
    <row r="26" spans="1:13" x14ac:dyDescent="0.2">
      <c r="A26" s="22" t="s">
        <v>211</v>
      </c>
      <c r="M26" s="9"/>
    </row>
    <row r="27" spans="1:13" x14ac:dyDescent="0.2">
      <c r="A27" s="22" t="s">
        <v>212</v>
      </c>
      <c r="M27" s="9"/>
    </row>
    <row r="28" spans="1:13" x14ac:dyDescent="0.2">
      <c r="A28" s="22" t="s">
        <v>199</v>
      </c>
    </row>
    <row r="29" spans="1:13" x14ac:dyDescent="0.2">
      <c r="A29" s="22" t="s">
        <v>213</v>
      </c>
    </row>
    <row r="30" spans="1:13" x14ac:dyDescent="0.2">
      <c r="A30" s="22" t="s">
        <v>134</v>
      </c>
    </row>
  </sheetData>
  <mergeCells count="1">
    <mergeCell ref="A2:K2"/>
  </mergeCells>
  <hyperlinks>
    <hyperlink ref="A2:K2" location="'Figure 1'!A1" display="Figure 1: Evolution of France global market revenues 2017-2021 (current US$, millions)" xr:uid="{00000000-0004-0000-0000-000000000000}"/>
    <hyperlink ref="A3" location="'Figure 2'!A1" display="Figure 2: Revenues for the telecom and internet access services, 2019-2021 (current US$, millions)" xr:uid="{00000000-0004-0000-0000-000001000000}"/>
    <hyperlink ref="A4" location="'Figure 3'!A1" display="Figure 3a: Evolution of wireline services revenues - France 2015-2022 (current US$, millions) " xr:uid="{00000000-0004-0000-0000-000002000000}"/>
    <hyperlink ref="A5" location="'Figure 3'!A1" display="Figure 3b: Evolution of market shares of wireline services market - France 2017-2021 (%)" xr:uid="{00000000-0004-0000-0000-000003000000}"/>
    <hyperlink ref="A6" location="'Figure 4'!A1" display="Figure 4a: Evolution of wireless services revenues France 1998-2022 (current US$, millions)" xr:uid="{00000000-0004-0000-0000-000004000000}"/>
    <hyperlink ref="A7" location="'Figure 4'!A1" display="Figure 4b: Evolution of market share of wireless services market France 2017-2022 (%)" xr:uid="{00000000-0004-0000-0000-000005000000}"/>
    <hyperlink ref="A8" location="'Figure 5'!A1" display="Figure 5a: Evolution of internet services providers revenues - France 2015-2021 (current US$, millions)" xr:uid="{00000000-0004-0000-0000-000006000000}"/>
    <hyperlink ref="A9" location="'Figure 5'!A1" display="Figure 5b: Evolution of market share of wireless services market - France 2015-2021 (%)" xr:uid="{00000000-0004-0000-0000-000007000000}"/>
    <hyperlink ref="A10" location="'Figure 6'!A1" display="Figure 6a: Evolution of multichannel video distribution revenues for IPTV satellite and cable technologies - France 2015-2021 (current US$, millions)" xr:uid="{00000000-0004-0000-0000-000008000000}"/>
    <hyperlink ref="A11" location="'Figure 6'!A1" display="Figure 6b: Evolution of market share of multichannel video distribution market - France 2017-2021 (%)" xr:uid="{00000000-0004-0000-0000-000009000000}"/>
    <hyperlink ref="A12" location="'Figure 7'!A1" display="Figure 7: CR4 Scores for the telecom and internet access services, 2019-2021 (based on revenue)" xr:uid="{00000000-0004-0000-0000-00000A000000}"/>
    <hyperlink ref="A13" location="'Figure 8'!A1" display="Figure 8: HHI Scores for the telecom and internet access services, 2019-2021 (based on revenue)" xr:uid="{00000000-0004-0000-0000-00000B000000}"/>
    <hyperlink ref="A14" location="'Figure 9'!A1" display="Figure 9: Revenues for online media and traditional media services, 2019-2021 (current US$, millions)" xr:uid="{00000000-0004-0000-0000-00000C000000}"/>
    <hyperlink ref="A15" location="'Figure 10'!A1" display="Figure 10: Revenues 2016-2021 and market share 2021 for audiovisual services – France (current US$, millions)" xr:uid="{00000000-0004-0000-0000-00000D000000}"/>
    <hyperlink ref="A16" location="'Figure 11'!A1" display="Figure 11: CR4 Scores for online media and traditional media services, 2019-2021 (based on revenue)" xr:uid="{00000000-0004-0000-0000-00000E000000}"/>
    <hyperlink ref="A17" location="'Figure 12'!A1" display="Figure 12: HHI for online media and traditional media services, 2019-2021 (based on revenue)" xr:uid="{00000000-0004-0000-0000-00000F000000}"/>
    <hyperlink ref="A18" location="'Figure 13'!A1" display="Figure 13: Revenues for core internet sectors, 2019-2021 (current US$, millions)" xr:uid="{00000000-0004-0000-0000-000010000000}"/>
    <hyperlink ref="A19" location="'Figure 14'!A1" display="Figure 14: CR4 Scores for core internet sectors, 2019-2021" xr:uid="{00000000-0004-0000-0000-000011000000}"/>
    <hyperlink ref="A20" location="'Figure 15'!A1" display="Figure 15a: Revenues for digital advertising, 2013-2022 (current US$, millions)" xr:uid="{00000000-0004-0000-0000-000012000000}"/>
    <hyperlink ref="A21" location="'Figure 15'!A1" display="Figure 15b: Revenues for digital advertising, 2019-2022 (current US$, millions)" xr:uid="{00000000-0004-0000-0000-000013000000}"/>
    <hyperlink ref="A22" location="'Figure 16'!A1" display="Figure 16: HHI scores for core internet sectors, 2019-2021" xr:uid="{00000000-0004-0000-0000-000014000000}"/>
    <hyperlink ref="A23" location="'Figure 17'!A1" display="Figure 17a: Operating system market share for desktop - France 2016-2021 (% users)" xr:uid="{00000000-0004-0000-0000-000015000000}"/>
    <hyperlink ref="A24" location="'Figure 17'!A1" display="Figure 17b: Operating system market share for mobile - France 2016-2021 (% users)" xr:uid="{00000000-0004-0000-0000-000016000000}"/>
    <hyperlink ref="A25" location="'Figure 18'!A1" display="Figure 18: Search engines market share - France 2016-2021 (% users)" xr:uid="{00000000-0004-0000-0000-000017000000}"/>
    <hyperlink ref="A26" location="'Figure 19'!A1" display="Figure 19a: Web browser market share for mobile - France 2016-2021 (% users)" xr:uid="{00000000-0004-0000-0000-000018000000}"/>
    <hyperlink ref="A27" location="'Figure 19'!A1" display="Figure 19b: Web browser market share for desktop - France 2016-2021 (% users)" xr:uid="{00000000-0004-0000-0000-000019000000}"/>
    <hyperlink ref="A28" location="'Figure 20'!A1" display="Figure 20: Development of network and media industries – France, 2019-2021 (current US$, millions)" xr:uid="{00000000-0004-0000-0000-00001A000000}"/>
    <hyperlink ref="A29" location="'Figure 21'!A1" display="Figure 21: CR4 scores for the network media economy - France 2019-2021" xr:uid="{00000000-0004-0000-0000-00001B000000}"/>
    <hyperlink ref="A30" location="'Figure 22'!A1" display="Figure 22: Leading communications-internet and media companies in France, 2021* (current US$, millions)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workbookViewId="0">
      <selection activeCell="A12" sqref="A12:XFD12"/>
    </sheetView>
  </sheetViews>
  <sheetFormatPr baseColWidth="10" defaultRowHeight="16" x14ac:dyDescent="0.2"/>
  <cols>
    <col min="1" max="1" width="27.1640625" customWidth="1"/>
  </cols>
  <sheetData>
    <row r="1" spans="1:4" ht="17" x14ac:dyDescent="0.2">
      <c r="A1" s="14" t="s">
        <v>122</v>
      </c>
    </row>
    <row r="2" spans="1:4" s="17" customFormat="1" x14ac:dyDescent="0.2">
      <c r="B2" s="18">
        <v>2019</v>
      </c>
      <c r="C2" s="18">
        <v>2020</v>
      </c>
      <c r="D2" s="18">
        <v>2021</v>
      </c>
    </row>
    <row r="3" spans="1:4" x14ac:dyDescent="0.2">
      <c r="A3" t="s">
        <v>11</v>
      </c>
      <c r="B3" s="8">
        <f>5884.3*1.07</f>
        <v>6296.2010000000009</v>
      </c>
      <c r="C3" s="8">
        <f>5538.4*1.07</f>
        <v>5926.0879999999997</v>
      </c>
      <c r="D3" s="8">
        <f>5708.1*1.07</f>
        <v>6107.6670000000004</v>
      </c>
    </row>
    <row r="4" spans="1:4" x14ac:dyDescent="0.2">
      <c r="A4" t="s">
        <v>9</v>
      </c>
      <c r="B4" s="8">
        <f>4979*1.07</f>
        <v>5327.5300000000007</v>
      </c>
      <c r="C4" s="8">
        <f>5563*1.07</f>
        <v>5952.4100000000008</v>
      </c>
      <c r="D4" s="8">
        <f>5652*1.07</f>
        <v>6047.64</v>
      </c>
    </row>
    <row r="5" spans="1:4" x14ac:dyDescent="0.2">
      <c r="A5" s="3" t="s">
        <v>6</v>
      </c>
      <c r="B5" s="8">
        <f>((968.684-145.064)+(560.464-121.873)+(2013.62-110.116)+(35.706-0.137)+(114.954-16.626))*1.07</f>
        <v>3530.5848400000004</v>
      </c>
      <c r="C5" s="8">
        <f>((859.778-151.477)+(448.716-125.285)+(1815.772-118.138)+(32.168-0.11)+(80.592-19.546))*1.07</f>
        <v>3020.0428999999999</v>
      </c>
      <c r="D5" s="8">
        <f>((895.552-176.548)+(445.996-146.056)+(1859.602-150.091)+(30.685-0.112)+(89.418-24.715))*1.07</f>
        <v>3021.3921700000001</v>
      </c>
    </row>
    <row r="6" spans="1:4" x14ac:dyDescent="0.2">
      <c r="A6" t="s">
        <v>51</v>
      </c>
      <c r="B6" s="8">
        <f>2793.8*1.07</f>
        <v>2989.3660000000004</v>
      </c>
      <c r="C6" s="8">
        <f>2767.8*1.07</f>
        <v>2961.5460000000003</v>
      </c>
      <c r="D6" s="8">
        <f>2746.3*1.07</f>
        <v>2938.5410000000002</v>
      </c>
    </row>
    <row r="7" spans="1:4" x14ac:dyDescent="0.2">
      <c r="A7" s="4" t="s">
        <v>7</v>
      </c>
      <c r="B7" s="8">
        <f>2682.718*1.07</f>
        <v>2870.5082600000001</v>
      </c>
      <c r="C7" s="8">
        <f>2377.622*1.07</f>
        <v>2544.0555399999998</v>
      </c>
      <c r="D7" s="8">
        <f>2542.422*1.07</f>
        <v>2720.3915400000001</v>
      </c>
    </row>
    <row r="8" spans="1:4" x14ac:dyDescent="0.2">
      <c r="A8" t="s">
        <v>12</v>
      </c>
      <c r="B8" s="8">
        <f>2265*1.07</f>
        <v>2423.5500000000002</v>
      </c>
      <c r="C8" s="8">
        <f>2208*1.07</f>
        <v>2362.56</v>
      </c>
      <c r="D8" s="8">
        <f>2176*1.07</f>
        <v>2328.3200000000002</v>
      </c>
    </row>
    <row r="9" spans="1:4" x14ac:dyDescent="0.2">
      <c r="A9" t="s">
        <v>5</v>
      </c>
      <c r="B9" s="8">
        <f>1326*1.07</f>
        <v>1418.8200000000002</v>
      </c>
      <c r="C9" s="8">
        <f>1223*1.07</f>
        <v>1308.6100000000001</v>
      </c>
      <c r="D9" s="8">
        <f>1277*1.07</f>
        <v>1366.39</v>
      </c>
    </row>
    <row r="10" spans="1:4" x14ac:dyDescent="0.2">
      <c r="A10" s="3" t="s">
        <v>32</v>
      </c>
      <c r="B10" s="8">
        <f>556*1.07</f>
        <v>594.92000000000007</v>
      </c>
      <c r="C10" s="8">
        <f>558*1.07</f>
        <v>597.06000000000006</v>
      </c>
      <c r="D10" s="8">
        <f>674*1.07</f>
        <v>721.18000000000006</v>
      </c>
    </row>
    <row r="11" spans="1:4" x14ac:dyDescent="0.2">
      <c r="A11" t="s">
        <v>22</v>
      </c>
      <c r="B11" s="8">
        <f>382.088*1.07</f>
        <v>408.83416000000005</v>
      </c>
      <c r="C11" s="8">
        <f>421.241*1.07</f>
        <v>450.72787</v>
      </c>
      <c r="D11" s="8">
        <f>564.018*1.07</f>
        <v>603.49926000000005</v>
      </c>
    </row>
    <row r="12" spans="1:4" x14ac:dyDescent="0.2">
      <c r="A12" t="s">
        <v>10</v>
      </c>
      <c r="B12" s="8">
        <f>SUM(B3:B11)</f>
        <v>25860.314259999999</v>
      </c>
      <c r="C12" s="8">
        <f>SUM(C3:C11)</f>
        <v>25123.100310000005</v>
      </c>
      <c r="D12" s="8">
        <f>SUM(D3:D11)</f>
        <v>25855.020970000001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>
      <selection activeCell="A2" sqref="A2:XFD2"/>
    </sheetView>
  </sheetViews>
  <sheetFormatPr baseColWidth="10" defaultRowHeight="16" x14ac:dyDescent="0.2"/>
  <sheetData>
    <row r="1" spans="1:8" x14ac:dyDescent="0.2">
      <c r="A1" s="2" t="s">
        <v>124</v>
      </c>
    </row>
    <row r="2" spans="1:8" x14ac:dyDescent="0.2">
      <c r="B2" s="16">
        <v>2016</v>
      </c>
      <c r="C2" s="16">
        <v>2017</v>
      </c>
      <c r="D2" s="16">
        <v>2018</v>
      </c>
      <c r="E2" s="16">
        <v>2019</v>
      </c>
      <c r="F2" s="16">
        <v>2020</v>
      </c>
      <c r="G2" s="16">
        <v>2021</v>
      </c>
      <c r="H2" s="9" t="s">
        <v>77</v>
      </c>
    </row>
    <row r="3" spans="1:8" x14ac:dyDescent="0.2">
      <c r="A3" s="2" t="s">
        <v>11</v>
      </c>
      <c r="B3" s="8">
        <f>5693.1*1.07</f>
        <v>6091.6170000000011</v>
      </c>
      <c r="C3" s="8">
        <f>5719.2*1.07</f>
        <v>6119.5439999999999</v>
      </c>
      <c r="D3" s="8">
        <f>5813.6*1.07</f>
        <v>6220.5520000000006</v>
      </c>
      <c r="E3" s="8">
        <f>5884.3*1.07</f>
        <v>6296.2010000000009</v>
      </c>
      <c r="F3" s="8">
        <f>5538.4*1.07</f>
        <v>5926.0879999999997</v>
      </c>
      <c r="G3" s="8">
        <f>5708.1*1.07</f>
        <v>6107.6670000000004</v>
      </c>
      <c r="H3" s="12">
        <f>G3/G6*100</f>
        <v>53.696003913305233</v>
      </c>
    </row>
    <row r="4" spans="1:8" x14ac:dyDescent="0.2">
      <c r="A4" s="2" t="s">
        <v>51</v>
      </c>
      <c r="B4" s="8">
        <f>2904.4*1.07</f>
        <v>3107.7080000000001</v>
      </c>
      <c r="C4" s="8">
        <f>2854.2*1.07</f>
        <v>3053.9940000000001</v>
      </c>
      <c r="D4" s="8">
        <f>2869.5*1.07</f>
        <v>3070.3650000000002</v>
      </c>
      <c r="E4" s="8">
        <f>2793.8*1.07</f>
        <v>2989.3660000000004</v>
      </c>
      <c r="F4" s="8">
        <f>2767.8*1.07</f>
        <v>2961.5460000000003</v>
      </c>
      <c r="G4" s="8">
        <f>2746.3*1.07</f>
        <v>2938.5410000000002</v>
      </c>
      <c r="H4" s="12">
        <f>G4/G6*100</f>
        <v>25.834399458157737</v>
      </c>
    </row>
    <row r="5" spans="1:8" x14ac:dyDescent="0.2">
      <c r="A5" s="2" t="s">
        <v>12</v>
      </c>
      <c r="B5" s="13">
        <f>2054*1.07</f>
        <v>2197.7800000000002</v>
      </c>
      <c r="C5" s="13">
        <f>2697*1.07</f>
        <v>2885.79</v>
      </c>
      <c r="D5" s="13">
        <f>2467*1.07</f>
        <v>2639.69</v>
      </c>
      <c r="E5" s="8">
        <f>2265*1.07</f>
        <v>2423.5500000000002</v>
      </c>
      <c r="F5" s="8">
        <f>2208*1.07</f>
        <v>2362.56</v>
      </c>
      <c r="G5" s="8">
        <f>2176*1.07</f>
        <v>2328.3200000000002</v>
      </c>
      <c r="H5" s="12">
        <f>G5/G6*100</f>
        <v>20.469596628537026</v>
      </c>
    </row>
    <row r="6" spans="1:8" x14ac:dyDescent="0.2">
      <c r="A6" s="9" t="s">
        <v>29</v>
      </c>
      <c r="B6" s="12">
        <f>SUM(B3:B5)</f>
        <v>11397.105000000001</v>
      </c>
      <c r="C6" s="12">
        <f t="shared" ref="C6:G6" si="0">SUM(C3:C5)</f>
        <v>12059.328000000001</v>
      </c>
      <c r="D6" s="12">
        <f t="shared" si="0"/>
        <v>11930.607000000002</v>
      </c>
      <c r="E6" s="12">
        <f t="shared" si="0"/>
        <v>11709.117000000002</v>
      </c>
      <c r="F6" s="12">
        <f t="shared" si="0"/>
        <v>11250.194</v>
      </c>
      <c r="G6" s="12">
        <f t="shared" si="0"/>
        <v>11374.528</v>
      </c>
      <c r="H6" s="12">
        <f>SUM(H3:H5)</f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"/>
  <sheetViews>
    <sheetView workbookViewId="0">
      <selection activeCell="B2" sqref="B2:D2"/>
    </sheetView>
  </sheetViews>
  <sheetFormatPr baseColWidth="10" defaultRowHeight="16" x14ac:dyDescent="0.2"/>
  <cols>
    <col min="1" max="1" width="16.5" customWidth="1"/>
  </cols>
  <sheetData>
    <row r="1" spans="1:9" ht="19" customHeight="1" x14ac:dyDescent="0.2">
      <c r="A1" s="25" t="s">
        <v>125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"/>
      <c r="B2" s="18">
        <v>2019</v>
      </c>
      <c r="C2" s="18">
        <v>2020</v>
      </c>
      <c r="D2" s="18">
        <v>2021</v>
      </c>
    </row>
    <row r="3" spans="1:9" x14ac:dyDescent="0.2">
      <c r="A3" t="s">
        <v>11</v>
      </c>
      <c r="B3" s="1">
        <v>95.62</v>
      </c>
      <c r="C3" s="1">
        <v>96.07</v>
      </c>
      <c r="D3" s="1">
        <v>95.38</v>
      </c>
    </row>
    <row r="4" spans="1:9" x14ac:dyDescent="0.2">
      <c r="A4" t="s">
        <v>13</v>
      </c>
      <c r="B4" s="1">
        <v>69.12</v>
      </c>
      <c r="C4" s="1">
        <v>68.900000000000006</v>
      </c>
      <c r="D4" s="1">
        <v>69.7</v>
      </c>
    </row>
    <row r="5" spans="1:9" x14ac:dyDescent="0.2">
      <c r="A5" t="s">
        <v>12</v>
      </c>
      <c r="B5" s="1">
        <v>72</v>
      </c>
      <c r="C5" s="1">
        <v>80.099999999999994</v>
      </c>
      <c r="D5" s="1">
        <v>82.4</v>
      </c>
    </row>
    <row r="6" spans="1:9" x14ac:dyDescent="0.2">
      <c r="A6" s="3" t="s">
        <v>6</v>
      </c>
      <c r="B6" s="1">
        <v>61.3</v>
      </c>
      <c r="C6" s="1">
        <v>64.28</v>
      </c>
      <c r="D6" s="1">
        <v>72.27</v>
      </c>
    </row>
    <row r="7" spans="1:9" x14ac:dyDescent="0.2">
      <c r="A7" t="s">
        <v>5</v>
      </c>
      <c r="B7" s="1">
        <v>82.65</v>
      </c>
      <c r="C7" s="1">
        <v>87.03</v>
      </c>
      <c r="D7" s="1">
        <v>87.2</v>
      </c>
    </row>
    <row r="8" spans="1:9" x14ac:dyDescent="0.2">
      <c r="A8" s="3" t="s">
        <v>53</v>
      </c>
      <c r="B8" s="1">
        <v>70.290000000000006</v>
      </c>
      <c r="C8" s="1">
        <v>69.2</v>
      </c>
      <c r="D8" s="1">
        <v>72.319999999999993</v>
      </c>
    </row>
    <row r="9" spans="1:9" x14ac:dyDescent="0.2">
      <c r="A9" s="10" t="s">
        <v>52</v>
      </c>
      <c r="B9" s="1">
        <v>62.9</v>
      </c>
      <c r="C9" s="1">
        <v>72.400000000000006</v>
      </c>
      <c r="D9">
        <v>74.400000000000006</v>
      </c>
    </row>
    <row r="10" spans="1:9" x14ac:dyDescent="0.2">
      <c r="A10" t="s">
        <v>9</v>
      </c>
      <c r="B10" s="1">
        <v>51.92</v>
      </c>
      <c r="C10" s="1">
        <v>54.72</v>
      </c>
      <c r="D10" s="1">
        <v>48.3</v>
      </c>
    </row>
    <row r="11" spans="1:9" x14ac:dyDescent="0.2">
      <c r="A11" t="s">
        <v>59</v>
      </c>
      <c r="B11" s="1">
        <v>62.3</v>
      </c>
      <c r="C11" s="1">
        <v>63</v>
      </c>
      <c r="D11" s="1">
        <v>64.400000000000006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9"/>
  <sheetViews>
    <sheetView workbookViewId="0">
      <selection activeCell="E5" sqref="E5"/>
    </sheetView>
  </sheetViews>
  <sheetFormatPr baseColWidth="10" defaultRowHeight="16" x14ac:dyDescent="0.2"/>
  <sheetData>
    <row r="1" spans="1:8" ht="16" customHeight="1" x14ac:dyDescent="0.2">
      <c r="A1" s="25" t="s">
        <v>126</v>
      </c>
      <c r="B1" s="25"/>
      <c r="C1" s="25"/>
      <c r="D1" s="25"/>
      <c r="E1" s="25"/>
      <c r="F1" s="25"/>
      <c r="G1" s="25"/>
      <c r="H1" s="25"/>
    </row>
    <row r="2" spans="1:8" s="17" customFormat="1" x14ac:dyDescent="0.2">
      <c r="B2" s="18">
        <v>2019</v>
      </c>
      <c r="C2" s="18">
        <v>2020</v>
      </c>
      <c r="D2" s="18">
        <v>2021</v>
      </c>
    </row>
    <row r="3" spans="1:8" x14ac:dyDescent="0.2">
      <c r="A3" t="s">
        <v>11</v>
      </c>
      <c r="B3" s="1">
        <v>3459.99</v>
      </c>
      <c r="C3" s="1">
        <v>3595.11</v>
      </c>
      <c r="D3" s="1">
        <v>3406.92</v>
      </c>
    </row>
    <row r="4" spans="1:8" x14ac:dyDescent="0.2">
      <c r="A4" t="s">
        <v>73</v>
      </c>
      <c r="B4" s="1">
        <v>4334.9399999999996</v>
      </c>
      <c r="C4" s="1">
        <v>4548.9799999999996</v>
      </c>
      <c r="D4" s="1">
        <v>4645.55</v>
      </c>
    </row>
    <row r="5" spans="1:8" x14ac:dyDescent="0.2">
      <c r="A5" t="s">
        <v>12</v>
      </c>
      <c r="B5" s="1">
        <v>803.92</v>
      </c>
      <c r="C5" s="1">
        <v>792</v>
      </c>
      <c r="D5" s="1">
        <v>749.02</v>
      </c>
    </row>
    <row r="6" spans="1:8" x14ac:dyDescent="0.2">
      <c r="A6" s="3" t="s">
        <v>6</v>
      </c>
      <c r="B6" s="1">
        <v>1322</v>
      </c>
      <c r="C6" s="1">
        <v>1347.74</v>
      </c>
      <c r="D6" s="1">
        <v>1663.2</v>
      </c>
    </row>
    <row r="7" spans="1:8" x14ac:dyDescent="0.2">
      <c r="A7" t="s">
        <v>5</v>
      </c>
      <c r="B7" s="1">
        <v>2958.76</v>
      </c>
      <c r="C7" s="1">
        <v>3416.71</v>
      </c>
      <c r="D7" s="1">
        <v>2093</v>
      </c>
    </row>
    <row r="8" spans="1:8" x14ac:dyDescent="0.2">
      <c r="A8" s="3" t="s">
        <v>53</v>
      </c>
      <c r="B8" s="1">
        <v>1743</v>
      </c>
      <c r="C8" s="1">
        <v>2100</v>
      </c>
      <c r="D8" s="1">
        <v>1625.09</v>
      </c>
    </row>
    <row r="9" spans="1:8" x14ac:dyDescent="0.2">
      <c r="A9" t="s">
        <v>9</v>
      </c>
      <c r="B9" s="1">
        <v>1229.33</v>
      </c>
      <c r="C9" s="1">
        <v>1347.89</v>
      </c>
      <c r="D9" s="1">
        <v>1069</v>
      </c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workbookViewId="0">
      <selection activeCell="B2" sqref="B2:D2"/>
    </sheetView>
  </sheetViews>
  <sheetFormatPr baseColWidth="10" defaultRowHeight="16" x14ac:dyDescent="0.2"/>
  <cols>
    <col min="1" max="1" width="22.5" customWidth="1"/>
  </cols>
  <sheetData>
    <row r="1" spans="1:7" ht="16" customHeight="1" x14ac:dyDescent="0.2">
      <c r="A1" s="25" t="s">
        <v>127</v>
      </c>
      <c r="B1" s="25"/>
      <c r="C1" s="25"/>
      <c r="D1" s="25"/>
      <c r="E1" s="25"/>
      <c r="F1" s="25"/>
      <c r="G1" s="25"/>
    </row>
    <row r="2" spans="1:7" x14ac:dyDescent="0.2">
      <c r="B2" s="16">
        <v>2019</v>
      </c>
      <c r="C2" s="16">
        <v>2020</v>
      </c>
      <c r="D2" s="16">
        <v>2021</v>
      </c>
    </row>
    <row r="3" spans="1:7" x14ac:dyDescent="0.2">
      <c r="A3" t="s">
        <v>14</v>
      </c>
      <c r="B3" s="1">
        <v>1680</v>
      </c>
      <c r="C3" s="1">
        <v>2060</v>
      </c>
      <c r="D3" s="1">
        <v>2250</v>
      </c>
    </row>
    <row r="4" spans="1:7" x14ac:dyDescent="0.2">
      <c r="A4" s="4" t="s">
        <v>8</v>
      </c>
      <c r="B4" s="1">
        <f>6000*1.07</f>
        <v>6420</v>
      </c>
      <c r="C4" s="1">
        <f>6200*1.07</f>
        <v>6634</v>
      </c>
      <c r="D4" s="1">
        <f>7700*1.07</f>
        <v>8239</v>
      </c>
    </row>
    <row r="5" spans="1:7" x14ac:dyDescent="0.2">
      <c r="A5" t="s">
        <v>29</v>
      </c>
      <c r="B5" s="1">
        <f>SUM(B3:B4)</f>
        <v>8100</v>
      </c>
      <c r="C5" s="1">
        <f t="shared" ref="C5:D5" si="0">SUM(C3:C4)</f>
        <v>8694</v>
      </c>
      <c r="D5" s="1">
        <f t="shared" si="0"/>
        <v>10489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2"/>
  <sheetViews>
    <sheetView workbookViewId="0">
      <selection activeCell="D2" sqref="B2:D2"/>
    </sheetView>
  </sheetViews>
  <sheetFormatPr baseColWidth="10" defaultRowHeight="16" x14ac:dyDescent="0.2"/>
  <cols>
    <col min="1" max="1" width="16.5" customWidth="1"/>
  </cols>
  <sheetData>
    <row r="1" spans="1:4" x14ac:dyDescent="0.2">
      <c r="A1" s="25" t="s">
        <v>108</v>
      </c>
      <c r="B1" s="26"/>
      <c r="C1" s="26"/>
      <c r="D1" s="26"/>
    </row>
    <row r="2" spans="1:4" x14ac:dyDescent="0.2">
      <c r="A2" s="2"/>
      <c r="B2" s="16">
        <v>2019</v>
      </c>
      <c r="C2" s="16">
        <v>2020</v>
      </c>
      <c r="D2" s="16">
        <v>2021</v>
      </c>
    </row>
    <row r="3" spans="1:4" x14ac:dyDescent="0.2">
      <c r="A3" t="s">
        <v>14</v>
      </c>
      <c r="B3">
        <v>100</v>
      </c>
      <c r="C3">
        <v>100</v>
      </c>
      <c r="D3">
        <v>100</v>
      </c>
    </row>
    <row r="4" spans="1:4" x14ac:dyDescent="0.2">
      <c r="A4" s="4" t="s">
        <v>8</v>
      </c>
      <c r="B4" s="1">
        <v>68.099999999999994</v>
      </c>
      <c r="C4" s="1">
        <v>67.5</v>
      </c>
      <c r="D4" s="1">
        <v>74</v>
      </c>
    </row>
    <row r="5" spans="1:4" x14ac:dyDescent="0.2">
      <c r="A5" t="s">
        <v>22</v>
      </c>
      <c r="B5">
        <v>43.09</v>
      </c>
      <c r="C5">
        <v>36.08</v>
      </c>
      <c r="D5">
        <v>43.99</v>
      </c>
    </row>
    <row r="6" spans="1:4" x14ac:dyDescent="0.2">
      <c r="A6" s="5" t="s">
        <v>17</v>
      </c>
      <c r="B6" s="1">
        <v>97.1</v>
      </c>
      <c r="C6" s="1">
        <v>96.35</v>
      </c>
      <c r="D6" s="1">
        <v>93.13</v>
      </c>
    </row>
    <row r="7" spans="1:4" x14ac:dyDescent="0.2">
      <c r="A7" s="5" t="s">
        <v>15</v>
      </c>
      <c r="B7" s="1">
        <v>99.37</v>
      </c>
      <c r="C7" s="1">
        <v>99</v>
      </c>
      <c r="D7" s="1">
        <v>98.79</v>
      </c>
    </row>
    <row r="8" spans="1:4" x14ac:dyDescent="0.2">
      <c r="A8" s="5" t="s">
        <v>16</v>
      </c>
      <c r="B8" s="1">
        <v>98.98</v>
      </c>
      <c r="C8" s="1">
        <v>98.31</v>
      </c>
      <c r="D8" s="1">
        <v>98.11</v>
      </c>
    </row>
    <row r="9" spans="1:4" x14ac:dyDescent="0.2">
      <c r="A9" s="5" t="s">
        <v>18</v>
      </c>
      <c r="B9" s="1">
        <v>99.83</v>
      </c>
      <c r="C9" s="1">
        <v>99.87</v>
      </c>
      <c r="D9" s="1">
        <v>99.94</v>
      </c>
    </row>
    <row r="10" spans="1:4" x14ac:dyDescent="0.2">
      <c r="A10" s="5" t="s">
        <v>19</v>
      </c>
      <c r="B10" s="1">
        <v>99.75</v>
      </c>
      <c r="C10" s="1">
        <v>99.63</v>
      </c>
      <c r="D10" s="1">
        <v>99.32</v>
      </c>
    </row>
    <row r="11" spans="1:4" x14ac:dyDescent="0.2">
      <c r="A11" s="6" t="s">
        <v>20</v>
      </c>
      <c r="B11" s="1">
        <v>97.21</v>
      </c>
      <c r="C11" s="1">
        <v>97.55</v>
      </c>
      <c r="D11" s="1">
        <v>97.51</v>
      </c>
    </row>
    <row r="12" spans="1:4" x14ac:dyDescent="0.2">
      <c r="A12" s="5" t="s">
        <v>21</v>
      </c>
      <c r="B12" s="1">
        <v>92.67</v>
      </c>
      <c r="C12" s="1">
        <v>92.62</v>
      </c>
      <c r="D12" s="1">
        <v>95.11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5"/>
  <sheetViews>
    <sheetView workbookViewId="0">
      <selection activeCell="E11" sqref="E11"/>
    </sheetView>
  </sheetViews>
  <sheetFormatPr baseColWidth="10" defaultRowHeight="16" x14ac:dyDescent="0.2"/>
  <cols>
    <col min="2" max="2" width="15.33203125" customWidth="1"/>
  </cols>
  <sheetData>
    <row r="1" spans="1:10" x14ac:dyDescent="0.2">
      <c r="A1" s="2" t="s">
        <v>129</v>
      </c>
    </row>
    <row r="2" spans="1:10" x14ac:dyDescent="0.2">
      <c r="A2">
        <v>2013</v>
      </c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</row>
    <row r="3" spans="1:10" x14ac:dyDescent="0.2">
      <c r="A3">
        <v>3052</v>
      </c>
      <c r="B3">
        <v>3270.0000000000005</v>
      </c>
      <c r="C3">
        <v>3488.0000000000005</v>
      </c>
      <c r="D3">
        <v>3815.0000000000005</v>
      </c>
      <c r="E3">
        <v>4578</v>
      </c>
      <c r="F3">
        <v>5668</v>
      </c>
      <c r="G3">
        <v>6540.0000000000009</v>
      </c>
      <c r="H3">
        <v>6758.0000000000009</v>
      </c>
      <c r="I3">
        <v>8393</v>
      </c>
      <c r="J3">
        <v>9592</v>
      </c>
    </row>
    <row r="8" spans="1:10" x14ac:dyDescent="0.2">
      <c r="A8" s="2" t="s">
        <v>130</v>
      </c>
    </row>
    <row r="9" spans="1:10" x14ac:dyDescent="0.2">
      <c r="B9">
        <v>2019</v>
      </c>
      <c r="C9">
        <v>2020</v>
      </c>
      <c r="D9">
        <v>2021</v>
      </c>
      <c r="E9">
        <v>2022</v>
      </c>
    </row>
    <row r="10" spans="1:10" x14ac:dyDescent="0.2">
      <c r="A10" t="s">
        <v>78</v>
      </c>
      <c r="B10">
        <f>2479*1.09</f>
        <v>2702.11</v>
      </c>
      <c r="C10">
        <f>2546*1.09</f>
        <v>2775.1400000000003</v>
      </c>
      <c r="D10">
        <f>3260*1.09</f>
        <v>3553.4</v>
      </c>
      <c r="E10">
        <f>3698*1.09</f>
        <v>4030.82</v>
      </c>
    </row>
    <row r="11" spans="1:10" x14ac:dyDescent="0.2">
      <c r="A11" t="s">
        <v>79</v>
      </c>
      <c r="B11">
        <f>1452*1.09</f>
        <v>1582.68</v>
      </c>
      <c r="C11">
        <f>1671*1.09</f>
        <v>1821.39</v>
      </c>
      <c r="D11">
        <f>2034*1.09</f>
        <v>2217.06</v>
      </c>
      <c r="E11">
        <f>2228</f>
        <v>2228</v>
      </c>
    </row>
    <row r="12" spans="1:10" x14ac:dyDescent="0.2">
      <c r="A12" t="s">
        <v>80</v>
      </c>
      <c r="B12">
        <f>1281*1.09</f>
        <v>1396.2900000000002</v>
      </c>
      <c r="C12">
        <f>1102*1.09</f>
        <v>1201.18</v>
      </c>
      <c r="D12">
        <f>1518*1.09</f>
        <v>1654.6200000000001</v>
      </c>
      <c r="E12">
        <f>1662*1.09</f>
        <v>1811.5800000000002</v>
      </c>
    </row>
    <row r="13" spans="1:10" x14ac:dyDescent="0.2">
      <c r="A13" t="s">
        <v>81</v>
      </c>
      <c r="B13">
        <f>722*1.09</f>
        <v>786.98</v>
      </c>
      <c r="C13">
        <f>825*1.09</f>
        <v>899.25000000000011</v>
      </c>
      <c r="D13">
        <f>890*1.09</f>
        <v>970.1</v>
      </c>
      <c r="E13">
        <f>905*1.09</f>
        <v>986.45</v>
      </c>
    </row>
    <row r="38" spans="1:7" x14ac:dyDescent="0.2">
      <c r="B38" t="s">
        <v>19</v>
      </c>
    </row>
    <row r="40" spans="1:7" x14ac:dyDescent="0.2">
      <c r="B40">
        <v>2016</v>
      </c>
      <c r="C40">
        <v>2017</v>
      </c>
      <c r="D40">
        <v>2018</v>
      </c>
      <c r="E40">
        <v>2019</v>
      </c>
      <c r="F40">
        <v>2020</v>
      </c>
      <c r="G40">
        <v>2021</v>
      </c>
    </row>
    <row r="41" spans="1:7" x14ac:dyDescent="0.2">
      <c r="A41" t="s">
        <v>82</v>
      </c>
      <c r="B41" t="s">
        <v>104</v>
      </c>
      <c r="C41" t="s">
        <v>101</v>
      </c>
      <c r="D41" t="s">
        <v>97</v>
      </c>
      <c r="E41" t="s">
        <v>93</v>
      </c>
      <c r="F41" t="s">
        <v>89</v>
      </c>
      <c r="G41" t="s">
        <v>86</v>
      </c>
    </row>
    <row r="42" spans="1:7" x14ac:dyDescent="0.2">
      <c r="A42" t="s">
        <v>83</v>
      </c>
      <c r="B42" t="s">
        <v>105</v>
      </c>
      <c r="C42" t="s">
        <v>102</v>
      </c>
      <c r="D42" t="s">
        <v>98</v>
      </c>
      <c r="E42" t="s">
        <v>94</v>
      </c>
      <c r="F42" t="s">
        <v>90</v>
      </c>
      <c r="G42" t="s">
        <v>87</v>
      </c>
    </row>
    <row r="43" spans="1:7" x14ac:dyDescent="0.2">
      <c r="A43" t="s">
        <v>84</v>
      </c>
      <c r="B43" t="s">
        <v>95</v>
      </c>
      <c r="C43" t="s">
        <v>103</v>
      </c>
      <c r="D43" t="s">
        <v>99</v>
      </c>
      <c r="E43" t="s">
        <v>95</v>
      </c>
      <c r="F43" t="s">
        <v>91</v>
      </c>
      <c r="G43" t="s">
        <v>88</v>
      </c>
    </row>
    <row r="44" spans="1:7" x14ac:dyDescent="0.2">
      <c r="A44" t="s">
        <v>85</v>
      </c>
      <c r="B44" t="s">
        <v>106</v>
      </c>
      <c r="C44" t="s">
        <v>100</v>
      </c>
      <c r="D44" t="s">
        <v>100</v>
      </c>
      <c r="E44" t="s">
        <v>96</v>
      </c>
      <c r="F44" t="s">
        <v>92</v>
      </c>
      <c r="G44" t="s">
        <v>55</v>
      </c>
    </row>
    <row r="45" spans="1:7" x14ac:dyDescent="0.2">
      <c r="A45" t="s">
        <v>49</v>
      </c>
      <c r="B45">
        <v>2.38</v>
      </c>
      <c r="C45">
        <v>1.27</v>
      </c>
      <c r="D45">
        <v>2.69</v>
      </c>
      <c r="E45">
        <v>3.34</v>
      </c>
      <c r="F45">
        <v>1.61</v>
      </c>
      <c r="G45">
        <v>3.07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"/>
  <sheetViews>
    <sheetView workbookViewId="0">
      <selection sqref="A1:E1"/>
    </sheetView>
  </sheetViews>
  <sheetFormatPr baseColWidth="10" defaultRowHeight="16" x14ac:dyDescent="0.2"/>
  <sheetData>
    <row r="1" spans="1:5" x14ac:dyDescent="0.2">
      <c r="A1" s="27" t="s">
        <v>131</v>
      </c>
      <c r="B1" s="27"/>
      <c r="C1" s="27"/>
      <c r="D1" s="27"/>
      <c r="E1" s="27"/>
    </row>
    <row r="2" spans="1:5" x14ac:dyDescent="0.2">
      <c r="B2">
        <v>2019</v>
      </c>
      <c r="C2">
        <v>2020</v>
      </c>
      <c r="D2">
        <v>2021</v>
      </c>
    </row>
    <row r="3" spans="1:5" x14ac:dyDescent="0.2">
      <c r="A3" t="s">
        <v>14</v>
      </c>
      <c r="B3">
        <v>5035.28</v>
      </c>
      <c r="C3">
        <v>5046.08</v>
      </c>
      <c r="D3">
        <v>5216.32</v>
      </c>
    </row>
    <row r="4" spans="1:5" x14ac:dyDescent="0.2">
      <c r="A4" t="s">
        <v>8</v>
      </c>
      <c r="B4">
        <v>2967.3</v>
      </c>
      <c r="C4">
        <v>3197.4</v>
      </c>
      <c r="D4">
        <v>3225.7</v>
      </c>
    </row>
    <row r="5" spans="1:5" x14ac:dyDescent="0.2">
      <c r="A5" t="s">
        <v>22</v>
      </c>
      <c r="B5">
        <v>298.3</v>
      </c>
      <c r="C5">
        <v>220.67</v>
      </c>
      <c r="D5">
        <v>143.69999999999999</v>
      </c>
    </row>
    <row r="6" spans="1:5" x14ac:dyDescent="0.2">
      <c r="A6" t="s">
        <v>15</v>
      </c>
      <c r="B6">
        <v>8978.68</v>
      </c>
      <c r="C6">
        <v>9423.84</v>
      </c>
      <c r="D6">
        <v>9442.9500000000007</v>
      </c>
    </row>
    <row r="7" spans="1:5" x14ac:dyDescent="0.2">
      <c r="A7" t="s">
        <v>16</v>
      </c>
      <c r="B7">
        <v>8550.65</v>
      </c>
      <c r="C7">
        <v>8462.66</v>
      </c>
      <c r="D7">
        <v>8417.5499999999993</v>
      </c>
    </row>
    <row r="8" spans="1:5" x14ac:dyDescent="0.2">
      <c r="A8" t="s">
        <v>17</v>
      </c>
      <c r="B8">
        <v>6108.28</v>
      </c>
      <c r="C8">
        <v>5933.74</v>
      </c>
      <c r="D8">
        <v>5031.3999999999996</v>
      </c>
    </row>
    <row r="9" spans="1:5" x14ac:dyDescent="0.2">
      <c r="A9" t="s">
        <v>18</v>
      </c>
      <c r="B9">
        <v>5869.7</v>
      </c>
      <c r="C9">
        <v>5824.95</v>
      </c>
      <c r="D9">
        <v>5486.2</v>
      </c>
    </row>
    <row r="10" spans="1:5" x14ac:dyDescent="0.2">
      <c r="A10" t="s">
        <v>19</v>
      </c>
      <c r="B10">
        <v>5895</v>
      </c>
      <c r="C10">
        <v>5833.15</v>
      </c>
      <c r="D10">
        <v>6016.48</v>
      </c>
    </row>
    <row r="11" spans="1:5" x14ac:dyDescent="0.2">
      <c r="A11" t="s">
        <v>20</v>
      </c>
      <c r="B11">
        <v>4473.8999999999996</v>
      </c>
      <c r="C11">
        <v>4532.25</v>
      </c>
      <c r="D11">
        <v>4336.53</v>
      </c>
    </row>
    <row r="12" spans="1:5" x14ac:dyDescent="0.2">
      <c r="A12" t="s">
        <v>21</v>
      </c>
      <c r="B12">
        <v>4178.18</v>
      </c>
      <c r="C12">
        <v>4080.31</v>
      </c>
      <c r="D12">
        <v>4007.82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1"/>
  <sheetViews>
    <sheetView workbookViewId="0">
      <selection activeCell="A2" sqref="A2:XFD2"/>
    </sheetView>
  </sheetViews>
  <sheetFormatPr baseColWidth="10" defaultRowHeight="16" x14ac:dyDescent="0.2"/>
  <cols>
    <col min="1" max="1" width="25.33203125" customWidth="1"/>
  </cols>
  <sheetData>
    <row r="1" spans="1:7" x14ac:dyDescent="0.2">
      <c r="A1" s="2" t="s">
        <v>132</v>
      </c>
    </row>
    <row r="2" spans="1:7" x14ac:dyDescent="0.2"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</row>
    <row r="3" spans="1:7" x14ac:dyDescent="0.2">
      <c r="A3" t="s">
        <v>82</v>
      </c>
      <c r="B3">
        <v>79.31</v>
      </c>
      <c r="C3">
        <v>78.040000000000006</v>
      </c>
      <c r="D3">
        <v>76.52</v>
      </c>
      <c r="E3">
        <v>73.87</v>
      </c>
      <c r="F3">
        <v>72.69</v>
      </c>
      <c r="G3">
        <v>75.150000000000006</v>
      </c>
    </row>
    <row r="4" spans="1:7" x14ac:dyDescent="0.2">
      <c r="A4" t="s">
        <v>83</v>
      </c>
      <c r="B4">
        <v>16.149999999999999</v>
      </c>
      <c r="C4">
        <v>18.29</v>
      </c>
      <c r="D4">
        <v>18.73</v>
      </c>
      <c r="E4">
        <v>20.57</v>
      </c>
      <c r="F4">
        <v>23.29</v>
      </c>
      <c r="G4">
        <v>18.809999999999999</v>
      </c>
    </row>
    <row r="5" spans="1:7" x14ac:dyDescent="0.2">
      <c r="A5" t="s">
        <v>84</v>
      </c>
      <c r="B5">
        <v>1.97</v>
      </c>
      <c r="C5">
        <v>2.16</v>
      </c>
      <c r="D5">
        <v>1.82</v>
      </c>
      <c r="E5">
        <v>1.97</v>
      </c>
      <c r="F5">
        <v>2.04</v>
      </c>
      <c r="G5">
        <v>2.29</v>
      </c>
    </row>
    <row r="6" spans="1:7" x14ac:dyDescent="0.2">
      <c r="A6" t="s">
        <v>85</v>
      </c>
      <c r="B6">
        <v>0.2</v>
      </c>
      <c r="C6">
        <v>0.24</v>
      </c>
      <c r="D6">
        <v>0.24</v>
      </c>
      <c r="E6">
        <v>0.25</v>
      </c>
      <c r="F6">
        <v>0.37</v>
      </c>
      <c r="G6">
        <v>0.69</v>
      </c>
    </row>
    <row r="7" spans="1:7" x14ac:dyDescent="0.2">
      <c r="A7" t="s">
        <v>49</v>
      </c>
      <c r="B7">
        <v>2.38</v>
      </c>
      <c r="C7">
        <v>1.27</v>
      </c>
      <c r="D7">
        <v>2.69</v>
      </c>
      <c r="E7">
        <v>3.34</v>
      </c>
      <c r="F7">
        <v>1.61</v>
      </c>
      <c r="G7">
        <v>3.07</v>
      </c>
    </row>
    <row r="10" spans="1:7" x14ac:dyDescent="0.2">
      <c r="A10" s="2" t="s">
        <v>133</v>
      </c>
    </row>
    <row r="11" spans="1:7" x14ac:dyDescent="0.2">
      <c r="B11">
        <v>2016</v>
      </c>
      <c r="C11">
        <v>2017</v>
      </c>
      <c r="D11">
        <v>2018</v>
      </c>
      <c r="E11">
        <v>2019</v>
      </c>
      <c r="F11">
        <v>2020</v>
      </c>
      <c r="G11">
        <v>2021</v>
      </c>
    </row>
    <row r="12" spans="1:7" x14ac:dyDescent="0.2">
      <c r="A12" t="s">
        <v>71</v>
      </c>
      <c r="B12" t="s">
        <v>171</v>
      </c>
      <c r="C12" t="s">
        <v>165</v>
      </c>
      <c r="D12" t="s">
        <v>161</v>
      </c>
      <c r="E12" t="s">
        <v>157</v>
      </c>
      <c r="F12" t="s">
        <v>154</v>
      </c>
      <c r="G12" t="s">
        <v>151</v>
      </c>
    </row>
    <row r="13" spans="1:7" x14ac:dyDescent="0.2">
      <c r="A13" t="s">
        <v>35</v>
      </c>
      <c r="B13" t="s">
        <v>172</v>
      </c>
      <c r="C13" t="s">
        <v>166</v>
      </c>
      <c r="D13" t="s">
        <v>162</v>
      </c>
      <c r="E13" t="s">
        <v>158</v>
      </c>
      <c r="F13" t="s">
        <v>155</v>
      </c>
      <c r="G13" t="s">
        <v>152</v>
      </c>
    </row>
    <row r="14" spans="1:7" x14ac:dyDescent="0.2">
      <c r="A14" t="s">
        <v>36</v>
      </c>
      <c r="B14" t="s">
        <v>173</v>
      </c>
      <c r="C14" t="s">
        <v>167</v>
      </c>
      <c r="D14" t="s">
        <v>163</v>
      </c>
      <c r="E14" t="s">
        <v>96</v>
      </c>
      <c r="F14" t="s">
        <v>57</v>
      </c>
      <c r="G14" t="s">
        <v>58</v>
      </c>
    </row>
    <row r="15" spans="1:7" x14ac:dyDescent="0.2">
      <c r="A15" t="s">
        <v>84</v>
      </c>
      <c r="B15" t="s">
        <v>57</v>
      </c>
      <c r="C15" t="s">
        <v>57</v>
      </c>
      <c r="D15" t="s">
        <v>54</v>
      </c>
      <c r="E15" t="s">
        <v>54</v>
      </c>
      <c r="F15" t="s">
        <v>54</v>
      </c>
      <c r="G15">
        <v>0</v>
      </c>
    </row>
    <row r="16" spans="1:7" x14ac:dyDescent="0.2">
      <c r="A16" t="s">
        <v>177</v>
      </c>
      <c r="B16" t="s">
        <v>168</v>
      </c>
      <c r="C16" t="s">
        <v>168</v>
      </c>
      <c r="D16" t="s">
        <v>100</v>
      </c>
      <c r="E16" t="s">
        <v>159</v>
      </c>
      <c r="F16" t="s">
        <v>156</v>
      </c>
      <c r="G16" t="s">
        <v>153</v>
      </c>
    </row>
    <row r="17" spans="1:7" x14ac:dyDescent="0.2">
      <c r="A17" t="s">
        <v>178</v>
      </c>
      <c r="B17" t="s">
        <v>174</v>
      </c>
      <c r="C17" t="s">
        <v>169</v>
      </c>
      <c r="D17" t="s">
        <v>164</v>
      </c>
      <c r="E17" t="s">
        <v>160</v>
      </c>
      <c r="F17" t="s">
        <v>56</v>
      </c>
      <c r="G17" t="s">
        <v>54</v>
      </c>
    </row>
    <row r="18" spans="1:7" x14ac:dyDescent="0.2">
      <c r="A18" t="s">
        <v>179</v>
      </c>
      <c r="B18" t="s">
        <v>175</v>
      </c>
      <c r="C18" t="s">
        <v>170</v>
      </c>
      <c r="D18" t="s">
        <v>56</v>
      </c>
      <c r="E18" t="s">
        <v>54</v>
      </c>
      <c r="F18" t="s">
        <v>54</v>
      </c>
      <c r="G18" t="s">
        <v>54</v>
      </c>
    </row>
    <row r="19" spans="1:7" x14ac:dyDescent="0.2">
      <c r="A19" t="s">
        <v>180</v>
      </c>
      <c r="B19" t="s">
        <v>169</v>
      </c>
      <c r="C19">
        <v>0.05</v>
      </c>
      <c r="D19">
        <v>0.02</v>
      </c>
      <c r="E19">
        <v>0.01</v>
      </c>
      <c r="F19">
        <v>0</v>
      </c>
      <c r="G19">
        <v>0</v>
      </c>
    </row>
    <row r="20" spans="1:7" x14ac:dyDescent="0.2">
      <c r="A20" t="s">
        <v>66</v>
      </c>
      <c r="B20" t="s">
        <v>56</v>
      </c>
      <c r="C20" t="s">
        <v>58</v>
      </c>
      <c r="D20" t="s">
        <v>58</v>
      </c>
      <c r="E20" t="s">
        <v>54</v>
      </c>
      <c r="F20">
        <v>0</v>
      </c>
      <c r="G20">
        <v>0</v>
      </c>
    </row>
    <row r="21" spans="1:7" x14ac:dyDescent="0.2">
      <c r="A21" t="s">
        <v>49</v>
      </c>
      <c r="B21" t="s">
        <v>176</v>
      </c>
      <c r="C21">
        <v>0.36</v>
      </c>
      <c r="D21">
        <v>0.22</v>
      </c>
      <c r="E21">
        <v>7.0000000000000007E-2</v>
      </c>
      <c r="F21">
        <v>0.08</v>
      </c>
      <c r="G21">
        <v>0.02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A2" sqref="A2:XFD2"/>
    </sheetView>
  </sheetViews>
  <sheetFormatPr baseColWidth="10" defaultRowHeight="16" x14ac:dyDescent="0.2"/>
  <cols>
    <col min="1" max="1" width="23" customWidth="1"/>
  </cols>
  <sheetData>
    <row r="1" spans="1:7" x14ac:dyDescent="0.2">
      <c r="A1" s="2" t="s">
        <v>203</v>
      </c>
    </row>
    <row r="2" spans="1:7" x14ac:dyDescent="0.2"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</row>
    <row r="3" spans="1:7" x14ac:dyDescent="0.2">
      <c r="A3" t="s">
        <v>71</v>
      </c>
      <c r="B3">
        <v>94.05</v>
      </c>
      <c r="C3">
        <v>91.77</v>
      </c>
      <c r="D3">
        <v>92.25</v>
      </c>
      <c r="E3">
        <v>92.35</v>
      </c>
      <c r="F3">
        <v>91.89</v>
      </c>
      <c r="G3">
        <v>91.64</v>
      </c>
    </row>
    <row r="4" spans="1:7" x14ac:dyDescent="0.2">
      <c r="A4" t="s">
        <v>36</v>
      </c>
      <c r="B4">
        <v>3.52</v>
      </c>
      <c r="C4">
        <v>4.9800000000000004</v>
      </c>
      <c r="D4">
        <v>4.4400000000000004</v>
      </c>
      <c r="E4">
        <v>4.4400000000000004</v>
      </c>
      <c r="F4">
        <v>3.99</v>
      </c>
      <c r="G4">
        <v>4.1100000000000003</v>
      </c>
    </row>
    <row r="5" spans="1:7" x14ac:dyDescent="0.2">
      <c r="A5" t="s">
        <v>181</v>
      </c>
      <c r="B5">
        <v>2.04</v>
      </c>
      <c r="C5">
        <v>2.2999999999999998</v>
      </c>
      <c r="D5">
        <v>1.81</v>
      </c>
      <c r="E5">
        <v>1.38</v>
      </c>
      <c r="F5">
        <v>1.3</v>
      </c>
      <c r="G5">
        <v>1.24</v>
      </c>
    </row>
    <row r="6" spans="1:7" x14ac:dyDescent="0.2">
      <c r="A6" t="s">
        <v>182</v>
      </c>
      <c r="B6">
        <v>0.18</v>
      </c>
      <c r="C6">
        <v>0.55000000000000004</v>
      </c>
      <c r="D6">
        <v>0.56000000000000005</v>
      </c>
      <c r="E6">
        <v>0.46</v>
      </c>
      <c r="F6">
        <v>0.57999999999999996</v>
      </c>
      <c r="G6">
        <v>0.55000000000000004</v>
      </c>
    </row>
    <row r="7" spans="1:7" x14ac:dyDescent="0.2">
      <c r="A7" t="s">
        <v>183</v>
      </c>
      <c r="B7">
        <v>0</v>
      </c>
      <c r="C7">
        <v>0</v>
      </c>
      <c r="D7">
        <v>0</v>
      </c>
      <c r="E7">
        <v>0.42</v>
      </c>
      <c r="F7">
        <v>1.1299999999999999</v>
      </c>
      <c r="G7">
        <v>1.1100000000000001</v>
      </c>
    </row>
    <row r="8" spans="1:7" x14ac:dyDescent="0.2">
      <c r="A8" t="s">
        <v>184</v>
      </c>
      <c r="B8">
        <v>0</v>
      </c>
      <c r="C8">
        <v>0.05</v>
      </c>
      <c r="D8">
        <v>0.52</v>
      </c>
      <c r="E8">
        <v>0.71</v>
      </c>
      <c r="F8">
        <v>0.82</v>
      </c>
      <c r="G8">
        <v>0.97</v>
      </c>
    </row>
    <row r="9" spans="1:7" x14ac:dyDescent="0.2">
      <c r="A9" t="s">
        <v>185</v>
      </c>
      <c r="B9">
        <v>0.03</v>
      </c>
      <c r="C9">
        <v>7.0000000000000007E-2</v>
      </c>
      <c r="D9">
        <v>0.28000000000000003</v>
      </c>
      <c r="E9">
        <v>0.13</v>
      </c>
      <c r="F9">
        <v>0.2</v>
      </c>
      <c r="G9">
        <v>0.24</v>
      </c>
    </row>
    <row r="10" spans="1:7" x14ac:dyDescent="0.2">
      <c r="A10" t="s">
        <v>186</v>
      </c>
      <c r="B10">
        <v>0.02</v>
      </c>
      <c r="C10">
        <v>0.03</v>
      </c>
      <c r="D10">
        <v>0.03</v>
      </c>
      <c r="E10">
        <v>0.03</v>
      </c>
      <c r="F10">
        <v>0.03</v>
      </c>
      <c r="G10">
        <v>0.01</v>
      </c>
    </row>
    <row r="11" spans="1:7" x14ac:dyDescent="0.2">
      <c r="A11" t="s">
        <v>36</v>
      </c>
      <c r="B11">
        <v>0.08</v>
      </c>
      <c r="C11">
        <v>0.21</v>
      </c>
      <c r="D11">
        <v>0.06</v>
      </c>
      <c r="E11">
        <v>0.06</v>
      </c>
      <c r="F11">
        <v>0.02</v>
      </c>
      <c r="G11">
        <v>0</v>
      </c>
    </row>
    <row r="12" spans="1:7" x14ac:dyDescent="0.2">
      <c r="A12" t="s">
        <v>187</v>
      </c>
      <c r="B12">
        <v>0.03</v>
      </c>
      <c r="C12">
        <v>0.01</v>
      </c>
      <c r="D12">
        <v>0.01</v>
      </c>
      <c r="E12">
        <v>0.01</v>
      </c>
      <c r="F12">
        <v>0</v>
      </c>
      <c r="G12">
        <v>0</v>
      </c>
    </row>
    <row r="13" spans="1:7" x14ac:dyDescent="0.2">
      <c r="A13" t="s">
        <v>188</v>
      </c>
      <c r="B13">
        <v>0</v>
      </c>
      <c r="C13">
        <v>0</v>
      </c>
      <c r="D13">
        <v>0</v>
      </c>
      <c r="E13">
        <v>0</v>
      </c>
      <c r="F13">
        <v>0</v>
      </c>
      <c r="G13">
        <v>0.08</v>
      </c>
    </row>
    <row r="14" spans="1:7" x14ac:dyDescent="0.2">
      <c r="A14" t="s">
        <v>49</v>
      </c>
      <c r="B14">
        <v>0.05</v>
      </c>
      <c r="C14">
        <v>0.04</v>
      </c>
      <c r="D14">
        <v>0.04</v>
      </c>
      <c r="E14">
        <v>0.03</v>
      </c>
      <c r="F14">
        <v>0.03</v>
      </c>
      <c r="G14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E20" sqref="A2:E20"/>
    </sheetView>
  </sheetViews>
  <sheetFormatPr baseColWidth="10" defaultRowHeight="16" x14ac:dyDescent="0.2"/>
  <sheetData>
    <row r="1" spans="1:8" ht="19" customHeight="1" x14ac:dyDescent="0.2">
      <c r="A1" s="24" t="s">
        <v>110</v>
      </c>
      <c r="B1" s="24"/>
      <c r="C1" s="24"/>
      <c r="D1" s="24"/>
      <c r="E1" s="24"/>
      <c r="F1" s="24"/>
      <c r="G1" s="24"/>
      <c r="H1" s="24"/>
    </row>
    <row r="2" spans="1:8" x14ac:dyDescent="0.2">
      <c r="B2">
        <v>2019</v>
      </c>
      <c r="C2">
        <v>2020</v>
      </c>
      <c r="D2">
        <v>2021</v>
      </c>
    </row>
    <row r="3" spans="1:8" x14ac:dyDescent="0.2">
      <c r="A3" t="s">
        <v>1</v>
      </c>
      <c r="B3">
        <f>14144*1.09</f>
        <v>15416.960000000001</v>
      </c>
      <c r="C3">
        <f>14250*1.09</f>
        <v>15532.500000000002</v>
      </c>
      <c r="D3">
        <f>14745*1.09</f>
        <v>16072.050000000001</v>
      </c>
    </row>
    <row r="4" spans="1:8" x14ac:dyDescent="0.2">
      <c r="A4" t="s">
        <v>0</v>
      </c>
      <c r="B4">
        <f>3419*1.09</f>
        <v>3726.7100000000005</v>
      </c>
      <c r="C4">
        <f>3106*1.09</f>
        <v>3385.5400000000004</v>
      </c>
      <c r="D4">
        <f>2578*1.09</f>
        <v>2810.02</v>
      </c>
    </row>
    <row r="5" spans="1:8" x14ac:dyDescent="0.2">
      <c r="A5" t="s">
        <v>2</v>
      </c>
      <c r="B5">
        <f>13098*1.09</f>
        <v>14276.820000000002</v>
      </c>
      <c r="C5">
        <f>13458*1.09</f>
        <v>14669.220000000001</v>
      </c>
      <c r="D5">
        <f>14085*1.09</f>
        <v>15352.650000000001</v>
      </c>
    </row>
    <row r="6" spans="1:8" x14ac:dyDescent="0.2">
      <c r="A6" t="s">
        <v>28</v>
      </c>
      <c r="B6">
        <f>(2877+365+1528)*1.09</f>
        <v>5199.3</v>
      </c>
      <c r="C6">
        <f>(2924.7+409+1413)*1.09</f>
        <v>5173.9030000000002</v>
      </c>
      <c r="D6">
        <f>(3127+467+1472.7)*1.09</f>
        <v>5522.7030000000004</v>
      </c>
    </row>
    <row r="7" spans="1:8" x14ac:dyDescent="0.2">
      <c r="A7" t="s">
        <v>11</v>
      </c>
      <c r="B7">
        <f>5884.3*1.09</f>
        <v>6413.8870000000006</v>
      </c>
      <c r="C7">
        <f>5538.4*1.09</f>
        <v>6036.8559999999998</v>
      </c>
      <c r="D7">
        <f>5708.1*1.09</f>
        <v>6221.8290000000006</v>
      </c>
    </row>
    <row r="8" spans="1:8" x14ac:dyDescent="0.2">
      <c r="A8" t="s">
        <v>9</v>
      </c>
      <c r="B8">
        <f>4979*1.09</f>
        <v>5427.1100000000006</v>
      </c>
      <c r="C8">
        <f>5563*1.09</f>
        <v>6063.67</v>
      </c>
      <c r="D8">
        <f>5652*1.09</f>
        <v>6160.68</v>
      </c>
    </row>
    <row r="9" spans="1:8" x14ac:dyDescent="0.2">
      <c r="A9" t="s">
        <v>6</v>
      </c>
      <c r="B9">
        <f>((968.684-145.064)+(560.464-121.873)+(2013.62-110.116)+(35.706-0.137)+(114.954-16.626))*1.09</f>
        <v>3596.5770800000005</v>
      </c>
      <c r="C9">
        <f>((859.778-151.477)+(448.716-125.285)+(1815.772-118.138)+(32.168-0.11)+(80.592-19.546))*1.09</f>
        <v>3076.4922999999999</v>
      </c>
      <c r="D9">
        <f>((895.552-176.548)+(445.996-146.056)+(1859.602-150.091)+(30.685-0.112)+(89.418-24.715))*1.09</f>
        <v>3077.86679</v>
      </c>
    </row>
    <row r="10" spans="1:8" x14ac:dyDescent="0.2">
      <c r="A10" t="s">
        <v>51</v>
      </c>
      <c r="B10">
        <f>2793.8*1.09</f>
        <v>3045.2420000000006</v>
      </c>
      <c r="C10">
        <f>2767.8*1.09</f>
        <v>3016.9020000000005</v>
      </c>
      <c r="D10">
        <f>2746.3*1.09</f>
        <v>2993.4670000000006</v>
      </c>
    </row>
    <row r="11" spans="1:8" x14ac:dyDescent="0.2">
      <c r="A11" t="s">
        <v>7</v>
      </c>
      <c r="B11">
        <f>2682.718*1.09</f>
        <v>2924.1626200000001</v>
      </c>
      <c r="C11">
        <f>2377.622*1.09</f>
        <v>2591.6079800000002</v>
      </c>
      <c r="D11">
        <f>2542.422*1.09</f>
        <v>2771.2399800000003</v>
      </c>
    </row>
    <row r="12" spans="1:8" x14ac:dyDescent="0.2">
      <c r="A12" t="s">
        <v>12</v>
      </c>
      <c r="B12">
        <f>2265*1.09</f>
        <v>2468.8500000000004</v>
      </c>
      <c r="C12">
        <f>2208*1.09</f>
        <v>2406.7200000000003</v>
      </c>
      <c r="D12">
        <f>2176*1.09</f>
        <v>2371.84</v>
      </c>
    </row>
    <row r="13" spans="1:8" x14ac:dyDescent="0.2">
      <c r="A13" t="s">
        <v>5</v>
      </c>
      <c r="B13">
        <f>1326*1.09</f>
        <v>1445.3400000000001</v>
      </c>
      <c r="C13">
        <f>1223*1.09</f>
        <v>1333.0700000000002</v>
      </c>
      <c r="D13">
        <f>1277*1.09</f>
        <v>1391.93</v>
      </c>
    </row>
    <row r="14" spans="1:8" x14ac:dyDescent="0.2">
      <c r="A14" t="s">
        <v>32</v>
      </c>
      <c r="B14">
        <f>556*1.09</f>
        <v>606.04000000000008</v>
      </c>
      <c r="C14">
        <f>558*1.09</f>
        <v>608.22</v>
      </c>
      <c r="D14">
        <f>674*1.09</f>
        <v>734.66000000000008</v>
      </c>
    </row>
    <row r="15" spans="1:8" x14ac:dyDescent="0.2">
      <c r="A15" t="s">
        <v>22</v>
      </c>
      <c r="B15">
        <f>382.088*1.09</f>
        <v>416.47592000000003</v>
      </c>
      <c r="C15">
        <f>421.241*1.09</f>
        <v>459.15269000000001</v>
      </c>
      <c r="D15">
        <f>564.018*1.09</f>
        <v>614.77962000000002</v>
      </c>
    </row>
    <row r="16" spans="1:8" x14ac:dyDescent="0.2">
      <c r="A16" t="s">
        <v>14</v>
      </c>
      <c r="B16">
        <v>1680</v>
      </c>
      <c r="C16">
        <v>2060</v>
      </c>
      <c r="D16">
        <v>2250</v>
      </c>
    </row>
    <row r="17" spans="1:4" x14ac:dyDescent="0.2">
      <c r="A17" t="s">
        <v>8</v>
      </c>
      <c r="B17">
        <f>6000*1.09</f>
        <v>6540.0000000000009</v>
      </c>
      <c r="C17">
        <f>6200*1.09</f>
        <v>6758.0000000000009</v>
      </c>
      <c r="D17">
        <f>7700*1.09</f>
        <v>8393</v>
      </c>
    </row>
  </sheetData>
  <mergeCells count="1"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3"/>
  <sheetViews>
    <sheetView workbookViewId="0"/>
  </sheetViews>
  <sheetFormatPr baseColWidth="10" defaultRowHeight="16" x14ac:dyDescent="0.2"/>
  <cols>
    <col min="1" max="1" width="18.83203125" customWidth="1"/>
  </cols>
  <sheetData>
    <row r="1" spans="1:7" x14ac:dyDescent="0.2">
      <c r="A1" s="2" t="s">
        <v>202</v>
      </c>
    </row>
    <row r="2" spans="1:7" x14ac:dyDescent="0.2"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</row>
    <row r="3" spans="1:7" x14ac:dyDescent="0.2">
      <c r="A3" t="s">
        <v>71</v>
      </c>
      <c r="B3">
        <f>(45.45+6.22)</f>
        <v>51.67</v>
      </c>
      <c r="C3">
        <v>50.5</v>
      </c>
      <c r="D3">
        <v>57.33</v>
      </c>
      <c r="E3">
        <v>60.74</v>
      </c>
      <c r="F3">
        <v>60.89</v>
      </c>
      <c r="G3">
        <v>57.43</v>
      </c>
    </row>
    <row r="4" spans="1:7" x14ac:dyDescent="0.2">
      <c r="A4" t="s">
        <v>35</v>
      </c>
      <c r="B4">
        <v>31.83</v>
      </c>
      <c r="C4">
        <v>34.89</v>
      </c>
      <c r="D4">
        <v>32.33</v>
      </c>
      <c r="E4">
        <v>26.81</v>
      </c>
      <c r="F4">
        <v>27.5</v>
      </c>
      <c r="G4">
        <v>31.22</v>
      </c>
    </row>
    <row r="5" spans="1:7" x14ac:dyDescent="0.2">
      <c r="A5" t="s">
        <v>177</v>
      </c>
      <c r="B5">
        <v>9.3699999999999992</v>
      </c>
      <c r="C5">
        <v>10.61</v>
      </c>
      <c r="D5">
        <v>7.46</v>
      </c>
      <c r="E5">
        <v>9.36</v>
      </c>
      <c r="F5">
        <v>8.1</v>
      </c>
      <c r="G5">
        <v>7.74</v>
      </c>
    </row>
    <row r="6" spans="1:7" x14ac:dyDescent="0.2">
      <c r="A6" t="s">
        <v>189</v>
      </c>
      <c r="B6">
        <v>2.59</v>
      </c>
      <c r="C6">
        <v>1.1200000000000001</v>
      </c>
      <c r="D6">
        <v>0.81</v>
      </c>
      <c r="E6">
        <v>1.22</v>
      </c>
      <c r="F6">
        <v>1.38</v>
      </c>
      <c r="G6">
        <v>1.26</v>
      </c>
    </row>
    <row r="7" spans="1:7" x14ac:dyDescent="0.2">
      <c r="A7" t="s">
        <v>36</v>
      </c>
      <c r="B7">
        <v>2.62</v>
      </c>
      <c r="C7">
        <v>1.24</v>
      </c>
      <c r="D7">
        <v>0.44</v>
      </c>
      <c r="E7">
        <v>0.17</v>
      </c>
      <c r="F7">
        <v>0.04</v>
      </c>
      <c r="G7">
        <v>0.01</v>
      </c>
    </row>
    <row r="8" spans="1:7" x14ac:dyDescent="0.2">
      <c r="A8" t="s">
        <v>190</v>
      </c>
      <c r="B8">
        <v>0.18</v>
      </c>
      <c r="C8">
        <v>0.4</v>
      </c>
      <c r="D8">
        <v>0.69</v>
      </c>
      <c r="E8">
        <v>0.71</v>
      </c>
      <c r="F8">
        <v>0.89</v>
      </c>
      <c r="G8">
        <v>1.18</v>
      </c>
    </row>
    <row r="9" spans="1:7" x14ac:dyDescent="0.2">
      <c r="A9" t="s">
        <v>191</v>
      </c>
      <c r="B9">
        <v>0.83</v>
      </c>
      <c r="C9">
        <v>0.46</v>
      </c>
      <c r="D9">
        <v>0.43</v>
      </c>
      <c r="E9">
        <v>0.62</v>
      </c>
      <c r="F9">
        <v>0.77</v>
      </c>
      <c r="G9">
        <v>0.87</v>
      </c>
    </row>
    <row r="10" spans="1:7" x14ac:dyDescent="0.2">
      <c r="A10" t="s">
        <v>36</v>
      </c>
      <c r="B10">
        <v>0.28000000000000003</v>
      </c>
      <c r="C10">
        <v>0.41</v>
      </c>
      <c r="D10">
        <v>0.21</v>
      </c>
      <c r="E10">
        <v>0.08</v>
      </c>
      <c r="F10">
        <v>0.1</v>
      </c>
      <c r="G10">
        <v>0.1</v>
      </c>
    </row>
    <row r="11" spans="1:7" x14ac:dyDescent="0.2">
      <c r="A11" t="s">
        <v>178</v>
      </c>
      <c r="B11">
        <v>0.26</v>
      </c>
      <c r="C11">
        <v>0.13</v>
      </c>
      <c r="D11">
        <v>0.05</v>
      </c>
      <c r="E11">
        <v>0.04</v>
      </c>
      <c r="F11">
        <v>0.03</v>
      </c>
      <c r="G11">
        <v>0.01</v>
      </c>
    </row>
    <row r="12" spans="1:7" x14ac:dyDescent="0.2">
      <c r="A12" t="s">
        <v>192</v>
      </c>
      <c r="B12">
        <v>0.06</v>
      </c>
      <c r="C12">
        <v>0.04</v>
      </c>
      <c r="D12">
        <v>0.06</v>
      </c>
      <c r="E12">
        <v>0.04</v>
      </c>
      <c r="F12">
        <v>0.03</v>
      </c>
      <c r="G12">
        <v>0.02</v>
      </c>
    </row>
    <row r="13" spans="1:7" x14ac:dyDescent="0.2">
      <c r="A13" t="s">
        <v>179</v>
      </c>
      <c r="B13">
        <v>0.12</v>
      </c>
      <c r="C13">
        <v>0.06</v>
      </c>
      <c r="D13">
        <v>0.03</v>
      </c>
      <c r="E13">
        <v>0.01</v>
      </c>
      <c r="F13">
        <v>0.01</v>
      </c>
      <c r="G13">
        <v>0.01</v>
      </c>
    </row>
    <row r="14" spans="1:7" x14ac:dyDescent="0.2">
      <c r="A14" t="s">
        <v>185</v>
      </c>
      <c r="B14">
        <v>0.01</v>
      </c>
      <c r="C14">
        <v>0.02</v>
      </c>
      <c r="D14">
        <v>0.03</v>
      </c>
      <c r="E14">
        <v>0.04</v>
      </c>
      <c r="F14">
        <v>0.06</v>
      </c>
      <c r="G14">
        <v>0.06</v>
      </c>
    </row>
    <row r="15" spans="1:7" x14ac:dyDescent="0.2">
      <c r="A15" t="s">
        <v>193</v>
      </c>
      <c r="B15">
        <v>0.01</v>
      </c>
      <c r="C15">
        <v>0.01</v>
      </c>
      <c r="D15">
        <v>0.02</v>
      </c>
      <c r="E15">
        <v>0.04</v>
      </c>
      <c r="F15">
        <v>7.0000000000000007E-2</v>
      </c>
      <c r="G15">
        <v>0.02</v>
      </c>
    </row>
    <row r="16" spans="1:7" x14ac:dyDescent="0.2">
      <c r="A16" t="s">
        <v>66</v>
      </c>
      <c r="B16">
        <v>0.03</v>
      </c>
      <c r="C16">
        <v>0.02</v>
      </c>
      <c r="D16">
        <v>0.02</v>
      </c>
      <c r="E16">
        <v>0.01</v>
      </c>
      <c r="F16">
        <v>0</v>
      </c>
      <c r="G16">
        <v>0</v>
      </c>
    </row>
    <row r="17" spans="1:7" x14ac:dyDescent="0.2">
      <c r="A17" t="s">
        <v>194</v>
      </c>
      <c r="B17">
        <v>0.04</v>
      </c>
      <c r="C17">
        <v>0.02</v>
      </c>
      <c r="D17">
        <v>0.01</v>
      </c>
      <c r="E17">
        <v>0</v>
      </c>
      <c r="F17">
        <v>0</v>
      </c>
      <c r="G17">
        <v>0</v>
      </c>
    </row>
    <row r="18" spans="1:7" x14ac:dyDescent="0.2">
      <c r="A18" t="s">
        <v>180</v>
      </c>
      <c r="B18">
        <v>0.02</v>
      </c>
      <c r="C18">
        <v>0.01</v>
      </c>
      <c r="D18">
        <v>0.01</v>
      </c>
      <c r="E18">
        <v>0.01</v>
      </c>
      <c r="F18">
        <v>0.01</v>
      </c>
      <c r="G18">
        <v>0</v>
      </c>
    </row>
    <row r="19" spans="1:7" x14ac:dyDescent="0.2">
      <c r="A19" t="s">
        <v>49</v>
      </c>
      <c r="B19">
        <v>0.08</v>
      </c>
      <c r="C19">
        <v>0.06</v>
      </c>
      <c r="D19">
        <v>7.0000000000000007E-2</v>
      </c>
      <c r="E19">
        <v>0.09</v>
      </c>
      <c r="F19">
        <v>0.14000000000000001</v>
      </c>
      <c r="G19">
        <v>0.08</v>
      </c>
    </row>
    <row r="22" spans="1:7" x14ac:dyDescent="0.2">
      <c r="A22" s="2" t="s">
        <v>201</v>
      </c>
    </row>
    <row r="24" spans="1:7" x14ac:dyDescent="0.2">
      <c r="B24">
        <v>2016</v>
      </c>
      <c r="C24">
        <v>2017</v>
      </c>
      <c r="D24">
        <v>2018</v>
      </c>
      <c r="E24">
        <v>2019</v>
      </c>
      <c r="F24">
        <v>2020</v>
      </c>
      <c r="G24">
        <v>2021</v>
      </c>
    </row>
    <row r="25" spans="1:7" x14ac:dyDescent="0.2">
      <c r="A25" t="s">
        <v>71</v>
      </c>
      <c r="B25">
        <v>49.94</v>
      </c>
      <c r="C25">
        <v>51.19</v>
      </c>
      <c r="D25">
        <v>55.01</v>
      </c>
      <c r="E25">
        <v>60.66</v>
      </c>
      <c r="F25">
        <v>59.940000000000005</v>
      </c>
      <c r="G25">
        <v>59.32</v>
      </c>
    </row>
    <row r="26" spans="1:7" x14ac:dyDescent="0.2">
      <c r="A26" t="s">
        <v>190</v>
      </c>
      <c r="B26">
        <v>23.580000000000002</v>
      </c>
      <c r="C26">
        <v>22.419999999999998</v>
      </c>
      <c r="D26">
        <v>17.920000000000002</v>
      </c>
      <c r="E26">
        <v>16.430000000000003</v>
      </c>
      <c r="F26">
        <v>16.260000000000002</v>
      </c>
      <c r="G26">
        <v>15.64</v>
      </c>
    </row>
    <row r="27" spans="1:7" x14ac:dyDescent="0.2">
      <c r="A27" t="s">
        <v>35</v>
      </c>
      <c r="B27">
        <v>8.8800000000000008</v>
      </c>
      <c r="C27">
        <v>9.35</v>
      </c>
      <c r="D27">
        <v>9</v>
      </c>
      <c r="E27">
        <v>10.23</v>
      </c>
      <c r="F27">
        <v>11.36</v>
      </c>
      <c r="G27">
        <v>10.65</v>
      </c>
    </row>
    <row r="28" spans="1:7" x14ac:dyDescent="0.2">
      <c r="A28" t="s">
        <v>36</v>
      </c>
      <c r="B28">
        <v>19.89</v>
      </c>
      <c r="C28">
        <v>20.64</v>
      </c>
      <c r="D28">
        <v>17.61</v>
      </c>
      <c r="E28">
        <v>15.91</v>
      </c>
      <c r="F28">
        <v>13.54</v>
      </c>
      <c r="G28">
        <v>12.14</v>
      </c>
    </row>
    <row r="29" spans="1:7" x14ac:dyDescent="0.2">
      <c r="A29" t="s">
        <v>195</v>
      </c>
      <c r="B29">
        <v>1.1200000000000001</v>
      </c>
      <c r="C29">
        <v>1.63</v>
      </c>
      <c r="D29">
        <v>5.44</v>
      </c>
      <c r="E29">
        <v>1.72</v>
      </c>
      <c r="F29">
        <v>1.99</v>
      </c>
      <c r="G29">
        <v>2.4300000000000002</v>
      </c>
    </row>
    <row r="30" spans="1:7" x14ac:dyDescent="0.2">
      <c r="A30" t="s">
        <v>196</v>
      </c>
      <c r="B30">
        <v>0.16</v>
      </c>
      <c r="C30">
        <v>0.18</v>
      </c>
      <c r="D30">
        <v>0.14000000000000001</v>
      </c>
      <c r="E30">
        <v>0.17</v>
      </c>
      <c r="F30">
        <v>0.22</v>
      </c>
      <c r="G30">
        <v>0.13</v>
      </c>
    </row>
    <row r="31" spans="1:7" x14ac:dyDescent="0.2">
      <c r="A31" t="s">
        <v>197</v>
      </c>
      <c r="B31">
        <v>0.15</v>
      </c>
      <c r="C31">
        <v>0.12</v>
      </c>
      <c r="D31">
        <v>0.09</v>
      </c>
      <c r="E31">
        <v>7.0000000000000007E-2</v>
      </c>
      <c r="F31">
        <v>0.05</v>
      </c>
      <c r="G31">
        <v>0.04</v>
      </c>
    </row>
    <row r="32" spans="1:7" x14ac:dyDescent="0.2">
      <c r="A32" t="s">
        <v>198</v>
      </c>
      <c r="B32">
        <v>0.06</v>
      </c>
      <c r="C32">
        <v>0.11</v>
      </c>
      <c r="D32">
        <v>0.06</v>
      </c>
      <c r="E32">
        <v>0.08</v>
      </c>
      <c r="F32">
        <v>0.06</v>
      </c>
      <c r="G32">
        <v>0.04</v>
      </c>
    </row>
    <row r="33" spans="1:7" x14ac:dyDescent="0.2">
      <c r="A33" t="s">
        <v>185</v>
      </c>
      <c r="B33">
        <v>0.04</v>
      </c>
      <c r="C33">
        <v>0.04</v>
      </c>
      <c r="D33">
        <v>0.03</v>
      </c>
      <c r="E33">
        <v>7.0000000000000007E-2</v>
      </c>
      <c r="F33">
        <v>0.11</v>
      </c>
      <c r="G33">
        <v>0.1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6"/>
  <sheetViews>
    <sheetView workbookViewId="0"/>
  </sheetViews>
  <sheetFormatPr baseColWidth="10" defaultRowHeight="16" x14ac:dyDescent="0.2"/>
  <cols>
    <col min="1" max="1" width="26.83203125" customWidth="1"/>
  </cols>
  <sheetData>
    <row r="1" spans="1:4" x14ac:dyDescent="0.2">
      <c r="A1" s="2" t="s">
        <v>199</v>
      </c>
    </row>
    <row r="2" spans="1:4" x14ac:dyDescent="0.2">
      <c r="B2">
        <v>2019</v>
      </c>
      <c r="C2">
        <v>2020</v>
      </c>
      <c r="D2">
        <v>2021</v>
      </c>
    </row>
    <row r="3" spans="1:4" x14ac:dyDescent="0.2">
      <c r="A3" t="s">
        <v>76</v>
      </c>
      <c r="B3">
        <v>38619.790000000008</v>
      </c>
      <c r="C3">
        <v>38761.163</v>
      </c>
      <c r="D3">
        <v>39757.423000000003</v>
      </c>
    </row>
    <row r="4" spans="1:4" x14ac:dyDescent="0.2">
      <c r="A4" t="s">
        <v>27</v>
      </c>
      <c r="B4">
        <v>25860.314259999999</v>
      </c>
      <c r="C4">
        <v>25123.100310000005</v>
      </c>
      <c r="D4">
        <v>25855.020970000001</v>
      </c>
    </row>
    <row r="5" spans="1:4" x14ac:dyDescent="0.2">
      <c r="A5" t="s">
        <v>26</v>
      </c>
      <c r="B5">
        <v>8100</v>
      </c>
      <c r="C5">
        <v>8694</v>
      </c>
      <c r="D5">
        <v>10489</v>
      </c>
    </row>
    <row r="6" spans="1:4" x14ac:dyDescent="0.2">
      <c r="A6" t="s">
        <v>23</v>
      </c>
      <c r="B6">
        <f>SUM(B3:B5)</f>
        <v>72580.104260000007</v>
      </c>
      <c r="C6">
        <f>SUM(C3:C5)</f>
        <v>72578.263310000009</v>
      </c>
      <c r="D6">
        <f>SUM(D3:D5)</f>
        <v>76101.443970000008</v>
      </c>
    </row>
  </sheetData>
  <pageMargins left="0.7" right="0.7" top="0.75" bottom="0.75" header="0.3" footer="0.3"/>
  <ignoredErrors>
    <ignoredError sqref="B6:D6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"/>
  <sheetViews>
    <sheetView workbookViewId="0">
      <selection sqref="A1:D1"/>
    </sheetView>
  </sheetViews>
  <sheetFormatPr baseColWidth="10" defaultRowHeight="16" x14ac:dyDescent="0.2"/>
  <cols>
    <col min="1" max="1" width="34.83203125" customWidth="1"/>
  </cols>
  <sheetData>
    <row r="1" spans="1:4" ht="18" customHeight="1" x14ac:dyDescent="0.2">
      <c r="A1" s="27" t="s">
        <v>109</v>
      </c>
      <c r="B1" s="27"/>
      <c r="C1" s="27"/>
      <c r="D1" s="27"/>
    </row>
    <row r="2" spans="1:4" x14ac:dyDescent="0.2">
      <c r="B2">
        <v>2019</v>
      </c>
      <c r="C2">
        <v>2020</v>
      </c>
      <c r="D2">
        <v>2021</v>
      </c>
    </row>
    <row r="3" spans="1:4" x14ac:dyDescent="0.2">
      <c r="A3" t="s">
        <v>76</v>
      </c>
      <c r="B3">
        <v>91.8</v>
      </c>
      <c r="C3">
        <v>92.8</v>
      </c>
      <c r="D3">
        <v>89.5</v>
      </c>
    </row>
    <row r="4" spans="1:4" x14ac:dyDescent="0.2">
      <c r="A4" t="s">
        <v>27</v>
      </c>
      <c r="B4">
        <v>62.3</v>
      </c>
      <c r="C4">
        <v>63</v>
      </c>
      <c r="D4">
        <v>64.400000000000006</v>
      </c>
    </row>
    <row r="5" spans="1:4" x14ac:dyDescent="0.2">
      <c r="A5" t="s">
        <v>26</v>
      </c>
      <c r="B5">
        <v>90.1</v>
      </c>
      <c r="C5">
        <v>90.2</v>
      </c>
      <c r="D5">
        <v>90.1</v>
      </c>
    </row>
    <row r="6" spans="1:4" x14ac:dyDescent="0.2">
      <c r="A6" t="s">
        <v>24</v>
      </c>
      <c r="B6">
        <v>80.400000000000006</v>
      </c>
      <c r="C6">
        <v>81.2</v>
      </c>
      <c r="D6">
        <v>81.2</v>
      </c>
    </row>
  </sheetData>
  <mergeCells count="1">
    <mergeCell ref="A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31"/>
  <sheetViews>
    <sheetView workbookViewId="0">
      <selection sqref="A1:O1"/>
    </sheetView>
  </sheetViews>
  <sheetFormatPr baseColWidth="10" defaultRowHeight="16" x14ac:dyDescent="0.2"/>
  <sheetData>
    <row r="1" spans="1:16" x14ac:dyDescent="0.2">
      <c r="A1" s="28" t="s">
        <v>200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x14ac:dyDescent="0.2">
      <c r="B2" t="s">
        <v>0</v>
      </c>
      <c r="C2" t="s">
        <v>1</v>
      </c>
      <c r="D2" t="s">
        <v>30</v>
      </c>
      <c r="E2" t="s">
        <v>3</v>
      </c>
      <c r="F2" t="s">
        <v>11</v>
      </c>
      <c r="G2" t="s">
        <v>73</v>
      </c>
      <c r="H2" t="s">
        <v>12</v>
      </c>
      <c r="I2" t="s">
        <v>9</v>
      </c>
      <c r="J2" t="s">
        <v>31</v>
      </c>
      <c r="K2" t="s">
        <v>32</v>
      </c>
      <c r="L2" t="s">
        <v>52</v>
      </c>
      <c r="M2" t="s">
        <v>8</v>
      </c>
      <c r="N2" t="s">
        <v>29</v>
      </c>
    </row>
    <row r="3" spans="1:16" x14ac:dyDescent="0.2">
      <c r="A3" t="s">
        <v>45</v>
      </c>
      <c r="B3">
        <f>1026*1.09</f>
        <v>1118.3400000000001</v>
      </c>
      <c r="C3">
        <f>5780*1.09</f>
        <v>6300.2000000000007</v>
      </c>
      <c r="D3">
        <f>5605.8*1.09</f>
        <v>6110.322000000001</v>
      </c>
      <c r="E3">
        <f>1244.55*1.09</f>
        <v>1356.5595000000001</v>
      </c>
      <c r="G3">
        <f>131.9</f>
        <v>131.9</v>
      </c>
      <c r="K3">
        <f>95.8*1.09</f>
        <v>104.42200000000001</v>
      </c>
      <c r="N3">
        <f>SUM(B3:M3)</f>
        <v>15121.7435</v>
      </c>
      <c r="O3">
        <f>N3/N25*100</f>
        <v>21.123410850898306</v>
      </c>
      <c r="P3">
        <f>O3*O3</f>
        <v>446.19848597584831</v>
      </c>
    </row>
    <row r="4" spans="1:16" x14ac:dyDescent="0.2">
      <c r="A4" t="s">
        <v>61</v>
      </c>
      <c r="B4">
        <f>363.5*1.09</f>
        <v>396.21500000000003</v>
      </c>
      <c r="C4">
        <f>3568*1.09</f>
        <v>3889.1200000000003</v>
      </c>
      <c r="D4">
        <f>1957.82*1.09</f>
        <v>2134.0237999999999</v>
      </c>
      <c r="E4">
        <f>434.65*1.09</f>
        <v>473.76850000000002</v>
      </c>
      <c r="F4">
        <f>1576*1.09</f>
        <v>1717.8400000000001</v>
      </c>
      <c r="G4">
        <f>41.9</f>
        <v>41.9</v>
      </c>
      <c r="N4">
        <f t="shared" ref="N4:N25" si="0">SUM(B4:M4)</f>
        <v>8652.8672999999999</v>
      </c>
      <c r="O4">
        <f>N4/N25*100</f>
        <v>12.087102986253081</v>
      </c>
      <c r="P4">
        <f t="shared" ref="P4:P24" si="1">O4*O4</f>
        <v>146.09805860028814</v>
      </c>
    </row>
    <row r="5" spans="1:16" x14ac:dyDescent="0.2">
      <c r="A5" t="s">
        <v>63</v>
      </c>
      <c r="B5">
        <f>518.18*1.09</f>
        <v>564.81619999999998</v>
      </c>
      <c r="C5">
        <f>3185*1.09</f>
        <v>3471.65</v>
      </c>
      <c r="D5">
        <f>2831.09*1.09</f>
        <v>3085.8881000000006</v>
      </c>
      <c r="E5">
        <f>467*1.09</f>
        <v>509.03000000000003</v>
      </c>
      <c r="F5">
        <f>195.11</f>
        <v>195.11</v>
      </c>
      <c r="G5">
        <f>11.9</f>
        <v>11.9</v>
      </c>
      <c r="N5">
        <f t="shared" si="0"/>
        <v>7838.3942999999999</v>
      </c>
      <c r="O5">
        <f>N5/N25*100</f>
        <v>10.949373874132927</v>
      </c>
      <c r="P5">
        <f t="shared" si="1"/>
        <v>119.88878823554471</v>
      </c>
    </row>
    <row r="6" spans="1:16" x14ac:dyDescent="0.2">
      <c r="A6" t="s">
        <v>60</v>
      </c>
      <c r="B6">
        <f>567*1.09</f>
        <v>618.03000000000009</v>
      </c>
      <c r="C6">
        <f>2211.7*1.09</f>
        <v>2410.7530000000002</v>
      </c>
      <c r="D6">
        <f>3098.7*1.09</f>
        <v>3377.5830000000001</v>
      </c>
      <c r="E6">
        <f>688*1.09</f>
        <v>749.92000000000007</v>
      </c>
      <c r="N6">
        <f t="shared" si="0"/>
        <v>7156.2860000000001</v>
      </c>
      <c r="O6">
        <f>N6/N25*100</f>
        <v>9.9965436753064623</v>
      </c>
      <c r="P6">
        <f t="shared" si="1"/>
        <v>99.930885452309639</v>
      </c>
    </row>
    <row r="7" spans="1:16" x14ac:dyDescent="0.2">
      <c r="A7" t="s">
        <v>47</v>
      </c>
      <c r="E7">
        <f>775.7*1.09</f>
        <v>845.51300000000015</v>
      </c>
      <c r="F7">
        <f>185.11</f>
        <v>185.11</v>
      </c>
      <c r="G7">
        <f>1865.5</f>
        <v>1865.5</v>
      </c>
      <c r="H7">
        <f>661.3</f>
        <v>661.3</v>
      </c>
      <c r="K7">
        <f>347.53*1.09</f>
        <v>378.80770000000001</v>
      </c>
      <c r="L7">
        <f>856*1.09</f>
        <v>933.04000000000008</v>
      </c>
      <c r="N7">
        <f t="shared" si="0"/>
        <v>4869.2707</v>
      </c>
      <c r="O7">
        <f>N7/N25*100</f>
        <v>6.8018350886814867</v>
      </c>
      <c r="P7">
        <f t="shared" si="1"/>
        <v>46.264960573618687</v>
      </c>
    </row>
    <row r="8" spans="1:16" x14ac:dyDescent="0.2">
      <c r="A8" t="s">
        <v>71</v>
      </c>
      <c r="I8">
        <f>38.17*1.09</f>
        <v>41.605300000000007</v>
      </c>
      <c r="K8">
        <f>76.3</f>
        <v>76.3</v>
      </c>
      <c r="M8">
        <f>3411.94*1.09</f>
        <v>3719.0146000000004</v>
      </c>
      <c r="N8">
        <f t="shared" si="0"/>
        <v>3836.9199000000003</v>
      </c>
      <c r="O8">
        <f>N8/N25*100</f>
        <v>5.3597546770772588</v>
      </c>
      <c r="P8">
        <f t="shared" si="1"/>
        <v>28.72697019845155</v>
      </c>
    </row>
    <row r="9" spans="1:16" x14ac:dyDescent="0.2">
      <c r="A9" t="s">
        <v>74</v>
      </c>
      <c r="J9">
        <f>104*1.09</f>
        <v>113.36000000000001</v>
      </c>
      <c r="L9">
        <f>1039.2*1.09</f>
        <v>1132.7280000000001</v>
      </c>
      <c r="N9">
        <f t="shared" si="0"/>
        <v>1246.0880000000002</v>
      </c>
      <c r="O9">
        <f>N9/N25*100</f>
        <v>1.740647748744989</v>
      </c>
      <c r="P9">
        <f t="shared" si="1"/>
        <v>3.0298545852109982</v>
      </c>
    </row>
    <row r="10" spans="1:16" x14ac:dyDescent="0.2">
      <c r="A10" t="s">
        <v>64</v>
      </c>
      <c r="F10">
        <f>3110.86</f>
        <v>3110.86</v>
      </c>
      <c r="N10">
        <f t="shared" si="0"/>
        <v>3110.86</v>
      </c>
      <c r="O10">
        <f>N10/N25*100</f>
        <v>4.3455289318738606</v>
      </c>
      <c r="P10">
        <f t="shared" si="1"/>
        <v>18.883621697752776</v>
      </c>
    </row>
    <row r="11" spans="1:16" x14ac:dyDescent="0.2">
      <c r="A11" t="s">
        <v>72</v>
      </c>
      <c r="M11">
        <f>1799.7*1.09</f>
        <v>1961.6730000000002</v>
      </c>
      <c r="N11">
        <f t="shared" si="0"/>
        <v>1961.6730000000002</v>
      </c>
      <c r="O11">
        <f>N11/N25*100</f>
        <v>2.7402412118757491</v>
      </c>
      <c r="P11">
        <f t="shared" si="1"/>
        <v>7.5089218992622744</v>
      </c>
    </row>
    <row r="12" spans="1:16" x14ac:dyDescent="0.2">
      <c r="A12" t="s">
        <v>66</v>
      </c>
      <c r="I12">
        <f>(989.17+628.12)*1.09</f>
        <v>1762.8461</v>
      </c>
      <c r="N12">
        <f t="shared" si="0"/>
        <v>1762.8461</v>
      </c>
      <c r="O12">
        <f>N12/N25*100</f>
        <v>2.4625019222951217</v>
      </c>
      <c r="P12">
        <f t="shared" si="1"/>
        <v>6.0639157173071698</v>
      </c>
    </row>
    <row r="13" spans="1:16" x14ac:dyDescent="0.2">
      <c r="A13" t="s">
        <v>143</v>
      </c>
      <c r="F13">
        <f>1047.49</f>
        <v>1047.49</v>
      </c>
      <c r="G13">
        <f>88.5</f>
        <v>88.5</v>
      </c>
      <c r="J13">
        <f>140.5*1.09</f>
        <v>153.14500000000001</v>
      </c>
      <c r="N13">
        <f t="shared" si="0"/>
        <v>1289.135</v>
      </c>
      <c r="O13">
        <f>N13/N25*100</f>
        <v>1.800779668513276</v>
      </c>
      <c r="P13">
        <f t="shared" si="1"/>
        <v>3.2428074145307839</v>
      </c>
    </row>
    <row r="14" spans="1:16" x14ac:dyDescent="0.2">
      <c r="A14" t="s">
        <v>34</v>
      </c>
      <c r="H14">
        <f>585*1.09</f>
        <v>637.65000000000009</v>
      </c>
      <c r="K14">
        <f>93.9</f>
        <v>93.9</v>
      </c>
      <c r="M14">
        <f>485.15*1.09</f>
        <v>528.81349999999998</v>
      </c>
      <c r="N14">
        <f t="shared" si="0"/>
        <v>1260.3634999999999</v>
      </c>
      <c r="O14">
        <f>N14/N25*100</f>
        <v>1.7605890505930193</v>
      </c>
      <c r="P14">
        <f t="shared" si="1"/>
        <v>3.0996738050680293</v>
      </c>
    </row>
    <row r="15" spans="1:16" x14ac:dyDescent="0.2">
      <c r="A15" t="s">
        <v>33</v>
      </c>
      <c r="H15">
        <f>1104*1.09</f>
        <v>1203.3600000000001</v>
      </c>
      <c r="N15">
        <f t="shared" si="0"/>
        <v>1203.3600000000001</v>
      </c>
      <c r="O15">
        <f>N15/N25*100</f>
        <v>1.6809614368566022</v>
      </c>
      <c r="P15">
        <f t="shared" si="1"/>
        <v>2.8256313521990126</v>
      </c>
    </row>
    <row r="16" spans="1:16" x14ac:dyDescent="0.2">
      <c r="A16" t="s">
        <v>62</v>
      </c>
      <c r="E16">
        <f>697*1.09</f>
        <v>759.73</v>
      </c>
      <c r="N16">
        <f t="shared" si="0"/>
        <v>759.73</v>
      </c>
      <c r="O16">
        <f>N16/N25*100</f>
        <v>1.0612591680154453</v>
      </c>
      <c r="P16">
        <f t="shared" si="1"/>
        <v>1.126271021696835</v>
      </c>
    </row>
    <row r="17" spans="1:16" x14ac:dyDescent="0.2">
      <c r="A17" t="s">
        <v>69</v>
      </c>
      <c r="J17">
        <f>720.7</f>
        <v>720.7</v>
      </c>
      <c r="N17">
        <f t="shared" si="0"/>
        <v>720.7</v>
      </c>
      <c r="O17">
        <f>N17/N25*100</f>
        <v>1.0067385549981329</v>
      </c>
      <c r="P17">
        <f t="shared" si="1"/>
        <v>1.0135225181197287</v>
      </c>
    </row>
    <row r="18" spans="1:16" x14ac:dyDescent="0.2">
      <c r="A18" t="s">
        <v>67</v>
      </c>
      <c r="I18">
        <f>632.25*1.09</f>
        <v>689.15250000000003</v>
      </c>
      <c r="N18">
        <f t="shared" si="0"/>
        <v>689.15250000000003</v>
      </c>
      <c r="O18">
        <f>N18/N25*100</f>
        <v>0.96267017069980676</v>
      </c>
      <c r="P18">
        <f t="shared" si="1"/>
        <v>0.92673385755519511</v>
      </c>
    </row>
    <row r="19" spans="1:16" x14ac:dyDescent="0.2">
      <c r="A19" t="s">
        <v>68</v>
      </c>
      <c r="I19">
        <f>316.13*1.09</f>
        <v>344.58170000000001</v>
      </c>
      <c r="N19">
        <f t="shared" si="0"/>
        <v>344.58170000000001</v>
      </c>
      <c r="O19">
        <f>N19/N25*100</f>
        <v>0.48134269839988919</v>
      </c>
      <c r="P19">
        <f t="shared" si="1"/>
        <v>0.23169079330288669</v>
      </c>
    </row>
    <row r="20" spans="1:16" x14ac:dyDescent="0.2">
      <c r="A20" t="s">
        <v>36</v>
      </c>
      <c r="I20">
        <f>(50.99+40.79+10.2+111.7)*1.09</f>
        <v>232.91120000000004</v>
      </c>
      <c r="N20">
        <f t="shared" si="0"/>
        <v>232.91120000000004</v>
      </c>
      <c r="O20">
        <f>N20/N25*100</f>
        <v>0.32535130419159314</v>
      </c>
      <c r="P20">
        <f t="shared" si="1"/>
        <v>0.10585347113917057</v>
      </c>
    </row>
    <row r="21" spans="1:16" x14ac:dyDescent="0.2">
      <c r="A21" t="s">
        <v>75</v>
      </c>
      <c r="H21">
        <f>206*1.09</f>
        <v>224.54000000000002</v>
      </c>
      <c r="N21">
        <f t="shared" si="0"/>
        <v>224.54000000000002</v>
      </c>
      <c r="O21">
        <f>N21/N25*100</f>
        <v>0.31365765941346019</v>
      </c>
      <c r="P21">
        <f t="shared" si="1"/>
        <v>9.8381127308730193E-2</v>
      </c>
    </row>
    <row r="22" spans="1:16" x14ac:dyDescent="0.2">
      <c r="A22" t="s">
        <v>70</v>
      </c>
      <c r="K22">
        <f>129.2</f>
        <v>129.19999999999999</v>
      </c>
      <c r="N22">
        <f t="shared" si="0"/>
        <v>129.19999999999999</v>
      </c>
      <c r="O22">
        <f>N22/N25*100</f>
        <v>0.18047817580929479</v>
      </c>
      <c r="P22">
        <f t="shared" si="1"/>
        <v>3.2572371943450716E-2</v>
      </c>
    </row>
    <row r="23" spans="1:16" x14ac:dyDescent="0.2">
      <c r="A23" t="s">
        <v>35</v>
      </c>
      <c r="I23">
        <f>24.68*1.09</f>
        <v>26.901200000000003</v>
      </c>
      <c r="K23">
        <f>67.5</f>
        <v>67.5</v>
      </c>
      <c r="N23">
        <f t="shared" si="0"/>
        <v>94.401200000000003</v>
      </c>
      <c r="O23">
        <f>N23/N25*100</f>
        <v>0.13186808336074612</v>
      </c>
      <c r="P23">
        <f t="shared" si="1"/>
        <v>1.7389191409236688E-2</v>
      </c>
    </row>
    <row r="24" spans="1:16" x14ac:dyDescent="0.2">
      <c r="A24" t="s">
        <v>65</v>
      </c>
      <c r="G24">
        <v>45.5</v>
      </c>
      <c r="N24">
        <f t="shared" si="0"/>
        <v>45.5</v>
      </c>
      <c r="O24">
        <f>N24/N25*100</f>
        <v>6.3558490706833698E-2</v>
      </c>
      <c r="P24">
        <f t="shared" si="1"/>
        <v>4.0396817409306656E-3</v>
      </c>
    </row>
    <row r="25" spans="1:16" x14ac:dyDescent="0.2">
      <c r="A25" t="s">
        <v>37</v>
      </c>
      <c r="B25">
        <f>2578*1.09</f>
        <v>2810.02</v>
      </c>
      <c r="C25">
        <f>14745*1.09</f>
        <v>16072.050000000001</v>
      </c>
      <c r="D25">
        <f>14085*1.09</f>
        <v>15352.650000000001</v>
      </c>
      <c r="E25">
        <f>5066.7*1.09</f>
        <v>5522.7030000000004</v>
      </c>
      <c r="F25">
        <f>5708.1*1.09</f>
        <v>6221.8290000000006</v>
      </c>
      <c r="G25">
        <f>2746.3*1.09</f>
        <v>2993.4670000000006</v>
      </c>
      <c r="H25">
        <f>2176*1.09</f>
        <v>2371.84</v>
      </c>
      <c r="I25">
        <f>5652*1.09</f>
        <v>6160.68</v>
      </c>
      <c r="J25">
        <f>1277*1.09</f>
        <v>1391.93</v>
      </c>
      <c r="K25">
        <f>864*1.09</f>
        <v>941.7600000000001</v>
      </c>
      <c r="L25">
        <f>3078.6*1.09</f>
        <v>3355.674</v>
      </c>
      <c r="M25">
        <f>7700*1.09</f>
        <v>8393</v>
      </c>
      <c r="N25">
        <f t="shared" si="0"/>
        <v>71587.603000000003</v>
      </c>
      <c r="P25">
        <f>SUM(P3:P24)</f>
        <v>935.31902954160853</v>
      </c>
    </row>
    <row r="26" spans="1:16" x14ac:dyDescent="0.2">
      <c r="A26" t="s">
        <v>38</v>
      </c>
      <c r="N26">
        <f>N3/N25*100</f>
        <v>21.123410850898306</v>
      </c>
    </row>
    <row r="27" spans="1:16" x14ac:dyDescent="0.2">
      <c r="A27" t="s">
        <v>39</v>
      </c>
      <c r="N27">
        <f>(SUM(N3:N6))/N25*100</f>
        <v>54.156431386590775</v>
      </c>
    </row>
    <row r="28" spans="1:16" x14ac:dyDescent="0.2">
      <c r="A28" t="s">
        <v>40</v>
      </c>
      <c r="N28">
        <f>(SUM(N3:N12))/N25*100</f>
        <v>77.606940967139266</v>
      </c>
    </row>
    <row r="29" spans="1:16" x14ac:dyDescent="0.2">
      <c r="A29" t="s">
        <v>43</v>
      </c>
      <c r="N29">
        <f>(SUM(N3:N7)+N9+N13)/N25*100</f>
        <v>64.499693892530544</v>
      </c>
    </row>
    <row r="30" spans="1:16" x14ac:dyDescent="0.2">
      <c r="A30" t="s">
        <v>41</v>
      </c>
      <c r="N30">
        <f>SUM(N8+N11+N14+N15+N20+N23)/N25*100</f>
        <v>11.998765763954971</v>
      </c>
    </row>
    <row r="31" spans="1:16" x14ac:dyDescent="0.2">
      <c r="A31" t="s">
        <v>42</v>
      </c>
      <c r="N31">
        <v>935.3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B1" sqref="B1"/>
    </sheetView>
  </sheetViews>
  <sheetFormatPr baseColWidth="10" defaultRowHeight="16" x14ac:dyDescent="0.2"/>
  <cols>
    <col min="1" max="1" width="8.5" customWidth="1"/>
    <col min="5" max="5" width="12" customWidth="1"/>
  </cols>
  <sheetData>
    <row r="1" spans="1:7" ht="17" x14ac:dyDescent="0.2">
      <c r="A1" s="14" t="s">
        <v>111</v>
      </c>
    </row>
    <row r="2" spans="1:7" x14ac:dyDescent="0.2">
      <c r="A2" s="17"/>
      <c r="B2" s="17" t="s">
        <v>0</v>
      </c>
      <c r="C2" s="17" t="s">
        <v>1</v>
      </c>
      <c r="D2" s="17" t="s">
        <v>48</v>
      </c>
      <c r="E2" s="17" t="s">
        <v>3</v>
      </c>
      <c r="F2" s="17" t="s">
        <v>29</v>
      </c>
      <c r="G2" s="17"/>
    </row>
    <row r="3" spans="1:7" x14ac:dyDescent="0.2">
      <c r="A3" s="17">
        <v>2015</v>
      </c>
      <c r="B3" s="17">
        <v>6061.4900000000007</v>
      </c>
      <c r="C3" s="17">
        <v>16521.13</v>
      </c>
      <c r="D3" s="17">
        <v>12838.02</v>
      </c>
      <c r="E3" s="17">
        <v>5322.61192494439</v>
      </c>
      <c r="F3" s="17">
        <f>SUM(B3:E3)</f>
        <v>40743.251924944387</v>
      </c>
      <c r="G3" s="17"/>
    </row>
    <row r="4" spans="1:7" x14ac:dyDescent="0.2">
      <c r="A4" s="17">
        <v>2016</v>
      </c>
      <c r="B4" s="17">
        <v>5575.35</v>
      </c>
      <c r="C4" s="17">
        <v>16248.630000000001</v>
      </c>
      <c r="D4" s="17">
        <v>13308.900000000001</v>
      </c>
      <c r="E4" s="17">
        <v>5136.6088985287206</v>
      </c>
      <c r="F4" s="17">
        <f t="shared" ref="F4:F9" si="0">SUM(B4:E4)</f>
        <v>40269.488898528725</v>
      </c>
      <c r="G4" s="17"/>
    </row>
    <row r="5" spans="1:7" x14ac:dyDescent="0.2">
      <c r="A5" s="17">
        <v>2017</v>
      </c>
      <c r="B5" s="17">
        <v>4876.6600000000008</v>
      </c>
      <c r="C5" s="17">
        <v>15073.61</v>
      </c>
      <c r="D5" s="17">
        <v>13918.210000000001</v>
      </c>
      <c r="E5" s="17">
        <v>5129.8757264582509</v>
      </c>
      <c r="F5" s="17">
        <f t="shared" si="0"/>
        <v>38998.355726458256</v>
      </c>
      <c r="G5" s="17"/>
    </row>
    <row r="6" spans="1:7" x14ac:dyDescent="0.2">
      <c r="A6" s="17">
        <v>2018</v>
      </c>
      <c r="B6" s="17">
        <v>4285.88</v>
      </c>
      <c r="C6" s="17">
        <v>15061.62</v>
      </c>
      <c r="D6" s="17">
        <v>14057.730000000001</v>
      </c>
      <c r="E6" s="17">
        <v>5183.0721396153704</v>
      </c>
      <c r="F6" s="17">
        <f t="shared" si="0"/>
        <v>38588.302139615371</v>
      </c>
      <c r="G6" s="17"/>
    </row>
    <row r="7" spans="1:7" x14ac:dyDescent="0.2">
      <c r="A7" s="17">
        <v>2019</v>
      </c>
      <c r="B7" s="17">
        <v>3726.7100000000005</v>
      </c>
      <c r="C7" s="17">
        <v>15416.960000000001</v>
      </c>
      <c r="D7" s="17">
        <v>14276.820000000002</v>
      </c>
      <c r="E7" s="17">
        <v>5200.0681799067206</v>
      </c>
      <c r="F7" s="17">
        <f t="shared" si="0"/>
        <v>38620.558179906729</v>
      </c>
      <c r="G7" s="17"/>
    </row>
    <row r="8" spans="1:7" x14ac:dyDescent="0.2">
      <c r="A8" s="17">
        <v>2020</v>
      </c>
      <c r="B8" s="17">
        <v>3385.5400000000004</v>
      </c>
      <c r="C8" s="17">
        <v>15532.500000000002</v>
      </c>
      <c r="D8" s="17">
        <v>14669.220000000001</v>
      </c>
      <c r="E8" s="17">
        <v>5173.9030000000012</v>
      </c>
      <c r="F8" s="17">
        <f t="shared" si="0"/>
        <v>38761.163</v>
      </c>
      <c r="G8" s="17"/>
    </row>
    <row r="9" spans="1:7" x14ac:dyDescent="0.2">
      <c r="A9" s="17">
        <v>2021</v>
      </c>
      <c r="B9" s="17">
        <v>2810.02</v>
      </c>
      <c r="C9" s="17">
        <v>16072.050000000001</v>
      </c>
      <c r="D9" s="17">
        <v>15352.650000000001</v>
      </c>
      <c r="E9" s="17">
        <v>5522.7030000000004</v>
      </c>
      <c r="F9" s="17">
        <f t="shared" si="0"/>
        <v>39757.423000000003</v>
      </c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x14ac:dyDescent="0.2">
      <c r="A14" s="17"/>
      <c r="B14" s="17"/>
      <c r="C14" s="17"/>
      <c r="D14" s="17"/>
      <c r="E14" s="17"/>
      <c r="F14" s="17"/>
      <c r="G14" s="17"/>
    </row>
    <row r="15" spans="1:7" x14ac:dyDescent="0.2">
      <c r="A15" s="17"/>
      <c r="B15" s="17"/>
      <c r="C15" s="17"/>
      <c r="D15" s="17"/>
      <c r="E15" s="17"/>
      <c r="F15" s="17"/>
      <c r="G15" s="17"/>
    </row>
    <row r="16" spans="1:7" x14ac:dyDescent="0.2">
      <c r="A16" s="17"/>
      <c r="B16" s="17"/>
      <c r="C16" s="17"/>
      <c r="D16" s="17"/>
      <c r="E16" s="17"/>
      <c r="F16" s="17"/>
      <c r="G16" s="17"/>
    </row>
  </sheetData>
  <pageMargins left="0.7" right="0.7" top="0.75" bottom="0.75" header="0.3" footer="0.3"/>
  <ignoredErrors>
    <ignoredError sqref="F3:F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"/>
  <sheetViews>
    <sheetView workbookViewId="0">
      <selection activeCell="A15" sqref="A15:G22"/>
    </sheetView>
  </sheetViews>
  <sheetFormatPr baseColWidth="10" defaultRowHeight="16" x14ac:dyDescent="0.2"/>
  <cols>
    <col min="2" max="2" width="10.83203125" customWidth="1"/>
    <col min="4" max="4" width="16.33203125" bestFit="1" customWidth="1"/>
  </cols>
  <sheetData>
    <row r="1" spans="1:13" ht="19" x14ac:dyDescent="0.2">
      <c r="A1" s="15" t="s">
        <v>113</v>
      </c>
    </row>
    <row r="2" spans="1:13" x14ac:dyDescent="0.2">
      <c r="A2" s="17" t="s">
        <v>107</v>
      </c>
      <c r="B2" s="17" t="s">
        <v>138</v>
      </c>
      <c r="C2" s="17"/>
    </row>
    <row r="3" spans="1:13" x14ac:dyDescent="0.2">
      <c r="A3" s="17">
        <v>2015</v>
      </c>
      <c r="B3" s="17">
        <f>5561*1.09</f>
        <v>6061.4900000000007</v>
      </c>
      <c r="C3" s="17"/>
      <c r="I3" s="2"/>
      <c r="J3" s="7"/>
      <c r="K3" s="7"/>
      <c r="L3" s="7"/>
      <c r="M3" s="7"/>
    </row>
    <row r="4" spans="1:13" x14ac:dyDescent="0.2">
      <c r="A4" s="17">
        <v>2016</v>
      </c>
      <c r="B4" s="17">
        <f>5115*1.09</f>
        <v>5575.35</v>
      </c>
      <c r="C4" s="17"/>
      <c r="J4" s="8"/>
      <c r="K4" s="8"/>
      <c r="L4" s="8"/>
      <c r="M4" s="8"/>
    </row>
    <row r="5" spans="1:13" x14ac:dyDescent="0.2">
      <c r="A5" s="17">
        <v>2017</v>
      </c>
      <c r="B5" s="17">
        <f>4474*1.09</f>
        <v>4876.6600000000008</v>
      </c>
      <c r="C5" s="17"/>
      <c r="J5" s="8"/>
      <c r="K5" s="8"/>
      <c r="L5" s="8"/>
      <c r="M5" s="8"/>
    </row>
    <row r="6" spans="1:13" x14ac:dyDescent="0.2">
      <c r="A6" s="17">
        <v>2018</v>
      </c>
      <c r="B6" s="17">
        <f>3932*1.09</f>
        <v>4285.88</v>
      </c>
      <c r="C6" s="17"/>
      <c r="J6" s="8"/>
      <c r="K6" s="8"/>
      <c r="L6" s="8"/>
    </row>
    <row r="7" spans="1:13" x14ac:dyDescent="0.2">
      <c r="A7" s="17">
        <v>2019</v>
      </c>
      <c r="B7" s="17">
        <f>3419*1.09</f>
        <v>3726.7100000000005</v>
      </c>
      <c r="C7" s="17"/>
    </row>
    <row r="8" spans="1:13" x14ac:dyDescent="0.2">
      <c r="A8" s="17">
        <v>2020</v>
      </c>
      <c r="B8" s="17">
        <f>3106*1.09</f>
        <v>3385.5400000000004</v>
      </c>
      <c r="C8" s="17"/>
    </row>
    <row r="9" spans="1:13" x14ac:dyDescent="0.2">
      <c r="A9" s="17">
        <v>2021</v>
      </c>
      <c r="B9" s="17">
        <f>2578*1.09</f>
        <v>2810.02</v>
      </c>
      <c r="C9" s="17"/>
    </row>
    <row r="10" spans="1:13" x14ac:dyDescent="0.2">
      <c r="A10" s="17">
        <v>2022</v>
      </c>
      <c r="B10" s="17">
        <f>2143*1.09</f>
        <v>2335.8700000000003</v>
      </c>
      <c r="C10" s="17"/>
    </row>
    <row r="11" spans="1:13" x14ac:dyDescent="0.2">
      <c r="A11" s="17"/>
      <c r="B11" s="17"/>
      <c r="C11" s="17"/>
    </row>
    <row r="14" spans="1:13" ht="17" x14ac:dyDescent="0.2">
      <c r="A14" s="14" t="s">
        <v>114</v>
      </c>
    </row>
    <row r="15" spans="1:13" x14ac:dyDescent="0.2">
      <c r="B15" t="s">
        <v>45</v>
      </c>
      <c r="C15" t="s">
        <v>144</v>
      </c>
      <c r="D15" t="s">
        <v>46</v>
      </c>
      <c r="E15" t="s">
        <v>136</v>
      </c>
      <c r="F15" t="s">
        <v>49</v>
      </c>
    </row>
    <row r="16" spans="1:13" x14ac:dyDescent="0.2">
      <c r="A16">
        <v>2017</v>
      </c>
      <c r="B16">
        <v>40.299999999999997</v>
      </c>
      <c r="C16">
        <v>20.774999999999999</v>
      </c>
      <c r="D16">
        <v>11.7</v>
      </c>
      <c r="E16">
        <v>23.024999999999999</v>
      </c>
      <c r="F16">
        <v>4.1749999999999998</v>
      </c>
    </row>
    <row r="17" spans="1:6" x14ac:dyDescent="0.2">
      <c r="A17">
        <v>2018</v>
      </c>
      <c r="B17">
        <v>40.200000000000003</v>
      </c>
      <c r="C17">
        <v>20.6</v>
      </c>
      <c r="D17">
        <v>12.6</v>
      </c>
      <c r="E17">
        <v>22.1</v>
      </c>
      <c r="F17">
        <v>4.5</v>
      </c>
    </row>
    <row r="18" spans="1:6" x14ac:dyDescent="0.2">
      <c r="A18">
        <v>2019</v>
      </c>
      <c r="B18">
        <v>40.15</v>
      </c>
      <c r="C18">
        <v>20</v>
      </c>
      <c r="D18">
        <v>12.9</v>
      </c>
      <c r="E18">
        <v>21.8</v>
      </c>
      <c r="F18">
        <v>5.15</v>
      </c>
    </row>
    <row r="19" spans="1:6" x14ac:dyDescent="0.2">
      <c r="A19">
        <v>2020</v>
      </c>
      <c r="B19">
        <v>39.9</v>
      </c>
      <c r="C19">
        <v>19.899999999999999</v>
      </c>
      <c r="D19">
        <v>13.4</v>
      </c>
      <c r="E19">
        <v>21.9</v>
      </c>
      <c r="F19">
        <v>4.9000000000000004</v>
      </c>
    </row>
    <row r="20" spans="1:6" x14ac:dyDescent="0.2">
      <c r="A20">
        <v>2021</v>
      </c>
      <c r="B20">
        <v>39.799999999999997</v>
      </c>
      <c r="C20">
        <v>20.100000000000001</v>
      </c>
      <c r="D20">
        <v>14.1</v>
      </c>
      <c r="E20">
        <v>22</v>
      </c>
      <c r="F20">
        <v>4</v>
      </c>
    </row>
    <row r="21" spans="1:6" x14ac:dyDescent="0.2">
      <c r="A21">
        <v>2022</v>
      </c>
      <c r="B21">
        <v>39.700000000000003</v>
      </c>
      <c r="C21">
        <v>19.8</v>
      </c>
      <c r="D21">
        <v>14.6</v>
      </c>
      <c r="E21">
        <v>22.5</v>
      </c>
      <c r="F21">
        <v>3.4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workbookViewId="0">
      <selection activeCell="I24" sqref="I24"/>
    </sheetView>
  </sheetViews>
  <sheetFormatPr baseColWidth="10" defaultRowHeight="16" x14ac:dyDescent="0.2"/>
  <sheetData>
    <row r="1" spans="1:5" ht="17" x14ac:dyDescent="0.2">
      <c r="A1" s="14" t="s">
        <v>115</v>
      </c>
    </row>
    <row r="2" spans="1:5" x14ac:dyDescent="0.2">
      <c r="A2" s="17" t="s">
        <v>107</v>
      </c>
      <c r="B2" s="17" t="s">
        <v>135</v>
      </c>
      <c r="C2" s="8"/>
      <c r="D2" s="8"/>
      <c r="E2" s="8"/>
    </row>
    <row r="3" spans="1:5" x14ac:dyDescent="0.2">
      <c r="A3" s="17">
        <v>1998</v>
      </c>
      <c r="B3" s="17">
        <v>3949</v>
      </c>
      <c r="E3" s="8"/>
    </row>
    <row r="4" spans="1:5" x14ac:dyDescent="0.2">
      <c r="A4" s="17">
        <v>2000</v>
      </c>
      <c r="B4" s="17">
        <f>7890*1.09</f>
        <v>8600.1</v>
      </c>
      <c r="E4" s="8"/>
    </row>
    <row r="5" spans="1:5" x14ac:dyDescent="0.2">
      <c r="A5" s="17">
        <v>2004</v>
      </c>
      <c r="B5" s="17">
        <f>14862*1.09</f>
        <v>16199.580000000002</v>
      </c>
      <c r="E5" s="8"/>
    </row>
    <row r="6" spans="1:5" x14ac:dyDescent="0.2">
      <c r="A6" s="17">
        <v>2008</v>
      </c>
      <c r="B6" s="17">
        <f>18669*1.09</f>
        <v>20349.210000000003</v>
      </c>
      <c r="E6" s="8"/>
    </row>
    <row r="7" spans="1:5" x14ac:dyDescent="0.2">
      <c r="A7" s="17">
        <v>2011</v>
      </c>
      <c r="B7" s="17">
        <f>18957*1.09</f>
        <v>20663.13</v>
      </c>
      <c r="E7" s="8"/>
    </row>
    <row r="8" spans="1:5" x14ac:dyDescent="0.2">
      <c r="A8" s="17">
        <v>2013</v>
      </c>
      <c r="B8" s="17">
        <f>15056*1.09</f>
        <v>16411.04</v>
      </c>
      <c r="E8" s="8"/>
    </row>
    <row r="9" spans="1:5" x14ac:dyDescent="0.2">
      <c r="A9" s="17">
        <v>2015</v>
      </c>
      <c r="B9" s="17">
        <f>15157*1.09</f>
        <v>16521.13</v>
      </c>
    </row>
    <row r="10" spans="1:5" x14ac:dyDescent="0.2">
      <c r="A10" s="17">
        <v>2016</v>
      </c>
      <c r="B10" s="17">
        <f>14907*1.09</f>
        <v>16248.630000000001</v>
      </c>
    </row>
    <row r="11" spans="1:5" x14ac:dyDescent="0.2">
      <c r="A11" s="17">
        <v>2017</v>
      </c>
      <c r="B11" s="17">
        <f>13829*1.09</f>
        <v>15073.61</v>
      </c>
    </row>
    <row r="12" spans="1:5" x14ac:dyDescent="0.2">
      <c r="A12" s="17">
        <v>2018</v>
      </c>
      <c r="B12" s="17">
        <f>13818*1.09</f>
        <v>15061.62</v>
      </c>
    </row>
    <row r="13" spans="1:5" x14ac:dyDescent="0.2">
      <c r="A13" s="17">
        <v>2019</v>
      </c>
      <c r="B13" s="17">
        <f>14144*1.09</f>
        <v>15416.960000000001</v>
      </c>
    </row>
    <row r="14" spans="1:5" x14ac:dyDescent="0.2">
      <c r="A14" s="17">
        <v>2020</v>
      </c>
      <c r="B14" s="17">
        <f>14250*1.09</f>
        <v>15532.500000000002</v>
      </c>
    </row>
    <row r="15" spans="1:5" x14ac:dyDescent="0.2">
      <c r="A15" s="17">
        <v>2021</v>
      </c>
      <c r="B15" s="17">
        <f>14745*1.09</f>
        <v>16072.050000000001</v>
      </c>
    </row>
    <row r="16" spans="1:5" x14ac:dyDescent="0.2">
      <c r="A16" s="17">
        <v>2022</v>
      </c>
      <c r="B16" s="17">
        <f>15365*1.09</f>
        <v>16747.850000000002</v>
      </c>
    </row>
    <row r="20" spans="1:6" ht="17" x14ac:dyDescent="0.2">
      <c r="A20" s="14" t="s">
        <v>116</v>
      </c>
    </row>
    <row r="21" spans="1:6" x14ac:dyDescent="0.2">
      <c r="A21" s="17" t="s">
        <v>107</v>
      </c>
      <c r="B21" s="17" t="s">
        <v>45</v>
      </c>
      <c r="C21" s="17" t="s">
        <v>144</v>
      </c>
      <c r="D21" s="17" t="s">
        <v>46</v>
      </c>
      <c r="E21" s="17" t="s">
        <v>136</v>
      </c>
      <c r="F21" s="17"/>
    </row>
    <row r="22" spans="1:6" x14ac:dyDescent="0.2">
      <c r="A22" s="17">
        <v>2017</v>
      </c>
      <c r="B22" s="17">
        <v>40.549999999999997</v>
      </c>
      <c r="C22" s="17">
        <v>24.73</v>
      </c>
      <c r="D22" s="17">
        <v>17.82</v>
      </c>
      <c r="E22" s="17">
        <v>16.899999999999999</v>
      </c>
      <c r="F22" s="17"/>
    </row>
    <row r="23" spans="1:6" x14ac:dyDescent="0.2">
      <c r="A23" s="17">
        <v>2018</v>
      </c>
      <c r="B23" s="17">
        <v>40.5</v>
      </c>
      <c r="C23" s="17">
        <v>24.45</v>
      </c>
      <c r="D23" s="17">
        <v>18.7</v>
      </c>
      <c r="E23" s="17">
        <v>16.399999999999999</v>
      </c>
      <c r="F23" s="17"/>
    </row>
    <row r="24" spans="1:6" x14ac:dyDescent="0.2">
      <c r="A24" s="17">
        <v>2019</v>
      </c>
      <c r="B24" s="17">
        <v>40.5</v>
      </c>
      <c r="C24" s="17">
        <v>24.5</v>
      </c>
      <c r="D24" s="17">
        <v>18.7</v>
      </c>
      <c r="E24" s="17">
        <v>16.3</v>
      </c>
      <c r="F24" s="17"/>
    </row>
    <row r="25" spans="1:6" x14ac:dyDescent="0.2">
      <c r="A25" s="17">
        <v>2020</v>
      </c>
      <c r="B25" s="17">
        <v>40.1</v>
      </c>
      <c r="C25" s="17">
        <v>24.06</v>
      </c>
      <c r="D25" s="17">
        <v>20.71</v>
      </c>
      <c r="E25" s="17">
        <v>15.125</v>
      </c>
      <c r="F25" s="17"/>
    </row>
    <row r="26" spans="1:6" x14ac:dyDescent="0.2">
      <c r="A26" s="17">
        <v>2021</v>
      </c>
      <c r="B26" s="17">
        <v>39.200000000000003</v>
      </c>
      <c r="C26" s="17">
        <v>21.6</v>
      </c>
      <c r="D26" s="17">
        <v>24.2</v>
      </c>
      <c r="E26" s="17">
        <v>15</v>
      </c>
      <c r="F26" s="17"/>
    </row>
    <row r="27" spans="1:6" x14ac:dyDescent="0.2">
      <c r="A27" s="17">
        <v>2022</v>
      </c>
      <c r="B27" s="17">
        <v>38.5</v>
      </c>
      <c r="C27" s="17">
        <v>22.2</v>
      </c>
      <c r="D27" s="17">
        <v>24</v>
      </c>
      <c r="E27" s="17">
        <v>15.1</v>
      </c>
      <c r="F27" s="17"/>
    </row>
    <row r="28" spans="1:6" x14ac:dyDescent="0.2">
      <c r="A28" s="17"/>
      <c r="B28" s="17"/>
      <c r="C28" s="17"/>
      <c r="D28" s="17"/>
      <c r="E28" s="17"/>
      <c r="F28" s="17"/>
    </row>
    <row r="29" spans="1:6" x14ac:dyDescent="0.2">
      <c r="A29" s="17"/>
      <c r="B29" s="17"/>
      <c r="C29" s="17"/>
      <c r="D29" s="17"/>
      <c r="E29" s="17"/>
      <c r="F2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workbookViewId="0"/>
  </sheetViews>
  <sheetFormatPr baseColWidth="10" defaultRowHeight="16" x14ac:dyDescent="0.2"/>
  <cols>
    <col min="2" max="2" width="14.6640625" customWidth="1"/>
  </cols>
  <sheetData>
    <row r="1" spans="1:6" ht="17" x14ac:dyDescent="0.2">
      <c r="A1" s="14" t="s">
        <v>204</v>
      </c>
    </row>
    <row r="2" spans="1:6" x14ac:dyDescent="0.2">
      <c r="A2">
        <v>2014</v>
      </c>
      <c r="B2">
        <f>9729*1.09</f>
        <v>10604.61</v>
      </c>
    </row>
    <row r="3" spans="1:6" ht="17" customHeight="1" x14ac:dyDescent="0.2">
      <c r="A3">
        <v>2015</v>
      </c>
      <c r="B3">
        <f>11778*1.09</f>
        <v>12838.02</v>
      </c>
      <c r="C3" s="8"/>
      <c r="D3" s="8"/>
    </row>
    <row r="4" spans="1:6" ht="17" customHeight="1" x14ac:dyDescent="0.2">
      <c r="A4">
        <v>2016</v>
      </c>
      <c r="B4">
        <f>12210*1.09</f>
        <v>13308.900000000001</v>
      </c>
      <c r="C4" s="8"/>
      <c r="D4" s="8"/>
    </row>
    <row r="5" spans="1:6" ht="17" customHeight="1" x14ac:dyDescent="0.2">
      <c r="A5">
        <v>2017</v>
      </c>
      <c r="B5">
        <f>12769*1.09</f>
        <v>13918.210000000001</v>
      </c>
      <c r="C5" s="8"/>
      <c r="D5" s="8"/>
    </row>
    <row r="6" spans="1:6" x14ac:dyDescent="0.2">
      <c r="A6">
        <v>2018</v>
      </c>
      <c r="B6">
        <f>12897*1.09</f>
        <v>14057.730000000001</v>
      </c>
    </row>
    <row r="7" spans="1:6" x14ac:dyDescent="0.2">
      <c r="A7">
        <v>2019</v>
      </c>
      <c r="B7">
        <f>13098*1.09</f>
        <v>14276.820000000002</v>
      </c>
    </row>
    <row r="8" spans="1:6" x14ac:dyDescent="0.2">
      <c r="A8">
        <v>2020</v>
      </c>
      <c r="B8">
        <f>13458*1.09</f>
        <v>14669.220000000001</v>
      </c>
    </row>
    <row r="9" spans="1:6" x14ac:dyDescent="0.2">
      <c r="A9">
        <v>2021</v>
      </c>
      <c r="B9">
        <f>14085*1.09</f>
        <v>15352.650000000001</v>
      </c>
    </row>
    <row r="14" spans="1:6" ht="17" x14ac:dyDescent="0.2">
      <c r="A14" s="14" t="s">
        <v>217</v>
      </c>
    </row>
    <row r="15" spans="1:6" x14ac:dyDescent="0.2">
      <c r="B15" t="s">
        <v>45</v>
      </c>
      <c r="C15" t="s">
        <v>144</v>
      </c>
      <c r="D15" t="s">
        <v>46</v>
      </c>
      <c r="E15" t="s">
        <v>136</v>
      </c>
      <c r="F15" t="s">
        <v>137</v>
      </c>
    </row>
    <row r="16" spans="1:6" x14ac:dyDescent="0.2">
      <c r="A16">
        <v>2015</v>
      </c>
      <c r="B16">
        <v>39.92</v>
      </c>
      <c r="C16">
        <v>22.81</v>
      </c>
      <c r="D16">
        <v>10.015000000000001</v>
      </c>
      <c r="E16">
        <v>23.45</v>
      </c>
      <c r="F16">
        <v>3.8</v>
      </c>
    </row>
    <row r="17" spans="1:6" x14ac:dyDescent="0.2">
      <c r="A17">
        <v>2016</v>
      </c>
      <c r="B17">
        <v>40.15</v>
      </c>
      <c r="C17">
        <v>22</v>
      </c>
      <c r="D17">
        <v>10.85</v>
      </c>
      <c r="E17">
        <v>23</v>
      </c>
      <c r="F17">
        <v>4</v>
      </c>
    </row>
    <row r="18" spans="1:6" x14ac:dyDescent="0.2">
      <c r="A18">
        <v>2017</v>
      </c>
      <c r="B18">
        <v>40.299999999999997</v>
      </c>
      <c r="C18">
        <v>20.774999999999999</v>
      </c>
      <c r="D18">
        <v>11.7</v>
      </c>
      <c r="E18">
        <v>23.024999999999999</v>
      </c>
      <c r="F18">
        <v>4.1749999999999998</v>
      </c>
    </row>
    <row r="19" spans="1:6" x14ac:dyDescent="0.2">
      <c r="A19">
        <v>2018</v>
      </c>
      <c r="B19">
        <v>40.200000000000003</v>
      </c>
      <c r="C19">
        <v>20.6</v>
      </c>
      <c r="D19">
        <v>12.6</v>
      </c>
      <c r="E19">
        <v>22.1</v>
      </c>
      <c r="F19">
        <v>4.5</v>
      </c>
    </row>
    <row r="20" spans="1:6" x14ac:dyDescent="0.2">
      <c r="A20">
        <v>2019</v>
      </c>
      <c r="B20">
        <v>40.15</v>
      </c>
      <c r="C20">
        <v>20</v>
      </c>
      <c r="D20">
        <v>12.9</v>
      </c>
      <c r="E20">
        <v>21.8</v>
      </c>
      <c r="F20">
        <v>5.15</v>
      </c>
    </row>
    <row r="21" spans="1:6" x14ac:dyDescent="0.2">
      <c r="A21">
        <v>2020</v>
      </c>
      <c r="B21">
        <v>39.9</v>
      </c>
      <c r="C21">
        <v>19.95</v>
      </c>
      <c r="D21">
        <v>13.4</v>
      </c>
      <c r="E21">
        <v>21.9</v>
      </c>
      <c r="F21">
        <v>4.9000000000000004</v>
      </c>
    </row>
    <row r="22" spans="1:6" x14ac:dyDescent="0.2">
      <c r="A22">
        <v>2021</v>
      </c>
      <c r="B22">
        <v>39.799999999999997</v>
      </c>
      <c r="C22">
        <v>20.100000000000001</v>
      </c>
      <c r="D22">
        <v>13.9</v>
      </c>
      <c r="E22">
        <v>22</v>
      </c>
      <c r="F22">
        <v>4</v>
      </c>
    </row>
    <row r="23" spans="1:6" x14ac:dyDescent="0.2">
      <c r="A23">
        <v>2022</v>
      </c>
      <c r="B23">
        <v>40.4</v>
      </c>
      <c r="C23">
        <v>17.5</v>
      </c>
      <c r="D23">
        <v>16.3</v>
      </c>
      <c r="E23">
        <v>25.9</v>
      </c>
      <c r="F23">
        <v>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"/>
  <sheetViews>
    <sheetView workbookViewId="0">
      <selection activeCell="F14" sqref="F14"/>
    </sheetView>
  </sheetViews>
  <sheetFormatPr baseColWidth="10" defaultRowHeight="16" x14ac:dyDescent="0.2"/>
  <sheetData>
    <row r="1" spans="1:9" ht="17" x14ac:dyDescent="0.2">
      <c r="A1" s="14" t="s">
        <v>118</v>
      </c>
    </row>
    <row r="2" spans="1:9" ht="17" x14ac:dyDescent="0.2">
      <c r="A2" s="14"/>
      <c r="B2" t="s">
        <v>139</v>
      </c>
      <c r="C2" t="s">
        <v>140</v>
      </c>
      <c r="D2" t="s">
        <v>141</v>
      </c>
      <c r="E2" t="s">
        <v>138</v>
      </c>
    </row>
    <row r="3" spans="1:9" x14ac:dyDescent="0.2">
      <c r="A3" s="18">
        <v>2015</v>
      </c>
      <c r="B3" s="11">
        <f>2663.130206371*1.09</f>
        <v>2902.8119249443903</v>
      </c>
      <c r="C3" s="11">
        <f>1984*1.09</f>
        <v>2162.56</v>
      </c>
      <c r="D3" s="11">
        <f>236*1.09</f>
        <v>257.24</v>
      </c>
      <c r="E3" s="11">
        <f>SUM(B3:D3)</f>
        <v>5322.61192494439</v>
      </c>
      <c r="F3" s="11"/>
    </row>
    <row r="4" spans="1:9" x14ac:dyDescent="0.2">
      <c r="A4" s="18">
        <v>2016</v>
      </c>
      <c r="B4" s="11">
        <f>2668.485228008*1.09</f>
        <v>2908.6488985287201</v>
      </c>
      <c r="C4" s="11">
        <f>1773*1.09</f>
        <v>1932.5700000000002</v>
      </c>
      <c r="D4" s="11">
        <f>271*1.09</f>
        <v>295.39000000000004</v>
      </c>
      <c r="E4" s="11">
        <f t="shared" ref="E4:E9" si="0">SUM(B4:D4)</f>
        <v>5136.6088985287206</v>
      </c>
      <c r="F4" s="11"/>
    </row>
    <row r="5" spans="1:9" x14ac:dyDescent="0.2">
      <c r="A5" s="18">
        <v>2017</v>
      </c>
      <c r="B5" s="11">
        <f>2745.308005925*1.09</f>
        <v>2992.3857264582502</v>
      </c>
      <c r="C5" s="11">
        <f>1664*1.09</f>
        <v>1813.7600000000002</v>
      </c>
      <c r="D5" s="11">
        <f>297*1.09</f>
        <v>323.73</v>
      </c>
      <c r="E5" s="11">
        <f t="shared" si="0"/>
        <v>5129.8757264582509</v>
      </c>
      <c r="F5" s="11"/>
    </row>
    <row r="6" spans="1:9" x14ac:dyDescent="0.2">
      <c r="A6" s="18">
        <v>2018</v>
      </c>
      <c r="B6" s="11">
        <f>2829.112054693*1.09</f>
        <v>3083.7321396153702</v>
      </c>
      <c r="C6" s="11">
        <f>1600*1.09</f>
        <v>1744.0000000000002</v>
      </c>
      <c r="D6" s="11">
        <f>326*1.09</f>
        <v>355.34000000000003</v>
      </c>
      <c r="E6" s="11">
        <f t="shared" si="0"/>
        <v>5183.0721396153704</v>
      </c>
      <c r="F6" s="11"/>
    </row>
    <row r="7" spans="1:9" x14ac:dyDescent="0.2">
      <c r="A7" s="18">
        <v>2019</v>
      </c>
      <c r="B7" s="11">
        <f>2877.704752208*1.09</f>
        <v>3136.6981799067203</v>
      </c>
      <c r="C7" s="11">
        <f>1528*1.09</f>
        <v>1665.5200000000002</v>
      </c>
      <c r="D7" s="11">
        <f>365*1.09</f>
        <v>397.85</v>
      </c>
      <c r="E7" s="11">
        <f t="shared" si="0"/>
        <v>5200.0681799067206</v>
      </c>
      <c r="F7" s="11"/>
    </row>
    <row r="8" spans="1:9" x14ac:dyDescent="0.2">
      <c r="A8" s="18">
        <v>2020</v>
      </c>
      <c r="B8" s="11">
        <f>2924.7*1.09</f>
        <v>3187.9230000000002</v>
      </c>
      <c r="C8" s="11">
        <f>1413*1.09</f>
        <v>1540.17</v>
      </c>
      <c r="D8" s="11">
        <f>409*1.09</f>
        <v>445.81000000000006</v>
      </c>
      <c r="E8" s="11">
        <f t="shared" si="0"/>
        <v>5173.9030000000012</v>
      </c>
      <c r="F8" s="11"/>
    </row>
    <row r="9" spans="1:9" x14ac:dyDescent="0.2">
      <c r="A9" s="18">
        <v>2021</v>
      </c>
      <c r="B9" s="11">
        <f>3127*1.09</f>
        <v>3408.4300000000003</v>
      </c>
      <c r="C9" s="11">
        <f>1472.7*1.09</f>
        <v>1605.2430000000002</v>
      </c>
      <c r="D9" s="11">
        <f>467*1.09</f>
        <v>509.03000000000003</v>
      </c>
      <c r="E9" s="11">
        <f t="shared" si="0"/>
        <v>5522.7030000000004</v>
      </c>
      <c r="F9" s="11"/>
    </row>
    <row r="12" spans="1:9" ht="17" x14ac:dyDescent="0.2">
      <c r="A12" s="14" t="s">
        <v>117</v>
      </c>
    </row>
    <row r="13" spans="1:9" x14ac:dyDescent="0.2">
      <c r="B13" t="s">
        <v>150</v>
      </c>
      <c r="C13" t="s">
        <v>149</v>
      </c>
      <c r="D13" t="s">
        <v>148</v>
      </c>
      <c r="E13" t="s">
        <v>145</v>
      </c>
      <c r="F13" t="s">
        <v>146</v>
      </c>
      <c r="G13" t="s">
        <v>142</v>
      </c>
      <c r="H13" t="s">
        <v>147</v>
      </c>
      <c r="I13" t="s">
        <v>49</v>
      </c>
    </row>
    <row r="14" spans="1:9" x14ac:dyDescent="0.2">
      <c r="A14" s="21">
        <v>2017</v>
      </c>
      <c r="B14" s="3">
        <v>17.009442207923176</v>
      </c>
      <c r="C14" s="3">
        <v>18.352516605150488</v>
      </c>
      <c r="D14" s="3">
        <v>23.511433809971546</v>
      </c>
      <c r="E14" s="3">
        <v>13.43302142616861</v>
      </c>
      <c r="F14" s="3">
        <v>12.120348322634216</v>
      </c>
      <c r="G14" s="3">
        <v>6.8259001383788362</v>
      </c>
      <c r="H14" s="3">
        <v>6.3115996198815374</v>
      </c>
      <c r="I14" s="3">
        <v>2.4357378698915935</v>
      </c>
    </row>
    <row r="15" spans="1:9" x14ac:dyDescent="0.2">
      <c r="A15" s="21">
        <v>2018</v>
      </c>
      <c r="B15" s="3">
        <v>16.63472891704691</v>
      </c>
      <c r="C15" s="3">
        <v>17.013268892403229</v>
      </c>
      <c r="D15" s="3">
        <v>23.917481500023513</v>
      </c>
      <c r="E15" s="3">
        <v>13.148665202749243</v>
      </c>
      <c r="F15" s="3">
        <v>12.256221863196128</v>
      </c>
      <c r="G15" s="3">
        <v>7.4965240522461745</v>
      </c>
      <c r="H15" s="3">
        <v>6.8557795536754655</v>
      </c>
      <c r="I15" s="3">
        <v>2.6773300186593483</v>
      </c>
    </row>
    <row r="16" spans="1:9" x14ac:dyDescent="0.2">
      <c r="A16" s="21">
        <v>2019</v>
      </c>
      <c r="B16" s="3">
        <v>16.454591947587673</v>
      </c>
      <c r="C16" s="3">
        <v>15.574218875232662</v>
      </c>
      <c r="D16" s="3">
        <v>24.218611673186548</v>
      </c>
      <c r="E16" s="3">
        <v>13.149831493784975</v>
      </c>
      <c r="F16" s="3">
        <v>12.064065590628417</v>
      </c>
      <c r="G16" s="3">
        <v>7.781322305955328</v>
      </c>
      <c r="H16" s="3">
        <v>7.6508612240375804</v>
      </c>
      <c r="I16" s="3">
        <v>3.1064968895868175</v>
      </c>
    </row>
    <row r="17" spans="1:9" x14ac:dyDescent="0.2">
      <c r="A17" s="21">
        <v>2020</v>
      </c>
      <c r="B17" s="3">
        <v>14.789641303296724</v>
      </c>
      <c r="C17" s="3">
        <v>14.604022323376809</v>
      </c>
      <c r="D17" s="3">
        <v>24.902342960604766</v>
      </c>
      <c r="E17" s="3">
        <v>13.668203279128932</v>
      </c>
      <c r="F17" s="3">
        <v>12.451171480302383</v>
      </c>
      <c r="G17" s="3">
        <v>8.3631928739875683</v>
      </c>
      <c r="H17" s="3">
        <v>8.1632433104566271</v>
      </c>
      <c r="I17" s="3">
        <v>3.0581824688462005</v>
      </c>
    </row>
    <row r="18" spans="1:9" x14ac:dyDescent="0.2">
      <c r="A18" s="21">
        <v>2021</v>
      </c>
      <c r="B18" s="3">
        <v>13.773489530369456</v>
      </c>
      <c r="C18" s="3">
        <v>15.328688419953499</v>
      </c>
      <c r="D18" s="3">
        <v>24.593603014437853</v>
      </c>
      <c r="E18" s="3">
        <v>13.594453927578718</v>
      </c>
      <c r="F18" s="3">
        <v>12.420387452015099</v>
      </c>
      <c r="G18" s="3">
        <v>8.5892231633338252</v>
      </c>
      <c r="H18" s="3">
        <v>9.2284355963881453</v>
      </c>
      <c r="I18" s="3">
        <v>2.4717188959234027</v>
      </c>
    </row>
    <row r="19" spans="1:9" x14ac:dyDescent="0.2">
      <c r="A19" s="20"/>
      <c r="B19" s="3"/>
      <c r="C19" s="3"/>
      <c r="D19" s="3"/>
      <c r="E19" s="3"/>
      <c r="F19" s="3"/>
      <c r="G19" s="3"/>
      <c r="H19" s="3"/>
      <c r="I19" s="3"/>
    </row>
    <row r="20" spans="1:9" x14ac:dyDescent="0.2">
      <c r="B20" s="3"/>
      <c r="C20" s="3"/>
      <c r="D20" s="3"/>
      <c r="E20" s="3"/>
      <c r="F20" s="3"/>
      <c r="G20" s="3"/>
      <c r="H20" s="3"/>
      <c r="I20" s="3"/>
    </row>
    <row r="21" spans="1:9" x14ac:dyDescent="0.2">
      <c r="B21" s="3"/>
      <c r="C21" s="3"/>
      <c r="D21" s="3"/>
      <c r="E21" s="3"/>
      <c r="F21" s="3"/>
      <c r="G21" s="3"/>
      <c r="H21" s="3"/>
      <c r="I21" s="3"/>
    </row>
    <row r="22" spans="1:9" x14ac:dyDescent="0.2">
      <c r="B22" s="3"/>
      <c r="C22" s="3"/>
      <c r="D22" s="3"/>
      <c r="E22" s="3"/>
      <c r="F22" s="3"/>
      <c r="G22" s="3"/>
      <c r="H22" s="3"/>
      <c r="I22" s="3"/>
    </row>
  </sheetData>
  <pageMargins left="0.7" right="0.7" top="0.75" bottom="0.75" header="0.3" footer="0.3"/>
  <ignoredErrors>
    <ignoredError sqref="E3 E4:E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selection activeCell="A2" sqref="A2:XFD2"/>
    </sheetView>
  </sheetViews>
  <sheetFormatPr baseColWidth="10" defaultRowHeight="16" x14ac:dyDescent="0.2"/>
  <cols>
    <col min="1" max="1" width="29.83203125" customWidth="1"/>
  </cols>
  <sheetData>
    <row r="1" spans="1:4" ht="17" x14ac:dyDescent="0.2">
      <c r="A1" s="14" t="s">
        <v>119</v>
      </c>
    </row>
    <row r="2" spans="1:4" x14ac:dyDescent="0.2">
      <c r="B2">
        <v>2019</v>
      </c>
      <c r="C2">
        <v>2020</v>
      </c>
      <c r="D2">
        <v>2021</v>
      </c>
    </row>
    <row r="3" spans="1:4" x14ac:dyDescent="0.2">
      <c r="A3" t="s">
        <v>0</v>
      </c>
      <c r="B3" s="8">
        <v>94.85</v>
      </c>
      <c r="C3" s="8">
        <v>95.1</v>
      </c>
      <c r="D3" s="8">
        <v>96</v>
      </c>
    </row>
    <row r="4" spans="1:4" x14ac:dyDescent="0.2">
      <c r="A4" t="s">
        <v>1</v>
      </c>
      <c r="B4" s="8">
        <v>100</v>
      </c>
      <c r="C4" s="8">
        <v>100</v>
      </c>
      <c r="D4" s="8">
        <v>100</v>
      </c>
    </row>
    <row r="5" spans="1:4" x14ac:dyDescent="0.2">
      <c r="A5" t="s">
        <v>4</v>
      </c>
      <c r="B5" s="8">
        <v>94.9</v>
      </c>
      <c r="C5" s="8">
        <v>95.2</v>
      </c>
      <c r="D5" s="8">
        <v>95.8</v>
      </c>
    </row>
    <row r="6" spans="1:4" x14ac:dyDescent="0.2">
      <c r="A6" t="s">
        <v>3</v>
      </c>
      <c r="B6" s="8">
        <v>69.400000000000006</v>
      </c>
      <c r="C6" s="8">
        <v>67.19</v>
      </c>
      <c r="D6" s="8">
        <v>67.290000000000006</v>
      </c>
    </row>
    <row r="7" spans="1:4" x14ac:dyDescent="0.2">
      <c r="A7" t="s">
        <v>44</v>
      </c>
      <c r="B7" s="1">
        <v>91.84</v>
      </c>
      <c r="C7" s="1">
        <v>92.75</v>
      </c>
      <c r="D7" s="1">
        <v>89.5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"/>
  <sheetViews>
    <sheetView workbookViewId="0">
      <selection activeCell="A7" sqref="A7:XFD7"/>
    </sheetView>
  </sheetViews>
  <sheetFormatPr baseColWidth="10" defaultRowHeight="16" x14ac:dyDescent="0.2"/>
  <cols>
    <col min="1" max="1" width="32.33203125" customWidth="1"/>
  </cols>
  <sheetData>
    <row r="1" spans="1:5" ht="17" x14ac:dyDescent="0.2">
      <c r="A1" s="14" t="s">
        <v>120</v>
      </c>
    </row>
    <row r="2" spans="1:5" s="2" customFormat="1" x14ac:dyDescent="0.2">
      <c r="B2" s="2">
        <v>2019</v>
      </c>
      <c r="C2" s="2">
        <v>2020</v>
      </c>
      <c r="D2" s="2">
        <v>2021</v>
      </c>
      <c r="E2" s="19" t="s">
        <v>50</v>
      </c>
    </row>
    <row r="3" spans="1:5" x14ac:dyDescent="0.2">
      <c r="A3" t="s">
        <v>0</v>
      </c>
      <c r="B3" s="8">
        <v>2680.19</v>
      </c>
      <c r="C3" s="8">
        <v>2671.2</v>
      </c>
      <c r="D3" s="8">
        <v>2686.86</v>
      </c>
      <c r="E3" s="9">
        <f>(D3/10000-1/4)/(1-1/4)</f>
        <v>2.4914666666666713E-2</v>
      </c>
    </row>
    <row r="4" spans="1:5" x14ac:dyDescent="0.2">
      <c r="A4" t="s">
        <v>1</v>
      </c>
      <c r="B4" s="8">
        <v>2855.88</v>
      </c>
      <c r="C4" s="8">
        <v>2844.56</v>
      </c>
      <c r="D4" s="8">
        <v>2813.84</v>
      </c>
      <c r="E4" s="9">
        <f>(D4/10000-1/4)/(1-1/4)</f>
        <v>4.1845333333333366E-2</v>
      </c>
    </row>
    <row r="5" spans="1:5" x14ac:dyDescent="0.2">
      <c r="A5" t="s">
        <v>4</v>
      </c>
      <c r="B5" s="8">
        <v>2680.1950000000002</v>
      </c>
      <c r="C5" s="8">
        <v>2673.19</v>
      </c>
      <c r="D5" s="8">
        <v>2681.26</v>
      </c>
      <c r="E5" s="9">
        <f>(D5/10000-1/4)/(1-1/4)</f>
        <v>2.416800000000004E-2</v>
      </c>
    </row>
    <row r="6" spans="1:5" x14ac:dyDescent="0.2">
      <c r="A6" t="s">
        <v>3</v>
      </c>
      <c r="B6" s="8">
        <v>1547.04</v>
      </c>
      <c r="C6" s="8">
        <v>1524.66</v>
      </c>
      <c r="D6" s="8">
        <v>1533.64</v>
      </c>
      <c r="E6" s="9">
        <f>(D6/10000-1/7)/(1-1/7)</f>
        <v>1.2258000000000008E-2</v>
      </c>
    </row>
    <row r="7" spans="1:5" x14ac:dyDescent="0.2">
      <c r="A7" t="s">
        <v>25</v>
      </c>
      <c r="B7" s="8">
        <v>2454</v>
      </c>
      <c r="C7" s="8">
        <v>2434.69</v>
      </c>
      <c r="D7" s="8">
        <v>2431.1999999999998</v>
      </c>
      <c r="E7" s="9">
        <f>(D7/10000-1/7)/(1-1/7)</f>
        <v>0.1169733333333333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Table of 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'Figure 2'!OLE_LINK1</vt:lpstr>
      <vt:lpstr>'Table of contents'!OLE_LINK2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Agnes Malkinson</cp:lastModifiedBy>
  <dcterms:created xsi:type="dcterms:W3CDTF">2023-06-22T16:53:47Z</dcterms:created>
  <dcterms:modified xsi:type="dcterms:W3CDTF">2024-01-16T02:32:52Z</dcterms:modified>
</cp:coreProperties>
</file>