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hidePivotFieldList="1" autoCompressPictures="0"/>
  <mc:AlternateContent xmlns:mc="http://schemas.openxmlformats.org/markup-compatibility/2006">
    <mc:Choice Requires="x15">
      <x15ac:absPath xmlns:x15ac="http://schemas.microsoft.com/office/spreadsheetml/2010/11/ac" url="/Users/agnesmalkinson/Documents/GMCIP/2023 reports/Concentration/Docs for upload/"/>
    </mc:Choice>
  </mc:AlternateContent>
  <xr:revisionPtr revIDLastSave="0" documentId="8_{3CD67126-75F1-3D44-885E-BBFC93FABA5E}" xr6:coauthVersionLast="47" xr6:coauthVersionMax="47" xr10:uidLastSave="{00000000-0000-0000-0000-000000000000}"/>
  <bookViews>
    <workbookView xWindow="0" yWindow="500" windowWidth="28800" windowHeight="16100" tabRatio="841" firstSheet="34" activeTab="38" xr2:uid="{00000000-000D-0000-FFFF-FFFF00000000}"/>
  </bookViews>
  <sheets>
    <sheet name="Table of Contents" sheetId="45" r:id="rId1"/>
    <sheet name="Fig 1 Conc Rankings by HHI" sheetId="16" r:id="rId2"/>
    <sheet name="Fig 2 Sectors Covered" sheetId="26" r:id="rId3"/>
    <sheet name="Fig 3 Major Comms+Media Ownersh" sheetId="37" r:id="rId4"/>
    <sheet name="Fig 4 M&amp;As $" sheetId="1" r:id="rId5"/>
    <sheet name="Fig 5 VI US vs Canada, 2022" sheetId="5" r:id="rId6"/>
    <sheet name="Fig 6 Conn vs Content" sheetId="4" r:id="rId7"/>
    <sheet name="Figs 7-8 Network Connection $" sheetId="44" r:id="rId8"/>
    <sheet name="Figs 9 &amp; 10 CR+HHI" sheetId="7" r:id="rId9"/>
    <sheet name="Fig11 Mobile Wireless MrktShare" sheetId="38" r:id="rId10"/>
    <sheet name="Fig 12+13 WirelessMSbyProvince" sheetId="39" r:id="rId11"/>
    <sheet name="Fig14 RS Before-After" sheetId="54" r:id="rId12"/>
    <sheet name="Figs 15+16 Res Internet " sheetId="17" r:id="rId13"/>
    <sheet name="Fig 17 BDU RS BeforeAfter" sheetId="56" r:id="rId14"/>
    <sheet name="Fig 18 Cable vs Telcos" sheetId="20" r:id="rId15"/>
    <sheet name="Fig 19 ICTS vs CPI " sheetId="22" r:id="rId16"/>
    <sheet name="Fig 20 Internet v TV ad$ " sheetId="18" r:id="rId17"/>
    <sheet name="Fig 21 Search Engines" sheetId="12" r:id="rId18"/>
    <sheet name="Fig 22 Social Media " sheetId="30" r:id="rId19"/>
    <sheet name="Fig 23 Internet Ad$ " sheetId="11" r:id="rId20"/>
    <sheet name="Fig 24 Google Ad Tech Stack" sheetId="29" r:id="rId21"/>
    <sheet name="Fig 25 Total Ad$ " sheetId="49" r:id="rId22"/>
    <sheet name="Figure Internet News" sheetId="10" r:id="rId23"/>
    <sheet name="Figure 27 OVD MrktShare No  YT" sheetId="53" r:id="rId24"/>
    <sheet name="Fig 28 OVS Subs MS" sheetId="57" r:id="rId25"/>
    <sheet name="Fig 29 OVD MrktShare w YT" sheetId="27" r:id="rId26"/>
    <sheet name="Fig 30 TV + Video Landscape" sheetId="42" r:id="rId27"/>
    <sheet name="Fig 31 CR ScoresTV" sheetId="8" r:id="rId28"/>
    <sheet name="Fig 32 HHI Scores TV" sheetId="9" r:id="rId29"/>
    <sheet name="Fig 33 Digital Games  " sheetId="19" r:id="rId30"/>
    <sheet name="Fig 34 Streaming Music+Publish" sheetId="47" r:id="rId31"/>
    <sheet name="Fig 35 Major InternetCos" sheetId="33" r:id="rId32"/>
    <sheet name="Fig 36 Internet Content Aggs" sheetId="36" r:id="rId33"/>
    <sheet name="Fig 37 Leading Content Cos" sheetId="31" r:id="rId34"/>
    <sheet name="Formula for Fig 37" sheetId="46" r:id="rId35"/>
    <sheet name="Fig 38 CR1, 4 &amp; 10" sheetId="13" r:id="rId36"/>
    <sheet name="Fig 39 HHI Scores for NME" sheetId="15" r:id="rId37"/>
    <sheet name="Fig 40 Conc RankingsHHI" sheetId="32" r:id="rId38"/>
    <sheet name="Fig 41 LeadingTelecomInternet" sheetId="14" r:id="rId39"/>
  </sheets>
  <definedNames>
    <definedName name="_xlnm.Print_Area" localSheetId="27">'Fig 31 CR ScoresTV'!$A$1:$AA$47</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1" l="1"/>
  <c r="C32" i="11"/>
  <c r="B32" i="11"/>
  <c r="F31" i="11"/>
  <c r="F32" i="11" s="1"/>
  <c r="E31" i="11"/>
  <c r="E32" i="11" s="1"/>
  <c r="D31" i="11"/>
  <c r="C31" i="11"/>
  <c r="B31" i="11"/>
  <c r="F30" i="11"/>
  <c r="E30" i="11"/>
  <c r="D30" i="11"/>
  <c r="C30" i="11"/>
  <c r="B30" i="11"/>
  <c r="E27" i="11"/>
  <c r="D27" i="11"/>
  <c r="C27" i="11"/>
  <c r="B27" i="11"/>
  <c r="K8" i="53" l="1"/>
  <c r="L8" i="53"/>
  <c r="M8" i="53"/>
  <c r="B8" i="53"/>
  <c r="C8" i="53"/>
  <c r="D8" i="53"/>
  <c r="E8" i="53"/>
  <c r="F8" i="53"/>
  <c r="G8" i="53"/>
  <c r="H8" i="53"/>
  <c r="I8" i="53"/>
  <c r="J8" i="53"/>
  <c r="G14" i="36"/>
  <c r="F14" i="36"/>
  <c r="E18" i="36" l="1"/>
  <c r="D18" i="36"/>
  <c r="C18" i="36"/>
  <c r="B18" i="36"/>
  <c r="C19" i="36"/>
  <c r="E14" i="36"/>
  <c r="O28" i="14"/>
  <c r="M24" i="31"/>
  <c r="J5" i="42" l="1"/>
  <c r="B15" i="27" l="1"/>
  <c r="C15" i="27"/>
  <c r="D15" i="27"/>
  <c r="E15" i="27"/>
  <c r="F15" i="27"/>
  <c r="G15" i="27"/>
  <c r="B12" i="27"/>
  <c r="C12" i="27"/>
  <c r="D12" i="27"/>
  <c r="E12" i="27"/>
  <c r="B9" i="27"/>
  <c r="C9" i="27"/>
  <c r="D9" i="27"/>
  <c r="E9" i="27"/>
  <c r="B5" i="27"/>
  <c r="C5" i="27"/>
  <c r="D5" i="27"/>
  <c r="E5" i="27"/>
  <c r="E18" i="27"/>
  <c r="B16" i="57"/>
  <c r="Q8" i="8" l="1"/>
  <c r="AA23" i="8"/>
  <c r="Y23" i="8"/>
  <c r="Z23" i="8"/>
  <c r="B17" i="56" l="1"/>
  <c r="B18" i="56" s="1"/>
  <c r="B15" i="56"/>
  <c r="B14" i="56"/>
  <c r="B22" i="54"/>
  <c r="B23" i="54" s="1"/>
  <c r="B19" i="54"/>
  <c r="B20" i="54" s="1"/>
  <c r="F17" i="44" l="1"/>
  <c r="F18" i="44"/>
  <c r="F19" i="44"/>
  <c r="F20" i="44"/>
  <c r="F16" i="44"/>
  <c r="F23" i="44"/>
  <c r="F10" i="44"/>
  <c r="C8" i="44"/>
  <c r="C9" i="44" s="1"/>
  <c r="E35" i="5" l="1"/>
  <c r="E33" i="5"/>
  <c r="E34" i="5" s="1"/>
  <c r="C24" i="36" l="1"/>
  <c r="D24" i="36"/>
  <c r="E24" i="36"/>
  <c r="B24" i="36"/>
  <c r="B14" i="36"/>
  <c r="C14" i="36"/>
  <c r="D14" i="36"/>
  <c r="K18" i="53"/>
  <c r="L18" i="53"/>
  <c r="M18" i="53"/>
  <c r="B19" i="53"/>
  <c r="C19" i="53"/>
  <c r="D19" i="53"/>
  <c r="E19" i="53"/>
  <c r="F19" i="53"/>
  <c r="G19" i="53"/>
  <c r="H19" i="53"/>
  <c r="I19" i="53"/>
  <c r="J14" i="53"/>
  <c r="J19" i="53" s="1"/>
  <c r="K14" i="53"/>
  <c r="K19" i="53" s="1"/>
  <c r="L14" i="53"/>
  <c r="L19" i="53" s="1"/>
  <c r="M14" i="53"/>
  <c r="M19" i="53" s="1"/>
  <c r="D4" i="4"/>
  <c r="D5" i="4"/>
  <c r="D6" i="4"/>
  <c r="D3" i="4"/>
  <c r="E32" i="5"/>
  <c r="E36" i="5" l="1"/>
  <c r="E37" i="5"/>
  <c r="B37" i="5"/>
  <c r="B36" i="5"/>
  <c r="B35" i="5"/>
  <c r="B33" i="5"/>
  <c r="B34" i="5" s="1"/>
  <c r="B32" i="5"/>
  <c r="G7" i="33" l="1"/>
  <c r="G3" i="33"/>
  <c r="G12" i="33" s="1"/>
  <c r="H14" i="27"/>
  <c r="I14" i="27"/>
  <c r="J14" i="27"/>
  <c r="K14" i="27"/>
  <c r="L14" i="27"/>
  <c r="M14" i="27"/>
  <c r="M4" i="31"/>
  <c r="N5" i="20" l="1"/>
  <c r="Q22" i="17" l="1"/>
  <c r="P14" i="17"/>
  <c r="Q14" i="17"/>
  <c r="Q8" i="17"/>
  <c r="Q7" i="17"/>
  <c r="Q5" i="17"/>
  <c r="M28" i="39"/>
  <c r="M27" i="39"/>
  <c r="M26" i="39"/>
  <c r="M25" i="39"/>
  <c r="M24" i="39"/>
  <c r="M23" i="39"/>
  <c r="M22" i="39"/>
  <c r="M21" i="39"/>
  <c r="M20" i="39"/>
  <c r="M19" i="39"/>
  <c r="M18" i="39"/>
  <c r="M4" i="39"/>
  <c r="M5" i="39"/>
  <c r="M6" i="39"/>
  <c r="M7" i="39"/>
  <c r="M8" i="39"/>
  <c r="M9" i="39"/>
  <c r="M10" i="39"/>
  <c r="M11" i="39"/>
  <c r="M12" i="39"/>
  <c r="M13" i="39"/>
  <c r="M3" i="39"/>
  <c r="O3" i="39" l="1" a="1"/>
  <c r="O3" i="39" s="1"/>
  <c r="O18" i="39" a="1"/>
  <c r="O18" i="39" s="1"/>
  <c r="L23" i="39"/>
  <c r="L20" i="39"/>
  <c r="K18" i="39"/>
  <c r="L18" i="39"/>
  <c r="K19" i="39"/>
  <c r="L19" i="39"/>
  <c r="K20" i="39"/>
  <c r="K21" i="39"/>
  <c r="L21" i="39"/>
  <c r="K22" i="39"/>
  <c r="L22" i="39"/>
  <c r="K23" i="39"/>
  <c r="K24" i="39"/>
  <c r="L24" i="39"/>
  <c r="K25" i="39"/>
  <c r="L25" i="39"/>
  <c r="K26" i="39"/>
  <c r="L26" i="39"/>
  <c r="K27" i="39"/>
  <c r="L27" i="39"/>
  <c r="K28" i="39"/>
  <c r="L28" i="39"/>
  <c r="L8" i="39" l="1"/>
  <c r="L5" i="39"/>
  <c r="L4" i="39"/>
  <c r="L6" i="39"/>
  <c r="L7" i="39"/>
  <c r="L9" i="39"/>
  <c r="L10" i="39"/>
  <c r="L11" i="39"/>
  <c r="L12" i="39"/>
  <c r="L13" i="39"/>
  <c r="L3" i="39"/>
  <c r="K4" i="39"/>
  <c r="K5" i="39"/>
  <c r="K6" i="39"/>
  <c r="K7" i="39"/>
  <c r="K8" i="39"/>
  <c r="K9" i="39"/>
  <c r="K10" i="39"/>
  <c r="K11" i="39"/>
  <c r="K12" i="39"/>
  <c r="K13" i="39"/>
  <c r="K3" i="39"/>
  <c r="CB1" i="46" l="1"/>
  <c r="BU1" i="46"/>
  <c r="BN1" i="46"/>
  <c r="BG1" i="46"/>
  <c r="AZ1" i="46"/>
  <c r="AS1" i="46"/>
  <c r="AL1" i="46"/>
  <c r="AE1" i="46"/>
  <c r="X1" i="46"/>
  <c r="Q1" i="46"/>
  <c r="J1" i="46"/>
  <c r="C1" i="46"/>
  <c r="B27" i="36" l="1"/>
  <c r="B20" i="36"/>
  <c r="B21" i="36"/>
  <c r="C21" i="19"/>
  <c r="B3" i="19" s="1"/>
  <c r="P28" i="14" l="1"/>
  <c r="P4" i="14" l="1"/>
  <c r="P5" i="14"/>
  <c r="P6" i="14"/>
  <c r="P7" i="14"/>
  <c r="P8" i="14"/>
  <c r="P9" i="14"/>
  <c r="P10" i="14"/>
  <c r="P11" i="14"/>
  <c r="P12" i="14"/>
  <c r="P13" i="14"/>
  <c r="P15" i="14"/>
  <c r="P14" i="14"/>
  <c r="P16" i="14"/>
  <c r="P17" i="14"/>
  <c r="P18" i="14"/>
  <c r="P19" i="14"/>
  <c r="P20" i="14"/>
  <c r="P21" i="14"/>
  <c r="P22" i="14"/>
  <c r="P23" i="14"/>
  <c r="P24" i="14"/>
  <c r="P25" i="14"/>
  <c r="P26" i="14"/>
  <c r="P27" i="14"/>
  <c r="EF65" i="46"/>
  <c r="EF66" i="46"/>
  <c r="EF67" i="46"/>
  <c r="EF68" i="46"/>
  <c r="EF69" i="46"/>
  <c r="EF70" i="46"/>
  <c r="EF71" i="46"/>
  <c r="EF72" i="46"/>
  <c r="EF73" i="46"/>
  <c r="EF74" i="46"/>
  <c r="EF75" i="46"/>
  <c r="DY71" i="46"/>
  <c r="DY72" i="46"/>
  <c r="DY73" i="46"/>
  <c r="DY74" i="46"/>
  <c r="DY75" i="46"/>
  <c r="DY76" i="46"/>
  <c r="DY77" i="46"/>
  <c r="DY78" i="46"/>
  <c r="DY79" i="46"/>
  <c r="DY80" i="46"/>
  <c r="DY81" i="46"/>
  <c r="DR70" i="46"/>
  <c r="DR71" i="46"/>
  <c r="DR72" i="46"/>
  <c r="DR73" i="46"/>
  <c r="DR74" i="46"/>
  <c r="DR75" i="46"/>
  <c r="DR76" i="46"/>
  <c r="DR77" i="46"/>
  <c r="DR78" i="46"/>
  <c r="DR79" i="46"/>
  <c r="DR80" i="46"/>
  <c r="DK72" i="46"/>
  <c r="DK73" i="46"/>
  <c r="DK74" i="46"/>
  <c r="DK75" i="46"/>
  <c r="DK76" i="46"/>
  <c r="DK77" i="46"/>
  <c r="DK78" i="46"/>
  <c r="DK79" i="46"/>
  <c r="DK80" i="46"/>
  <c r="DK81" i="46"/>
  <c r="DK82" i="46"/>
  <c r="DK83" i="46"/>
  <c r="DD53" i="46"/>
  <c r="DD54" i="46"/>
  <c r="DD55" i="46"/>
  <c r="DD56" i="46"/>
  <c r="DD57" i="46"/>
  <c r="DD58" i="46"/>
  <c r="DD59" i="46"/>
  <c r="DD60" i="46"/>
  <c r="DD61" i="46"/>
  <c r="DD62" i="46"/>
  <c r="DD63" i="46"/>
  <c r="DD64" i="46"/>
  <c r="DD65" i="46"/>
  <c r="DD66" i="46"/>
  <c r="DD67" i="46"/>
  <c r="DD68" i="46"/>
  <c r="DD69" i="46"/>
  <c r="DD70" i="46"/>
  <c r="DD71" i="46"/>
  <c r="DD72" i="46"/>
  <c r="DD73" i="46"/>
  <c r="DD74" i="46"/>
  <c r="DD75" i="46"/>
  <c r="DD76" i="46"/>
  <c r="DD77" i="46"/>
  <c r="DD78" i="46"/>
  <c r="DD79" i="46"/>
  <c r="DD80" i="46"/>
  <c r="CW53" i="46"/>
  <c r="CW54" i="46"/>
  <c r="CW55" i="46"/>
  <c r="CW56" i="46"/>
  <c r="CW57" i="46"/>
  <c r="CW58" i="46"/>
  <c r="CW59" i="46"/>
  <c r="CW60" i="46"/>
  <c r="CW61" i="46"/>
  <c r="CW62" i="46"/>
  <c r="CW63" i="46"/>
  <c r="CW64" i="46"/>
  <c r="CW65" i="46"/>
  <c r="CW66" i="46"/>
  <c r="CW67" i="46"/>
  <c r="CW68" i="46"/>
  <c r="CW69" i="46"/>
  <c r="CW70" i="46"/>
  <c r="CW71" i="46"/>
  <c r="CW72" i="46"/>
  <c r="CW73" i="46"/>
  <c r="CW74" i="46"/>
  <c r="CW75" i="46"/>
  <c r="CW76" i="46"/>
  <c r="CW77" i="46"/>
  <c r="CP75" i="46"/>
  <c r="CP76" i="46"/>
  <c r="CP50" i="46"/>
  <c r="CP51" i="46"/>
  <c r="CP52" i="46"/>
  <c r="CP53" i="46"/>
  <c r="CP54" i="46"/>
  <c r="CP55" i="46"/>
  <c r="CP56" i="46"/>
  <c r="CP57" i="46"/>
  <c r="CP58" i="46"/>
  <c r="CP59" i="46"/>
  <c r="CP60" i="46"/>
  <c r="CP61" i="46"/>
  <c r="CP62" i="46"/>
  <c r="CP63" i="46"/>
  <c r="CP64" i="46"/>
  <c r="CP65" i="46"/>
  <c r="CP66" i="46"/>
  <c r="CP67" i="46"/>
  <c r="CP68" i="46"/>
  <c r="CP69" i="46"/>
  <c r="CP70" i="46"/>
  <c r="CP71" i="46"/>
  <c r="CP72" i="46"/>
  <c r="CP73" i="46"/>
  <c r="CP74" i="46"/>
  <c r="CI75" i="46"/>
  <c r="CI54" i="46"/>
  <c r="CI55" i="46"/>
  <c r="CI56" i="46"/>
  <c r="CI57" i="46"/>
  <c r="CI58" i="46"/>
  <c r="CI59" i="46"/>
  <c r="CI60" i="46"/>
  <c r="CI61" i="46"/>
  <c r="CI62" i="46"/>
  <c r="CI63" i="46"/>
  <c r="CI64" i="46"/>
  <c r="CI65" i="46"/>
  <c r="CI66" i="46"/>
  <c r="CI67" i="46"/>
  <c r="CI68" i="46"/>
  <c r="CI69" i="46"/>
  <c r="CI70" i="46"/>
  <c r="CI71" i="46"/>
  <c r="CI72" i="46"/>
  <c r="CI73" i="46"/>
  <c r="CI74" i="46"/>
  <c r="CB68" i="46"/>
  <c r="CB69" i="46"/>
  <c r="CB70" i="46"/>
  <c r="CB71" i="46"/>
  <c r="CB72" i="46"/>
  <c r="CB73" i="46"/>
  <c r="CB74" i="46"/>
  <c r="CB75" i="46"/>
  <c r="CB76" i="46"/>
  <c r="CB77" i="46"/>
  <c r="CB78" i="46"/>
  <c r="CB79" i="46"/>
  <c r="CB80" i="46"/>
  <c r="CB81" i="46"/>
  <c r="CB82" i="46"/>
  <c r="CB83" i="46"/>
  <c r="CB84" i="46"/>
  <c r="CB85" i="46"/>
  <c r="CB86" i="46"/>
  <c r="CB87" i="46"/>
  <c r="CB88" i="46"/>
  <c r="CB89" i="46"/>
  <c r="BU69" i="46"/>
  <c r="BU70" i="46"/>
  <c r="BU71" i="46"/>
  <c r="BU72" i="46"/>
  <c r="BU73" i="46"/>
  <c r="BU74" i="46"/>
  <c r="BU75" i="46"/>
  <c r="BU76" i="46"/>
  <c r="BU77" i="46"/>
  <c r="BU78" i="46"/>
  <c r="BU79" i="46"/>
  <c r="BU80" i="46"/>
  <c r="BU81" i="46"/>
  <c r="BU82" i="46"/>
  <c r="BU83" i="46"/>
  <c r="BU84" i="46"/>
  <c r="BU85" i="46"/>
  <c r="BU86" i="46"/>
  <c r="BU87" i="46"/>
  <c r="BU88" i="46"/>
  <c r="BU89" i="46"/>
  <c r="BU90" i="46"/>
  <c r="BN68" i="46"/>
  <c r="BN69" i="46"/>
  <c r="BN70" i="46"/>
  <c r="BN71" i="46"/>
  <c r="BN72" i="46"/>
  <c r="BN73" i="46"/>
  <c r="BN74" i="46"/>
  <c r="BN75" i="46"/>
  <c r="BN76" i="46"/>
  <c r="BN77" i="46"/>
  <c r="BN78" i="46"/>
  <c r="BN79" i="46"/>
  <c r="BN80" i="46"/>
  <c r="BN81" i="46"/>
  <c r="BN82" i="46"/>
  <c r="BN83" i="46"/>
  <c r="BN84" i="46"/>
  <c r="BN85" i="46"/>
  <c r="BN86" i="46"/>
  <c r="BN87" i="46"/>
  <c r="BN88" i="46"/>
  <c r="BN89" i="46"/>
  <c r="BN90" i="46"/>
  <c r="BG72" i="46"/>
  <c r="BG73" i="46"/>
  <c r="BG74" i="46"/>
  <c r="BG75" i="46"/>
  <c r="BG76" i="46"/>
  <c r="BG77" i="46"/>
  <c r="BG78" i="46"/>
  <c r="BG79" i="46"/>
  <c r="BG80" i="46"/>
  <c r="BG81" i="46"/>
  <c r="BG82" i="46"/>
  <c r="BG83" i="46"/>
  <c r="BG84" i="46"/>
  <c r="BG85" i="46"/>
  <c r="BG86" i="46"/>
  <c r="BG87" i="46"/>
  <c r="BG88" i="46"/>
  <c r="BG89" i="46"/>
  <c r="BG90" i="46"/>
  <c r="BG91" i="46"/>
  <c r="BG92" i="46"/>
  <c r="BG93" i="46"/>
  <c r="BG94" i="46"/>
  <c r="AZ75" i="46"/>
  <c r="AZ76" i="46"/>
  <c r="AZ77" i="46"/>
  <c r="AZ78" i="46"/>
  <c r="AZ79" i="46"/>
  <c r="AZ80" i="46"/>
  <c r="AZ81" i="46"/>
  <c r="AZ82" i="46"/>
  <c r="AZ83" i="46"/>
  <c r="AZ84" i="46"/>
  <c r="AZ85" i="46"/>
  <c r="AZ86" i="46"/>
  <c r="AZ87" i="46"/>
  <c r="AZ88" i="46"/>
  <c r="AZ89" i="46"/>
  <c r="AZ90" i="46"/>
  <c r="AZ91" i="46"/>
  <c r="AZ92" i="46"/>
  <c r="AZ93" i="46"/>
  <c r="AZ94" i="46"/>
  <c r="AZ95" i="46"/>
  <c r="AZ96" i="46"/>
  <c r="AS75" i="46"/>
  <c r="AS76" i="46"/>
  <c r="AS77" i="46"/>
  <c r="AS78" i="46"/>
  <c r="AS79" i="46"/>
  <c r="AS80" i="46"/>
  <c r="AS81" i="46"/>
  <c r="AS82" i="46"/>
  <c r="AS83" i="46"/>
  <c r="AS84" i="46"/>
  <c r="AS85" i="46"/>
  <c r="AS86" i="46"/>
  <c r="AS87" i="46"/>
  <c r="AS88" i="46"/>
  <c r="AS89" i="46"/>
  <c r="AS90" i="46"/>
  <c r="AS91" i="46"/>
  <c r="AS92" i="46"/>
  <c r="AS93" i="46"/>
  <c r="AS94" i="46"/>
  <c r="AS95" i="46"/>
  <c r="AS96" i="46"/>
  <c r="AL96" i="46"/>
  <c r="AL75" i="46"/>
  <c r="AL76" i="46"/>
  <c r="AL77" i="46"/>
  <c r="AL78" i="46"/>
  <c r="AL79" i="46"/>
  <c r="AL80" i="46"/>
  <c r="AL81" i="46"/>
  <c r="AL82" i="46"/>
  <c r="AL83" i="46"/>
  <c r="AL84" i="46"/>
  <c r="AL85" i="46"/>
  <c r="AL86" i="46"/>
  <c r="AL87" i="46"/>
  <c r="AL88" i="46"/>
  <c r="AL89" i="46"/>
  <c r="AL90" i="46"/>
  <c r="AL91" i="46"/>
  <c r="AL92" i="46"/>
  <c r="AL93" i="46"/>
  <c r="AL94" i="46"/>
  <c r="AL95" i="46"/>
  <c r="AE80" i="46"/>
  <c r="AE81" i="46"/>
  <c r="AE82" i="46"/>
  <c r="AE83" i="46"/>
  <c r="AE84" i="46"/>
  <c r="AE85" i="46"/>
  <c r="AE86" i="46"/>
  <c r="AE87" i="46"/>
  <c r="AE88" i="46"/>
  <c r="AE89" i="46"/>
  <c r="AE90" i="46"/>
  <c r="AE91" i="46"/>
  <c r="AE92" i="46"/>
  <c r="AE93" i="46"/>
  <c r="AE94" i="46"/>
  <c r="AE95" i="46"/>
  <c r="AE96" i="46"/>
  <c r="AE97" i="46"/>
  <c r="AE98" i="46"/>
  <c r="AE99" i="46"/>
  <c r="AE100" i="46"/>
  <c r="AE101" i="46"/>
  <c r="X82" i="46"/>
  <c r="X83" i="46"/>
  <c r="X84" i="46"/>
  <c r="X85" i="46"/>
  <c r="X86" i="46"/>
  <c r="X87" i="46"/>
  <c r="X88" i="46"/>
  <c r="X89" i="46"/>
  <c r="X90" i="46"/>
  <c r="X91" i="46"/>
  <c r="X92" i="46"/>
  <c r="X93" i="46"/>
  <c r="X94" i="46"/>
  <c r="X95" i="46"/>
  <c r="X96" i="46"/>
  <c r="X97" i="46"/>
  <c r="X98" i="46"/>
  <c r="X99" i="46"/>
  <c r="X100" i="46"/>
  <c r="X101" i="46"/>
  <c r="X102" i="46"/>
  <c r="X103" i="46"/>
  <c r="X104" i="46"/>
  <c r="X105" i="46"/>
  <c r="Q85" i="46"/>
  <c r="Q86" i="46"/>
  <c r="Q87" i="46"/>
  <c r="Q88" i="46"/>
  <c r="Q89" i="46"/>
  <c r="Q90" i="46"/>
  <c r="Q91" i="46"/>
  <c r="Q92" i="46"/>
  <c r="Q93" i="46"/>
  <c r="Q94" i="46"/>
  <c r="Q95" i="46"/>
  <c r="Q96" i="46"/>
  <c r="Q97" i="46"/>
  <c r="Q98" i="46"/>
  <c r="Q99" i="46"/>
  <c r="Q100" i="46"/>
  <c r="Q101" i="46"/>
  <c r="Q102" i="46"/>
  <c r="Q103" i="46"/>
  <c r="Q104" i="46"/>
  <c r="Q105" i="46"/>
  <c r="Q106" i="46"/>
  <c r="Q107" i="46"/>
  <c r="Q108" i="46"/>
  <c r="J86" i="46"/>
  <c r="J87" i="46"/>
  <c r="J88" i="46"/>
  <c r="J89" i="46"/>
  <c r="J90" i="46"/>
  <c r="J91" i="46"/>
  <c r="J92" i="46"/>
  <c r="J93" i="46"/>
  <c r="J94" i="46"/>
  <c r="J95" i="46"/>
  <c r="J96" i="46"/>
  <c r="J97" i="46"/>
  <c r="J98" i="46"/>
  <c r="J99" i="46"/>
  <c r="J100" i="46"/>
  <c r="J101" i="46"/>
  <c r="J102" i="46"/>
  <c r="J103" i="46"/>
  <c r="J104" i="46"/>
  <c r="J105" i="46"/>
  <c r="J106" i="46"/>
  <c r="J107" i="46"/>
  <c r="J108" i="46"/>
  <c r="J109"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P3" i="14" l="1"/>
  <c r="CP3" i="46"/>
  <c r="CP4" i="46"/>
  <c r="CP5" i="46"/>
  <c r="CP6" i="46"/>
  <c r="CP7" i="46"/>
  <c r="CP8" i="46"/>
  <c r="CP9" i="46"/>
  <c r="CP10" i="46"/>
  <c r="CP11" i="46"/>
  <c r="CP12" i="46"/>
  <c r="CP13" i="46"/>
  <c r="CP14" i="46"/>
  <c r="CS7" i="46" s="1"/>
  <c r="CP15" i="46"/>
  <c r="CP16" i="46"/>
  <c r="CP17" i="46"/>
  <c r="CP18" i="46"/>
  <c r="CP19" i="46"/>
  <c r="CP20" i="46"/>
  <c r="CP21" i="46"/>
  <c r="CP22" i="46"/>
  <c r="CP23" i="46"/>
  <c r="CP24" i="46"/>
  <c r="CP25" i="46"/>
  <c r="CP26" i="46"/>
  <c r="CP27" i="46"/>
  <c r="CP28" i="46"/>
  <c r="CP29" i="46"/>
  <c r="CP30" i="46"/>
  <c r="CP31" i="46"/>
  <c r="CP32" i="46"/>
  <c r="CP33" i="46"/>
  <c r="CP34" i="46"/>
  <c r="CP35" i="46"/>
  <c r="CP36" i="46"/>
  <c r="CP37" i="46"/>
  <c r="CP38" i="46"/>
  <c r="CP39" i="46"/>
  <c r="CP40" i="46"/>
  <c r="CP41" i="46"/>
  <c r="CP42" i="46"/>
  <c r="CP43" i="46"/>
  <c r="CP44" i="46"/>
  <c r="CP45" i="46"/>
  <c r="CP46" i="46"/>
  <c r="CP47" i="46"/>
  <c r="CP48" i="46"/>
  <c r="CP49" i="46"/>
  <c r="CP2" i="46"/>
  <c r="CS6" i="46" l="1"/>
  <c r="CS5" i="46"/>
  <c r="M36" i="27"/>
  <c r="EF3" i="46" l="1"/>
  <c r="EF4" i="46"/>
  <c r="EF5" i="46"/>
  <c r="EF6" i="46"/>
  <c r="EF7" i="46"/>
  <c r="EF8" i="46"/>
  <c r="EF9" i="46"/>
  <c r="EF10" i="46"/>
  <c r="EF11" i="46"/>
  <c r="EF12" i="46"/>
  <c r="EF13" i="46"/>
  <c r="EF14" i="46"/>
  <c r="EF15" i="46"/>
  <c r="EF16" i="46"/>
  <c r="EF17" i="46"/>
  <c r="EF18" i="46"/>
  <c r="EF19" i="46"/>
  <c r="EF20" i="46"/>
  <c r="EF21" i="46"/>
  <c r="EF22" i="46"/>
  <c r="EF23" i="46"/>
  <c r="EF24" i="46"/>
  <c r="EF25" i="46"/>
  <c r="EF26" i="46"/>
  <c r="EF27" i="46"/>
  <c r="EF28" i="46"/>
  <c r="EF29" i="46"/>
  <c r="EF30" i="46"/>
  <c r="EF31" i="46"/>
  <c r="EF32" i="46"/>
  <c r="EF33" i="46"/>
  <c r="EF34" i="46"/>
  <c r="EF35" i="46"/>
  <c r="EF36" i="46"/>
  <c r="EF37" i="46"/>
  <c r="EF38" i="46"/>
  <c r="EF39" i="46"/>
  <c r="EF40" i="46"/>
  <c r="EF41" i="46"/>
  <c r="EF42" i="46"/>
  <c r="EF43" i="46"/>
  <c r="EF44" i="46"/>
  <c r="EF45" i="46"/>
  <c r="EF46" i="46"/>
  <c r="EF47" i="46"/>
  <c r="EF48" i="46"/>
  <c r="EF49" i="46"/>
  <c r="EF50" i="46"/>
  <c r="EF51" i="46"/>
  <c r="EF52" i="46"/>
  <c r="EF53" i="46"/>
  <c r="EF54" i="46"/>
  <c r="EF55" i="46"/>
  <c r="EF56" i="46"/>
  <c r="EF57" i="46"/>
  <c r="EF58" i="46"/>
  <c r="EF59" i="46"/>
  <c r="EF60" i="46"/>
  <c r="EF62" i="46"/>
  <c r="EF61" i="46"/>
  <c r="EF63" i="46"/>
  <c r="EF64" i="46"/>
  <c r="DY3" i="46"/>
  <c r="DY4" i="46"/>
  <c r="DY5" i="46"/>
  <c r="DY6" i="46"/>
  <c r="DY7" i="46"/>
  <c r="DY8" i="46"/>
  <c r="DY9" i="46"/>
  <c r="EB5" i="46" s="1"/>
  <c r="DY10" i="46"/>
  <c r="DY11" i="46"/>
  <c r="DY12" i="46"/>
  <c r="DY13" i="46"/>
  <c r="DY14" i="46"/>
  <c r="DY15" i="46"/>
  <c r="DY16" i="46"/>
  <c r="DY17" i="46"/>
  <c r="DY18" i="46"/>
  <c r="DY19" i="46"/>
  <c r="DY20" i="46"/>
  <c r="DY21" i="46"/>
  <c r="DY22" i="46"/>
  <c r="DY23" i="46"/>
  <c r="DY24" i="46"/>
  <c r="DY25" i="46"/>
  <c r="DY26" i="46"/>
  <c r="DY27" i="46"/>
  <c r="DY28" i="46"/>
  <c r="DY29" i="46"/>
  <c r="DY30" i="46"/>
  <c r="DY31" i="46"/>
  <c r="DY32" i="46"/>
  <c r="DY33" i="46"/>
  <c r="DY34" i="46"/>
  <c r="DY35" i="46"/>
  <c r="DY36" i="46"/>
  <c r="DY37" i="46"/>
  <c r="DY38" i="46"/>
  <c r="DY39" i="46"/>
  <c r="DY40" i="46"/>
  <c r="DY41" i="46"/>
  <c r="DY42" i="46"/>
  <c r="DY43" i="46"/>
  <c r="DY44" i="46"/>
  <c r="DY45" i="46"/>
  <c r="DY46" i="46"/>
  <c r="DY47" i="46"/>
  <c r="DY48" i="46"/>
  <c r="DY49" i="46"/>
  <c r="DY50" i="46"/>
  <c r="DY51" i="46"/>
  <c r="DY52" i="46"/>
  <c r="DY53" i="46"/>
  <c r="DY54" i="46"/>
  <c r="DY55" i="46"/>
  <c r="DY56" i="46"/>
  <c r="DY57" i="46"/>
  <c r="DY58" i="46"/>
  <c r="DY59" i="46"/>
  <c r="DY60" i="46"/>
  <c r="DY61" i="46"/>
  <c r="DY62" i="46"/>
  <c r="DY63" i="46"/>
  <c r="DY64" i="46"/>
  <c r="DY65" i="46"/>
  <c r="DY66" i="46"/>
  <c r="DY68" i="46"/>
  <c r="DY67" i="46"/>
  <c r="DY69" i="46"/>
  <c r="DY70" i="46"/>
  <c r="DR3" i="46"/>
  <c r="DR4" i="46"/>
  <c r="DR5" i="46"/>
  <c r="DR6" i="46"/>
  <c r="DU5" i="46" s="1"/>
  <c r="DR7" i="46"/>
  <c r="DR8" i="46"/>
  <c r="DR9" i="46"/>
  <c r="DR10" i="46"/>
  <c r="DR11" i="46"/>
  <c r="DR12" i="46"/>
  <c r="DR13" i="46"/>
  <c r="DR14" i="46"/>
  <c r="DR15" i="46"/>
  <c r="DR16" i="46"/>
  <c r="DR17" i="46"/>
  <c r="DR18" i="46"/>
  <c r="DR19" i="46"/>
  <c r="DR20" i="46"/>
  <c r="DR21" i="46"/>
  <c r="DR22" i="46"/>
  <c r="DR23" i="46"/>
  <c r="DR24" i="46"/>
  <c r="DR25" i="46"/>
  <c r="DR26" i="46"/>
  <c r="DR27" i="46"/>
  <c r="DR28" i="46"/>
  <c r="DR29" i="46"/>
  <c r="DR30" i="46"/>
  <c r="DR31" i="46"/>
  <c r="DR32" i="46"/>
  <c r="DR33" i="46"/>
  <c r="DR34" i="46"/>
  <c r="DR35" i="46"/>
  <c r="DR36" i="46"/>
  <c r="DR37" i="46"/>
  <c r="DR38" i="46"/>
  <c r="DR39" i="46"/>
  <c r="DR40" i="46"/>
  <c r="DR41" i="46"/>
  <c r="DR42" i="46"/>
  <c r="DR43" i="46"/>
  <c r="DR44" i="46"/>
  <c r="DR45" i="46"/>
  <c r="DR46" i="46"/>
  <c r="DR47" i="46"/>
  <c r="DR48" i="46"/>
  <c r="DR49" i="46"/>
  <c r="DR50" i="46"/>
  <c r="DR51" i="46"/>
  <c r="DR52" i="46"/>
  <c r="DR53" i="46"/>
  <c r="DR54" i="46"/>
  <c r="DR55" i="46"/>
  <c r="DR56" i="46"/>
  <c r="DR57" i="46"/>
  <c r="DR58" i="46"/>
  <c r="DR59" i="46"/>
  <c r="DR60" i="46"/>
  <c r="DR61" i="46"/>
  <c r="DR62" i="46"/>
  <c r="DR63" i="46"/>
  <c r="DR64" i="46"/>
  <c r="DR65" i="46"/>
  <c r="DR66" i="46"/>
  <c r="DR67" i="46"/>
  <c r="DR68" i="46"/>
  <c r="DR69" i="46"/>
  <c r="DK3" i="46"/>
  <c r="DN5" i="46" s="1"/>
  <c r="DK4" i="46"/>
  <c r="DK5" i="46"/>
  <c r="DK6" i="46"/>
  <c r="DK7" i="46"/>
  <c r="DK8" i="46"/>
  <c r="DK9" i="46"/>
  <c r="DK10" i="46"/>
  <c r="DK11" i="46"/>
  <c r="DK12" i="46"/>
  <c r="DK13" i="46"/>
  <c r="DK14" i="46"/>
  <c r="DK15" i="46"/>
  <c r="DK16" i="46"/>
  <c r="DK17" i="46"/>
  <c r="DK18" i="46"/>
  <c r="DK19" i="46"/>
  <c r="DK20" i="46"/>
  <c r="DK21" i="46"/>
  <c r="DK22" i="46"/>
  <c r="DK23" i="46"/>
  <c r="DK24" i="46"/>
  <c r="DK25" i="46"/>
  <c r="DK26" i="46"/>
  <c r="DK27" i="46"/>
  <c r="DK28" i="46"/>
  <c r="DK29" i="46"/>
  <c r="DK30" i="46"/>
  <c r="DK31" i="46"/>
  <c r="DK32" i="46"/>
  <c r="DK33" i="46"/>
  <c r="DK34" i="46"/>
  <c r="DK35" i="46"/>
  <c r="DK36" i="46"/>
  <c r="DK37" i="46"/>
  <c r="DK38" i="46"/>
  <c r="DK39" i="46"/>
  <c r="DK40" i="46"/>
  <c r="DK41" i="46"/>
  <c r="DK42" i="46"/>
  <c r="DK43" i="46"/>
  <c r="DK44" i="46"/>
  <c r="DK45" i="46"/>
  <c r="DK46" i="46"/>
  <c r="DK47" i="46"/>
  <c r="DK48" i="46"/>
  <c r="DK49" i="46"/>
  <c r="DK50" i="46"/>
  <c r="DK51" i="46"/>
  <c r="DK52" i="46"/>
  <c r="DK53" i="46"/>
  <c r="DK54" i="46"/>
  <c r="DK55" i="46"/>
  <c r="DK56" i="46"/>
  <c r="DK57" i="46"/>
  <c r="DK58" i="46"/>
  <c r="DK59" i="46"/>
  <c r="DK60" i="46"/>
  <c r="DK61" i="46"/>
  <c r="DK62" i="46"/>
  <c r="DK63" i="46"/>
  <c r="DK64" i="46"/>
  <c r="DK65" i="46"/>
  <c r="DK66" i="46"/>
  <c r="DK67" i="46"/>
  <c r="DK68" i="46"/>
  <c r="DK69" i="46"/>
  <c r="DK70" i="46"/>
  <c r="DK71" i="46"/>
  <c r="DD3" i="46"/>
  <c r="DD4" i="46"/>
  <c r="DD5" i="46"/>
  <c r="DD6" i="46"/>
  <c r="DD7" i="46"/>
  <c r="DD8" i="46"/>
  <c r="DD9" i="46"/>
  <c r="DD10" i="46"/>
  <c r="DD11" i="46"/>
  <c r="DD12" i="46"/>
  <c r="DD13" i="46"/>
  <c r="DD14" i="46"/>
  <c r="DD15" i="46"/>
  <c r="DD16" i="46"/>
  <c r="DD17" i="46"/>
  <c r="DD18" i="46"/>
  <c r="DD19" i="46"/>
  <c r="DD20" i="46"/>
  <c r="DD21" i="46"/>
  <c r="DD22" i="46"/>
  <c r="DD23" i="46"/>
  <c r="DD24" i="46"/>
  <c r="DD25" i="46"/>
  <c r="DD26" i="46"/>
  <c r="DD27" i="46"/>
  <c r="DD28" i="46"/>
  <c r="DD29" i="46"/>
  <c r="DD30" i="46"/>
  <c r="DD31" i="46"/>
  <c r="DD32" i="46"/>
  <c r="DD33" i="46"/>
  <c r="DD34" i="46"/>
  <c r="DD35" i="46"/>
  <c r="DD36" i="46"/>
  <c r="DD37" i="46"/>
  <c r="DD38" i="46"/>
  <c r="DD39" i="46"/>
  <c r="DD40" i="46"/>
  <c r="DD41" i="46"/>
  <c r="DD42" i="46"/>
  <c r="DD43" i="46"/>
  <c r="DD44" i="46"/>
  <c r="DD45" i="46"/>
  <c r="DD46" i="46"/>
  <c r="DD47" i="46"/>
  <c r="DD48" i="46"/>
  <c r="DD49" i="46"/>
  <c r="DD50" i="46"/>
  <c r="DD51" i="46"/>
  <c r="DD52" i="46"/>
  <c r="CW3" i="46"/>
  <c r="CW4" i="46"/>
  <c r="CW5" i="46"/>
  <c r="CW6" i="46"/>
  <c r="CW7" i="46"/>
  <c r="CW8" i="46"/>
  <c r="CW9" i="46"/>
  <c r="CW10" i="46"/>
  <c r="CW11" i="46"/>
  <c r="CW12" i="46"/>
  <c r="CW13" i="46"/>
  <c r="CW14" i="46"/>
  <c r="CW15" i="46"/>
  <c r="CW16" i="46"/>
  <c r="CW17" i="46"/>
  <c r="CW18" i="46"/>
  <c r="CW19" i="46"/>
  <c r="CW20" i="46"/>
  <c r="CW21" i="46"/>
  <c r="CW22" i="46"/>
  <c r="CW23" i="46"/>
  <c r="CW24" i="46"/>
  <c r="CW25" i="46"/>
  <c r="CW26" i="46"/>
  <c r="CW27" i="46"/>
  <c r="CW28" i="46"/>
  <c r="CW29" i="46"/>
  <c r="CW30" i="46"/>
  <c r="CW31" i="46"/>
  <c r="CW32" i="46"/>
  <c r="CW33" i="46"/>
  <c r="CW34" i="46"/>
  <c r="CW35" i="46"/>
  <c r="CW36" i="46"/>
  <c r="CW37" i="46"/>
  <c r="CW38" i="46"/>
  <c r="CW39" i="46"/>
  <c r="CW40" i="46"/>
  <c r="CW41" i="46"/>
  <c r="CW42" i="46"/>
  <c r="CW43" i="46"/>
  <c r="CW44" i="46"/>
  <c r="CW45" i="46"/>
  <c r="CW46" i="46"/>
  <c r="CW47" i="46"/>
  <c r="CW48" i="46"/>
  <c r="CW49" i="46"/>
  <c r="CW50" i="46"/>
  <c r="CW51" i="46"/>
  <c r="CW52" i="46"/>
  <c r="CI3" i="46" l="1"/>
  <c r="CI4" i="46"/>
  <c r="CI5" i="46"/>
  <c r="CI6" i="46"/>
  <c r="CI7" i="46"/>
  <c r="CI8" i="46"/>
  <c r="CI9" i="46"/>
  <c r="CI10" i="46"/>
  <c r="CI11" i="46"/>
  <c r="CI12" i="46"/>
  <c r="CL7" i="46" s="1"/>
  <c r="CI13" i="46"/>
  <c r="CI14" i="46"/>
  <c r="CI15" i="46"/>
  <c r="CI16" i="46"/>
  <c r="CI17" i="46"/>
  <c r="CI18" i="46"/>
  <c r="CI19" i="46"/>
  <c r="CI20" i="46"/>
  <c r="CI21" i="46"/>
  <c r="CI22" i="46"/>
  <c r="CI23" i="46"/>
  <c r="CI24" i="46"/>
  <c r="CI25" i="46"/>
  <c r="CI26" i="46"/>
  <c r="CI27" i="46"/>
  <c r="CI28" i="46"/>
  <c r="CI29" i="46"/>
  <c r="CI30" i="46"/>
  <c r="CI31" i="46"/>
  <c r="CI32" i="46"/>
  <c r="CI33" i="46"/>
  <c r="CI34" i="46"/>
  <c r="CI35" i="46"/>
  <c r="CI36" i="46"/>
  <c r="CI37" i="46"/>
  <c r="CI38" i="46"/>
  <c r="CI39" i="46"/>
  <c r="CI40" i="46"/>
  <c r="CI41" i="46"/>
  <c r="CI42" i="46"/>
  <c r="CI43" i="46"/>
  <c r="CI44" i="46"/>
  <c r="CI45" i="46"/>
  <c r="CI46" i="46"/>
  <c r="CI47" i="46"/>
  <c r="CI48" i="46"/>
  <c r="CI49" i="46"/>
  <c r="CI50" i="46"/>
  <c r="CI51" i="46"/>
  <c r="CI52" i="46"/>
  <c r="CI53" i="46"/>
  <c r="CB3" i="46"/>
  <c r="CB4" i="46"/>
  <c r="CB5" i="46"/>
  <c r="CB6" i="46"/>
  <c r="CB7" i="46"/>
  <c r="CB8" i="46"/>
  <c r="CB9" i="46"/>
  <c r="CB10" i="46"/>
  <c r="CB11" i="46"/>
  <c r="CB12" i="46"/>
  <c r="CB13" i="46"/>
  <c r="CB14" i="46"/>
  <c r="CB15" i="46"/>
  <c r="CB16" i="46"/>
  <c r="CB17" i="46"/>
  <c r="CB18" i="46"/>
  <c r="CB19" i="46"/>
  <c r="CB20" i="46"/>
  <c r="CB21" i="46"/>
  <c r="CB22" i="46"/>
  <c r="CB23" i="46"/>
  <c r="CB24" i="46"/>
  <c r="CB25" i="46"/>
  <c r="CB26" i="46"/>
  <c r="CB27" i="46"/>
  <c r="CB28" i="46"/>
  <c r="CB29" i="46"/>
  <c r="CB30" i="46"/>
  <c r="CB31" i="46"/>
  <c r="CB32" i="46"/>
  <c r="CB33" i="46"/>
  <c r="CB34" i="46"/>
  <c r="CB35" i="46"/>
  <c r="CB36" i="46"/>
  <c r="CB37" i="46"/>
  <c r="CB38" i="46"/>
  <c r="CB39" i="46"/>
  <c r="CB40" i="46"/>
  <c r="CB41" i="46"/>
  <c r="CB42" i="46"/>
  <c r="CB43" i="46"/>
  <c r="CB44" i="46"/>
  <c r="CB45" i="46"/>
  <c r="CB46" i="46"/>
  <c r="CB47" i="46"/>
  <c r="CB48" i="46"/>
  <c r="CB49" i="46"/>
  <c r="CB50" i="46"/>
  <c r="CB51" i="46"/>
  <c r="CB52" i="46"/>
  <c r="CB53" i="46"/>
  <c r="CB54" i="46"/>
  <c r="CB55" i="46"/>
  <c r="CB56" i="46"/>
  <c r="CB57" i="46"/>
  <c r="CB58" i="46"/>
  <c r="CB59" i="46"/>
  <c r="CB60" i="46"/>
  <c r="CB61" i="46"/>
  <c r="CB62" i="46"/>
  <c r="CB63" i="46"/>
  <c r="CB64" i="46"/>
  <c r="CB65" i="46"/>
  <c r="CB66" i="46"/>
  <c r="CB67" i="46"/>
  <c r="BU3" i="46"/>
  <c r="BU4" i="46"/>
  <c r="BU5" i="46"/>
  <c r="BU6" i="46"/>
  <c r="BU7" i="46"/>
  <c r="BU8" i="46"/>
  <c r="BU9" i="46"/>
  <c r="BU10" i="46"/>
  <c r="BU11" i="46"/>
  <c r="BU12" i="46"/>
  <c r="BU13" i="46"/>
  <c r="BU14" i="46"/>
  <c r="BU15" i="46"/>
  <c r="BU16" i="46"/>
  <c r="BU17" i="46"/>
  <c r="BU18" i="46"/>
  <c r="BU19" i="46"/>
  <c r="BU20" i="46"/>
  <c r="BU21" i="46"/>
  <c r="BU22" i="46"/>
  <c r="BU23" i="46"/>
  <c r="BU24" i="46"/>
  <c r="BU25" i="46"/>
  <c r="BU26" i="46"/>
  <c r="BU27" i="46"/>
  <c r="BU28" i="46"/>
  <c r="BU29" i="46"/>
  <c r="BU30" i="46"/>
  <c r="BU31" i="46"/>
  <c r="BU32" i="46"/>
  <c r="BU33" i="46"/>
  <c r="BU34" i="46"/>
  <c r="BU35" i="46"/>
  <c r="BU36" i="46"/>
  <c r="BU37" i="46"/>
  <c r="BU38" i="46"/>
  <c r="BU39" i="46"/>
  <c r="BU40" i="46"/>
  <c r="BU41" i="46"/>
  <c r="BU42" i="46"/>
  <c r="BU43" i="46"/>
  <c r="BU44" i="46"/>
  <c r="BU45" i="46"/>
  <c r="BU46" i="46"/>
  <c r="BU47" i="46"/>
  <c r="BU48" i="46"/>
  <c r="BU49" i="46"/>
  <c r="BU50" i="46"/>
  <c r="BU51" i="46"/>
  <c r="BU52" i="46"/>
  <c r="BU53" i="46"/>
  <c r="BU54" i="46"/>
  <c r="BU55" i="46"/>
  <c r="BU56" i="46"/>
  <c r="BU57" i="46"/>
  <c r="BU58" i="46"/>
  <c r="BU59" i="46"/>
  <c r="BU60" i="46"/>
  <c r="BU61" i="46"/>
  <c r="BU62" i="46"/>
  <c r="BU63" i="46"/>
  <c r="BU64" i="46"/>
  <c r="BU65" i="46"/>
  <c r="BU66" i="46"/>
  <c r="BU67" i="46"/>
  <c r="BU68" i="46"/>
  <c r="BN3" i="46"/>
  <c r="BN4" i="46"/>
  <c r="BN5" i="46"/>
  <c r="BN6" i="46"/>
  <c r="BN7" i="46"/>
  <c r="BN8" i="46"/>
  <c r="BN9" i="46"/>
  <c r="BN10" i="46"/>
  <c r="BN11" i="46"/>
  <c r="BN12" i="46"/>
  <c r="BN13" i="46"/>
  <c r="BN14" i="46"/>
  <c r="BN15" i="46"/>
  <c r="BN16" i="46"/>
  <c r="BN17" i="46"/>
  <c r="BN18" i="46"/>
  <c r="BN19" i="46"/>
  <c r="BN20" i="46"/>
  <c r="BN21" i="46"/>
  <c r="BN22" i="46"/>
  <c r="BN23" i="46"/>
  <c r="BN24" i="46"/>
  <c r="BN25" i="46"/>
  <c r="BN26" i="46"/>
  <c r="BN27" i="46"/>
  <c r="BN28" i="46"/>
  <c r="BN29" i="46"/>
  <c r="BN30" i="46"/>
  <c r="BN31" i="46"/>
  <c r="BN32" i="46"/>
  <c r="BN33" i="46"/>
  <c r="BN34" i="46"/>
  <c r="BN35" i="46"/>
  <c r="BN36" i="46"/>
  <c r="BN37" i="46"/>
  <c r="BN38" i="46"/>
  <c r="BN39" i="46"/>
  <c r="BN40" i="46"/>
  <c r="BN41" i="46"/>
  <c r="BN42" i="46"/>
  <c r="BN43" i="46"/>
  <c r="BN44" i="46"/>
  <c r="BN45" i="46"/>
  <c r="BN46" i="46"/>
  <c r="BN47" i="46"/>
  <c r="BN48" i="46"/>
  <c r="BN49" i="46"/>
  <c r="BN50" i="46"/>
  <c r="BN51" i="46"/>
  <c r="BN52" i="46"/>
  <c r="BN53" i="46"/>
  <c r="BN54" i="46"/>
  <c r="BN55" i="46"/>
  <c r="BN56" i="46"/>
  <c r="BN57" i="46"/>
  <c r="BN58" i="46"/>
  <c r="BN59" i="46"/>
  <c r="BN60" i="46"/>
  <c r="BN61" i="46"/>
  <c r="BN62" i="46"/>
  <c r="BN63" i="46"/>
  <c r="BN64" i="46"/>
  <c r="BN65" i="46"/>
  <c r="BN66" i="46"/>
  <c r="BN67" i="46"/>
  <c r="BG3" i="46"/>
  <c r="BG4" i="46"/>
  <c r="BG5" i="46"/>
  <c r="BG6" i="46"/>
  <c r="BG7" i="46"/>
  <c r="BG8" i="46"/>
  <c r="BG9" i="46"/>
  <c r="BG10" i="46"/>
  <c r="BG11" i="46"/>
  <c r="BG12" i="46"/>
  <c r="BG13" i="46"/>
  <c r="BG14" i="46"/>
  <c r="BG15" i="46"/>
  <c r="BG16" i="46"/>
  <c r="BG17" i="46"/>
  <c r="BG18" i="46"/>
  <c r="BG19" i="46"/>
  <c r="BG20" i="46"/>
  <c r="BG21" i="46"/>
  <c r="BG22" i="46"/>
  <c r="BG23" i="46"/>
  <c r="BG24" i="46"/>
  <c r="BG25" i="46"/>
  <c r="BG26" i="46"/>
  <c r="BG27" i="46"/>
  <c r="BG28" i="46"/>
  <c r="BG29" i="46"/>
  <c r="BG30" i="46"/>
  <c r="BG31" i="46"/>
  <c r="BG32" i="46"/>
  <c r="BG33" i="46"/>
  <c r="BG34" i="46"/>
  <c r="BG35" i="46"/>
  <c r="BG36" i="46"/>
  <c r="BG37" i="46"/>
  <c r="BG38" i="46"/>
  <c r="BG39" i="46"/>
  <c r="BG40" i="46"/>
  <c r="BG41" i="46"/>
  <c r="BG42" i="46"/>
  <c r="BG43" i="46"/>
  <c r="BG44" i="46"/>
  <c r="BG45" i="46"/>
  <c r="BG46" i="46"/>
  <c r="BG47" i="46"/>
  <c r="BG48" i="46"/>
  <c r="BG49" i="46"/>
  <c r="BG50" i="46"/>
  <c r="BG51" i="46"/>
  <c r="BG52" i="46"/>
  <c r="BG53" i="46"/>
  <c r="BG54" i="46"/>
  <c r="BG55" i="46"/>
  <c r="BG56" i="46"/>
  <c r="BG57" i="46"/>
  <c r="BG58" i="46"/>
  <c r="BG59" i="46"/>
  <c r="BG60" i="46"/>
  <c r="BG61" i="46"/>
  <c r="BG62" i="46"/>
  <c r="BG63" i="46"/>
  <c r="BG64" i="46"/>
  <c r="BG65" i="46"/>
  <c r="BG66" i="46"/>
  <c r="BG67" i="46"/>
  <c r="BG68" i="46"/>
  <c r="BG69" i="46"/>
  <c r="BG70" i="46"/>
  <c r="BG71" i="46"/>
  <c r="AZ3" i="46"/>
  <c r="AZ4" i="46"/>
  <c r="AZ5" i="46"/>
  <c r="AZ6" i="46"/>
  <c r="AZ7" i="46"/>
  <c r="AZ8" i="46"/>
  <c r="AZ9" i="46"/>
  <c r="AZ10" i="46"/>
  <c r="AZ11" i="46"/>
  <c r="AZ12" i="46"/>
  <c r="AZ13" i="46"/>
  <c r="AZ14" i="46"/>
  <c r="AZ15" i="46"/>
  <c r="AZ16" i="46"/>
  <c r="AZ17" i="46"/>
  <c r="AZ18" i="46"/>
  <c r="AZ19" i="46"/>
  <c r="AZ20" i="46"/>
  <c r="AZ21" i="46"/>
  <c r="AZ22" i="46"/>
  <c r="AZ23" i="46"/>
  <c r="AZ24" i="46"/>
  <c r="AZ25" i="46"/>
  <c r="AZ26" i="46"/>
  <c r="AZ27" i="46"/>
  <c r="AZ28" i="46"/>
  <c r="AZ29" i="46"/>
  <c r="AZ30" i="46"/>
  <c r="AZ31" i="46"/>
  <c r="AZ32" i="46"/>
  <c r="AZ33" i="46"/>
  <c r="AZ34" i="46"/>
  <c r="AZ35" i="46"/>
  <c r="AZ36" i="46"/>
  <c r="AZ37" i="46"/>
  <c r="AZ38" i="46"/>
  <c r="AZ39" i="46"/>
  <c r="AZ40" i="46"/>
  <c r="AZ41" i="46"/>
  <c r="AZ42" i="46"/>
  <c r="AZ43" i="46"/>
  <c r="AZ44" i="46"/>
  <c r="AZ45" i="46"/>
  <c r="AZ46" i="46"/>
  <c r="AZ47" i="46"/>
  <c r="AZ48" i="46"/>
  <c r="AZ49" i="46"/>
  <c r="AZ50" i="46"/>
  <c r="AZ51" i="46"/>
  <c r="AZ52" i="46"/>
  <c r="AZ53" i="46"/>
  <c r="AZ54" i="46"/>
  <c r="AZ55" i="46"/>
  <c r="AZ56" i="46"/>
  <c r="AZ57" i="46"/>
  <c r="AZ58" i="46"/>
  <c r="AZ59" i="46"/>
  <c r="AZ60" i="46"/>
  <c r="AZ61" i="46"/>
  <c r="AZ62" i="46"/>
  <c r="AZ63" i="46"/>
  <c r="AZ64" i="46"/>
  <c r="AZ65" i="46"/>
  <c r="AZ66" i="46"/>
  <c r="AZ67" i="46"/>
  <c r="AZ68" i="46"/>
  <c r="AZ69" i="46"/>
  <c r="AZ70" i="46"/>
  <c r="AZ71" i="46"/>
  <c r="AZ72" i="46"/>
  <c r="AZ73" i="46"/>
  <c r="AZ74" i="46"/>
  <c r="AS3" i="46"/>
  <c r="AS4" i="46"/>
  <c r="AS5" i="46"/>
  <c r="AS6" i="46"/>
  <c r="AS7" i="46"/>
  <c r="AS8" i="46"/>
  <c r="AS9" i="46"/>
  <c r="AS10" i="46"/>
  <c r="AS11" i="46"/>
  <c r="AS12" i="46"/>
  <c r="AS13" i="46"/>
  <c r="AS14" i="46"/>
  <c r="AS15" i="46"/>
  <c r="AS16" i="46"/>
  <c r="AS17" i="46"/>
  <c r="AS18" i="46"/>
  <c r="AS19" i="46"/>
  <c r="AS20" i="46"/>
  <c r="AS21" i="46"/>
  <c r="AS22" i="46"/>
  <c r="AS23" i="46"/>
  <c r="AS24" i="46"/>
  <c r="AS25" i="46"/>
  <c r="AS26" i="46"/>
  <c r="AS27" i="46"/>
  <c r="AS28" i="46"/>
  <c r="AS29" i="46"/>
  <c r="AS30" i="46"/>
  <c r="AS31" i="46"/>
  <c r="AS32" i="46"/>
  <c r="AS33" i="46"/>
  <c r="AS34" i="46"/>
  <c r="AS35" i="46"/>
  <c r="AS36" i="46"/>
  <c r="AS37" i="46"/>
  <c r="AS38" i="46"/>
  <c r="AS39" i="46"/>
  <c r="AS40" i="46"/>
  <c r="AS41" i="46"/>
  <c r="AS42" i="46"/>
  <c r="AS43" i="46"/>
  <c r="AS44" i="46"/>
  <c r="AS45" i="46"/>
  <c r="AS46" i="46"/>
  <c r="AS47" i="46"/>
  <c r="AS48" i="46"/>
  <c r="AS49" i="46"/>
  <c r="AS50" i="46"/>
  <c r="AS51" i="46"/>
  <c r="AS52" i="46"/>
  <c r="AS53" i="46"/>
  <c r="AS54" i="46"/>
  <c r="AS55" i="46"/>
  <c r="AS56" i="46"/>
  <c r="AS57" i="46"/>
  <c r="AS58" i="46"/>
  <c r="AS59" i="46"/>
  <c r="AS60" i="46"/>
  <c r="AS61" i="46"/>
  <c r="AS62" i="46"/>
  <c r="AS63" i="46"/>
  <c r="AS64" i="46"/>
  <c r="AS65" i="46"/>
  <c r="AS66" i="46"/>
  <c r="AS67" i="46"/>
  <c r="AS68" i="46"/>
  <c r="AS69" i="46"/>
  <c r="AS70" i="46"/>
  <c r="AS71" i="46"/>
  <c r="AS72" i="46"/>
  <c r="AS73" i="46"/>
  <c r="AS74" i="46"/>
  <c r="AL3" i="46"/>
  <c r="AL4" i="46"/>
  <c r="AL5" i="46"/>
  <c r="AL6" i="46"/>
  <c r="AL7" i="46"/>
  <c r="AL8" i="46"/>
  <c r="AL9" i="46"/>
  <c r="AL10" i="46"/>
  <c r="AL11" i="46"/>
  <c r="AL12" i="46"/>
  <c r="AL13" i="46"/>
  <c r="AL14" i="46"/>
  <c r="AL15" i="46"/>
  <c r="AL16" i="46"/>
  <c r="AL17" i="46"/>
  <c r="AL18" i="46"/>
  <c r="AL19" i="46"/>
  <c r="AL20" i="46"/>
  <c r="AL21" i="46"/>
  <c r="AL22" i="46"/>
  <c r="AL23" i="46"/>
  <c r="AL24" i="46"/>
  <c r="AL25" i="46"/>
  <c r="AL26" i="46"/>
  <c r="AL27" i="46"/>
  <c r="AL28" i="46"/>
  <c r="AL29" i="46"/>
  <c r="AL30" i="46"/>
  <c r="AL31" i="46"/>
  <c r="AL32" i="46"/>
  <c r="AL33" i="46"/>
  <c r="AL34" i="46"/>
  <c r="AL35" i="46"/>
  <c r="AL36" i="46"/>
  <c r="AL37" i="46"/>
  <c r="AL38" i="46"/>
  <c r="AL39" i="46"/>
  <c r="AL40" i="46"/>
  <c r="AL41" i="46"/>
  <c r="AL42" i="46"/>
  <c r="AL43" i="46"/>
  <c r="AL44" i="46"/>
  <c r="AL45" i="46"/>
  <c r="AL46" i="46"/>
  <c r="AL47" i="46"/>
  <c r="AL48" i="46"/>
  <c r="AL49" i="46"/>
  <c r="AL50" i="46"/>
  <c r="AL51" i="46"/>
  <c r="AL52" i="46"/>
  <c r="AL53" i="46"/>
  <c r="AL54" i="46"/>
  <c r="AL55" i="46"/>
  <c r="AL56" i="46"/>
  <c r="AL57" i="46"/>
  <c r="AL58" i="46"/>
  <c r="AL59" i="46"/>
  <c r="AL60" i="46"/>
  <c r="AL61" i="46"/>
  <c r="AL62" i="46"/>
  <c r="AL63" i="46"/>
  <c r="AL64" i="46"/>
  <c r="AL65" i="46"/>
  <c r="AL66" i="46"/>
  <c r="AL67" i="46"/>
  <c r="AL68" i="46"/>
  <c r="AL69" i="46"/>
  <c r="AL70" i="46"/>
  <c r="AL71" i="46"/>
  <c r="AL72" i="46"/>
  <c r="AL73" i="46"/>
  <c r="AL74" i="46"/>
  <c r="AE3" i="46"/>
  <c r="AE4" i="46"/>
  <c r="AE5" i="46"/>
  <c r="AE6" i="46"/>
  <c r="AE7" i="46"/>
  <c r="AE8"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X3" i="46"/>
  <c r="X4" i="46"/>
  <c r="X5" i="46"/>
  <c r="X6" i="46"/>
  <c r="X7" i="46"/>
  <c r="X8" i="46"/>
  <c r="X9" i="46"/>
  <c r="X10" i="46"/>
  <c r="X11" i="46"/>
  <c r="X12" i="46"/>
  <c r="X13" i="46"/>
  <c r="X14" i="46"/>
  <c r="X15" i="46"/>
  <c r="X16" i="46"/>
  <c r="X17" i="46"/>
  <c r="X18" i="46"/>
  <c r="X19" i="46"/>
  <c r="X20" i="46"/>
  <c r="X21" i="46"/>
  <c r="X22" i="46"/>
  <c r="X23" i="46"/>
  <c r="X24" i="46"/>
  <c r="X25" i="46"/>
  <c r="X26" i="46"/>
  <c r="X27" i="46"/>
  <c r="X28" i="46"/>
  <c r="X29" i="46"/>
  <c r="X30" i="46"/>
  <c r="X31" i="46"/>
  <c r="X32" i="46"/>
  <c r="X33" i="46"/>
  <c r="X34" i="46"/>
  <c r="X35" i="46"/>
  <c r="X36" i="46"/>
  <c r="X37" i="46"/>
  <c r="X38" i="46"/>
  <c r="X39" i="46"/>
  <c r="X40" i="46"/>
  <c r="X41" i="46"/>
  <c r="X42" i="46"/>
  <c r="X43" i="46"/>
  <c r="X44" i="46"/>
  <c r="X45" i="46"/>
  <c r="X46" i="46"/>
  <c r="X47" i="46"/>
  <c r="X48" i="46"/>
  <c r="X49" i="46"/>
  <c r="X50" i="46"/>
  <c r="X51" i="46"/>
  <c r="X52" i="46"/>
  <c r="X53" i="46"/>
  <c r="X54" i="46"/>
  <c r="X55" i="46"/>
  <c r="X56" i="46"/>
  <c r="X57" i="46"/>
  <c r="X58" i="46"/>
  <c r="X59" i="46"/>
  <c r="X60" i="46"/>
  <c r="X61" i="46"/>
  <c r="X62" i="46"/>
  <c r="X63" i="46"/>
  <c r="X64" i="46"/>
  <c r="X65" i="46"/>
  <c r="X66" i="46"/>
  <c r="X67" i="46"/>
  <c r="X68" i="46"/>
  <c r="X69" i="46"/>
  <c r="X70" i="46"/>
  <c r="X71" i="46"/>
  <c r="X72" i="46"/>
  <c r="X73" i="46"/>
  <c r="X74" i="46"/>
  <c r="X75" i="46"/>
  <c r="X76" i="46"/>
  <c r="X77" i="46"/>
  <c r="X78" i="46"/>
  <c r="X79" i="46"/>
  <c r="X80" i="46"/>
  <c r="X81" i="46"/>
  <c r="J3" i="46"/>
  <c r="J4" i="46"/>
  <c r="J5" i="46"/>
  <c r="J6" i="46"/>
  <c r="J7" i="46"/>
  <c r="J8" i="46"/>
  <c r="J9" i="46"/>
  <c r="J10" i="46"/>
  <c r="J11" i="46"/>
  <c r="J12" i="46"/>
  <c r="J14" i="46"/>
  <c r="J13" i="46"/>
  <c r="J15" i="46"/>
  <c r="J16" i="46"/>
  <c r="J17" i="46"/>
  <c r="J18" i="46"/>
  <c r="J19" i="46"/>
  <c r="J20" i="46"/>
  <c r="J21" i="46"/>
  <c r="J22" i="46"/>
  <c r="J23" i="46"/>
  <c r="J24" i="46"/>
  <c r="J25" i="46"/>
  <c r="J26" i="46"/>
  <c r="J27" i="46"/>
  <c r="J28" i="46"/>
  <c r="J29" i="46"/>
  <c r="J30" i="46"/>
  <c r="J31" i="46"/>
  <c r="J32" i="46"/>
  <c r="J33" i="46"/>
  <c r="J34" i="46"/>
  <c r="J35" i="46"/>
  <c r="J36" i="46"/>
  <c r="J37" i="46"/>
  <c r="J38" i="46"/>
  <c r="J39" i="46"/>
  <c r="J40" i="46"/>
  <c r="J41" i="46"/>
  <c r="J42" i="46"/>
  <c r="J43" i="46"/>
  <c r="J44" i="46"/>
  <c r="J45" i="46"/>
  <c r="J46" i="46"/>
  <c r="J47" i="46"/>
  <c r="J48" i="46"/>
  <c r="J49" i="46"/>
  <c r="J50" i="46"/>
  <c r="J51" i="46"/>
  <c r="J52" i="46"/>
  <c r="J53" i="46"/>
  <c r="J54" i="46"/>
  <c r="J55" i="46"/>
  <c r="J56" i="46"/>
  <c r="J57" i="46"/>
  <c r="J58" i="46"/>
  <c r="J59" i="46"/>
  <c r="J60" i="46"/>
  <c r="J61" i="46"/>
  <c r="J62" i="46"/>
  <c r="J63" i="46"/>
  <c r="J64" i="46"/>
  <c r="J65" i="46"/>
  <c r="J66" i="46"/>
  <c r="J67" i="46"/>
  <c r="J68" i="46"/>
  <c r="J69" i="46"/>
  <c r="J70" i="46"/>
  <c r="J71" i="46"/>
  <c r="J72" i="46"/>
  <c r="J73" i="46"/>
  <c r="J74" i="46"/>
  <c r="J75" i="46"/>
  <c r="J76" i="46"/>
  <c r="J77" i="46"/>
  <c r="J78" i="46"/>
  <c r="J79" i="46"/>
  <c r="J80" i="46"/>
  <c r="J81" i="46"/>
  <c r="J82" i="46"/>
  <c r="J83" i="46"/>
  <c r="J84" i="46"/>
  <c r="J85" i="46"/>
  <c r="C3" i="46"/>
  <c r="C4" i="46"/>
  <c r="C5" i="46"/>
  <c r="C6" i="46"/>
  <c r="C7" i="46"/>
  <c r="C8" i="46"/>
  <c r="C9" i="46"/>
  <c r="C10" i="46"/>
  <c r="C11" i="46"/>
  <c r="C12" i="46"/>
  <c r="C14" i="46"/>
  <c r="C13"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2" i="46"/>
  <c r="M80" i="31"/>
  <c r="M135" i="31"/>
  <c r="M116" i="31"/>
  <c r="M117" i="31"/>
  <c r="M118" i="31"/>
  <c r="M119" i="31"/>
  <c r="M120" i="31"/>
  <c r="M121" i="31"/>
  <c r="M122" i="31"/>
  <c r="M123" i="31"/>
  <c r="M124" i="31"/>
  <c r="M125" i="31"/>
  <c r="M126" i="31"/>
  <c r="M127" i="31"/>
  <c r="M128" i="31"/>
  <c r="M129" i="31"/>
  <c r="M130" i="31"/>
  <c r="M131" i="31"/>
  <c r="M132" i="31"/>
  <c r="M133" i="31"/>
  <c r="M134" i="31"/>
  <c r="M115" i="31"/>
  <c r="M61" i="31"/>
  <c r="M62" i="31"/>
  <c r="M63" i="31"/>
  <c r="M64" i="31"/>
  <c r="M65" i="31"/>
  <c r="M66" i="31"/>
  <c r="M67" i="31"/>
  <c r="M68" i="31"/>
  <c r="M69" i="31"/>
  <c r="M70" i="31"/>
  <c r="M71" i="31"/>
  <c r="M72" i="31"/>
  <c r="M73" i="31"/>
  <c r="M74" i="31"/>
  <c r="M75" i="31"/>
  <c r="M76" i="31"/>
  <c r="M77" i="31"/>
  <c r="M78" i="31"/>
  <c r="M79" i="31"/>
  <c r="M60" i="31"/>
  <c r="N24" i="31"/>
  <c r="M5" i="31"/>
  <c r="M6" i="31"/>
  <c r="M7" i="31"/>
  <c r="M8" i="31"/>
  <c r="M9" i="31"/>
  <c r="M10" i="31"/>
  <c r="M11" i="31"/>
  <c r="M12" i="31"/>
  <c r="M13" i="31"/>
  <c r="M14" i="31"/>
  <c r="M15" i="31"/>
  <c r="M16" i="31"/>
  <c r="M17" i="31"/>
  <c r="M18" i="31"/>
  <c r="M19" i="31"/>
  <c r="M20" i="31"/>
  <c r="M21" i="31"/>
  <c r="M22" i="31"/>
  <c r="M23" i="31"/>
  <c r="E19" i="36"/>
  <c r="E21" i="36"/>
  <c r="E20" i="36"/>
  <c r="E22" i="36"/>
  <c r="E23" i="36"/>
  <c r="E26" i="36"/>
  <c r="E27" i="36"/>
  <c r="E25" i="36"/>
  <c r="M25" i="31" l="1"/>
  <c r="F9" i="46"/>
  <c r="M9" i="46"/>
  <c r="AH7" i="46"/>
  <c r="F5" i="46"/>
  <c r="AA7" i="46"/>
  <c r="BQ7" i="46"/>
  <c r="BJ7" i="46"/>
  <c r="CE7" i="46"/>
  <c r="BX7" i="46"/>
  <c r="AO7" i="46"/>
  <c r="AV7" i="46"/>
  <c r="BC7" i="46"/>
  <c r="F6" i="46"/>
  <c r="F2" i="46"/>
  <c r="F3" i="46"/>
  <c r="F4" i="46"/>
  <c r="C11" i="47" l="1"/>
  <c r="C4" i="47"/>
  <c r="C5" i="47"/>
  <c r="C6" i="47"/>
  <c r="C7" i="47"/>
  <c r="C8" i="47"/>
  <c r="C9" i="47"/>
  <c r="C10" i="47"/>
  <c r="C3" i="47"/>
  <c r="B16" i="19"/>
  <c r="D16" i="19" s="1"/>
  <c r="B17" i="19"/>
  <c r="D17" i="19" s="1"/>
  <c r="B18" i="19"/>
  <c r="D18" i="19" s="1"/>
  <c r="B19" i="19"/>
  <c r="D19" i="19" s="1"/>
  <c r="B20" i="19"/>
  <c r="D20" i="19" s="1"/>
  <c r="B4" i="19"/>
  <c r="B5" i="19"/>
  <c r="B6" i="19"/>
  <c r="B7" i="19"/>
  <c r="B8" i="19"/>
  <c r="B9" i="19"/>
  <c r="B10" i="19"/>
  <c r="B11" i="19"/>
  <c r="B12" i="19"/>
  <c r="B13" i="19"/>
  <c r="B14" i="19"/>
  <c r="B15" i="19"/>
  <c r="B23" i="19" l="1"/>
  <c r="B22" i="19"/>
  <c r="E28" i="36"/>
  <c r="B13" i="47"/>
  <c r="B12" i="47"/>
  <c r="C36" i="27"/>
  <c r="D36" i="27"/>
  <c r="E36" i="27"/>
  <c r="F36" i="27"/>
  <c r="G36" i="27"/>
  <c r="H36" i="27"/>
  <c r="I36" i="27"/>
  <c r="J36" i="27"/>
  <c r="K36" i="27"/>
  <c r="L36" i="27"/>
  <c r="B36" i="27"/>
  <c r="L6" i="27"/>
  <c r="L7" i="27"/>
  <c r="L8" i="27"/>
  <c r="L9" i="27"/>
  <c r="L10" i="27"/>
  <c r="L11" i="27"/>
  <c r="L12" i="27"/>
  <c r="L13" i="27"/>
  <c r="L15" i="27"/>
  <c r="B4" i="27"/>
  <c r="C4" i="27"/>
  <c r="D4" i="27"/>
  <c r="E4" i="27"/>
  <c r="F4" i="27"/>
  <c r="G4" i="27"/>
  <c r="H4" i="27"/>
  <c r="I4" i="27"/>
  <c r="J4" i="27"/>
  <c r="K4" i="27"/>
  <c r="L4" i="27"/>
  <c r="L18" i="27" s="1"/>
  <c r="F5" i="27"/>
  <c r="G5" i="27"/>
  <c r="H5" i="27"/>
  <c r="I5" i="27"/>
  <c r="J5" i="27"/>
  <c r="K5" i="27"/>
  <c r="L5" i="27"/>
  <c r="F7" i="27"/>
  <c r="G7" i="27"/>
  <c r="H7" i="27"/>
  <c r="I7" i="27"/>
  <c r="J7" i="27"/>
  <c r="K7" i="27"/>
  <c r="J8" i="27"/>
  <c r="K8" i="27"/>
  <c r="F9" i="27"/>
  <c r="G9" i="27"/>
  <c r="H9" i="27"/>
  <c r="I9" i="27"/>
  <c r="J9" i="27"/>
  <c r="K9" i="27"/>
  <c r="J10" i="27"/>
  <c r="K10" i="27"/>
  <c r="B11" i="27"/>
  <c r="C11" i="27"/>
  <c r="D11" i="27"/>
  <c r="E11" i="27"/>
  <c r="F11" i="27"/>
  <c r="G11" i="27"/>
  <c r="H11" i="27"/>
  <c r="I11" i="27"/>
  <c r="J11" i="27"/>
  <c r="K11" i="27"/>
  <c r="F12" i="27"/>
  <c r="G12" i="27"/>
  <c r="H12" i="27"/>
  <c r="I12" i="27"/>
  <c r="J12" i="27"/>
  <c r="K12" i="27"/>
  <c r="J13" i="27"/>
  <c r="F14" i="27"/>
  <c r="G14" i="27"/>
  <c r="H15" i="27"/>
  <c r="I15" i="27"/>
  <c r="J15" i="27"/>
  <c r="K15" i="27"/>
  <c r="B19" i="27" l="1"/>
  <c r="H18" i="27"/>
  <c r="I18" i="27"/>
  <c r="G19" i="27"/>
  <c r="D19" i="27"/>
  <c r="E19" i="27"/>
  <c r="L19" i="27"/>
  <c r="C19" i="27"/>
  <c r="F19" i="27"/>
  <c r="J18" i="27"/>
  <c r="J19" i="27"/>
  <c r="F18" i="27"/>
  <c r="I19" i="27"/>
  <c r="G18" i="27"/>
  <c r="H19" i="27"/>
  <c r="B18" i="27"/>
  <c r="D4" i="19" l="1"/>
  <c r="D5" i="19"/>
  <c r="D6" i="19"/>
  <c r="D7" i="19"/>
  <c r="D8" i="19"/>
  <c r="D9" i="19"/>
  <c r="D10" i="19"/>
  <c r="D11" i="19"/>
  <c r="D12" i="19"/>
  <c r="D13" i="19"/>
  <c r="D14" i="19"/>
  <c r="D15" i="19"/>
  <c r="D3" i="19"/>
  <c r="E6" i="44" l="1"/>
  <c r="F6" i="44" s="1"/>
  <c r="B21" i="44"/>
  <c r="E21" i="44"/>
  <c r="E22" i="44" s="1"/>
  <c r="D21" i="44"/>
  <c r="C21" i="44"/>
  <c r="C22" i="44" s="1"/>
  <c r="J20" i="44"/>
  <c r="I20" i="44"/>
  <c r="G20" i="44"/>
  <c r="H20" i="44"/>
  <c r="K20" i="44"/>
  <c r="J19" i="44"/>
  <c r="I19" i="44"/>
  <c r="G19" i="44"/>
  <c r="H19" i="44"/>
  <c r="K19" i="44"/>
  <c r="J18" i="44"/>
  <c r="I18" i="44"/>
  <c r="G18" i="44"/>
  <c r="H18" i="44"/>
  <c r="K18" i="44"/>
  <c r="K17" i="44"/>
  <c r="J17" i="44"/>
  <c r="I17" i="44"/>
  <c r="G17" i="44"/>
  <c r="H17" i="44"/>
  <c r="J16" i="44"/>
  <c r="I16" i="44"/>
  <c r="G16" i="44"/>
  <c r="H16" i="44"/>
  <c r="B8" i="44"/>
  <c r="B9" i="44" s="1"/>
  <c r="D8" i="44"/>
  <c r="D9" i="44" s="1"/>
  <c r="G7" i="44"/>
  <c r="J7" i="44"/>
  <c r="I7" i="44"/>
  <c r="H7" i="44"/>
  <c r="F7" i="44"/>
  <c r="G6" i="44"/>
  <c r="I6" i="44"/>
  <c r="H6" i="44"/>
  <c r="G5" i="44"/>
  <c r="J5" i="44"/>
  <c r="I5" i="44"/>
  <c r="H5" i="44"/>
  <c r="F5" i="44"/>
  <c r="G4" i="44"/>
  <c r="J4" i="44"/>
  <c r="I4" i="44"/>
  <c r="H4" i="44"/>
  <c r="F4" i="44"/>
  <c r="G3" i="44"/>
  <c r="J3" i="44"/>
  <c r="I3" i="44"/>
  <c r="H3" i="44"/>
  <c r="F3" i="44"/>
  <c r="G22" i="44" l="1"/>
  <c r="D22" i="44"/>
  <c r="J22" i="44"/>
  <c r="F21" i="44"/>
  <c r="H8" i="44"/>
  <c r="G8" i="44"/>
  <c r="I8" i="44"/>
  <c r="I22" i="44"/>
  <c r="B22" i="44"/>
  <c r="F22" i="44" s="1"/>
  <c r="E8" i="44"/>
  <c r="E9" i="44" s="1"/>
  <c r="H22" i="44"/>
  <c r="G9" i="44"/>
  <c r="J6" i="44"/>
  <c r="J9" i="44" s="1"/>
  <c r="K5" i="44"/>
  <c r="K7" i="44"/>
  <c r="K4" i="44"/>
  <c r="K3" i="44"/>
  <c r="I9" i="44"/>
  <c r="K16" i="44"/>
  <c r="K22" i="44" s="1"/>
  <c r="K6" i="44"/>
  <c r="H9" i="44"/>
  <c r="J8" i="44" l="1"/>
  <c r="K8" i="44"/>
  <c r="F8" i="44"/>
  <c r="F9" i="44" s="1"/>
  <c r="K9" i="44"/>
  <c r="Q84" i="46" l="1"/>
  <c r="Q83" i="46"/>
  <c r="Q82" i="46"/>
  <c r="Q81" i="46"/>
  <c r="Q80" i="46"/>
  <c r="Q79" i="46"/>
  <c r="Q78" i="46"/>
  <c r="Q77" i="46"/>
  <c r="Q76" i="46"/>
  <c r="Q75" i="46"/>
  <c r="Q74" i="46"/>
  <c r="Q73" i="46"/>
  <c r="Q72" i="46"/>
  <c r="Q71" i="46"/>
  <c r="Q70" i="46"/>
  <c r="Q69" i="46"/>
  <c r="Q68" i="46"/>
  <c r="Q67" i="46"/>
  <c r="Q66" i="46"/>
  <c r="Q65" i="46"/>
  <c r="Q64" i="46"/>
  <c r="Q63" i="46"/>
  <c r="Q62" i="46"/>
  <c r="Q61" i="46"/>
  <c r="Q60" i="46"/>
  <c r="Q59" i="46"/>
  <c r="Q58" i="46"/>
  <c r="Q57" i="46"/>
  <c r="Q56" i="46"/>
  <c r="Q55" i="46"/>
  <c r="Q54" i="46"/>
  <c r="Q53" i="46"/>
  <c r="Q52" i="46"/>
  <c r="Q51" i="46"/>
  <c r="Q50" i="46"/>
  <c r="Q49" i="46"/>
  <c r="Q48" i="46"/>
  <c r="Q47" i="46"/>
  <c r="Q46" i="46"/>
  <c r="Q45" i="46"/>
  <c r="Q44" i="46"/>
  <c r="Q43" i="46"/>
  <c r="Q42" i="46"/>
  <c r="Q41" i="46"/>
  <c r="Q40" i="46"/>
  <c r="Q39" i="46"/>
  <c r="Q38" i="46"/>
  <c r="Q37" i="46"/>
  <c r="Q36" i="46"/>
  <c r="Q35" i="46"/>
  <c r="Q34" i="46"/>
  <c r="Q33" i="46"/>
  <c r="Q32" i="46"/>
  <c r="Q31" i="46"/>
  <c r="Q30" i="46"/>
  <c r="Q29" i="46"/>
  <c r="Q28" i="46"/>
  <c r="Q27" i="46"/>
  <c r="Q26" i="46"/>
  <c r="Q25" i="46"/>
  <c r="Q24" i="46"/>
  <c r="Q23" i="46"/>
  <c r="Q22" i="46"/>
  <c r="Q21" i="46"/>
  <c r="Q20" i="46"/>
  <c r="Q19" i="46"/>
  <c r="Q18" i="46"/>
  <c r="Q17" i="46"/>
  <c r="Q16" i="46"/>
  <c r="Q15" i="46"/>
  <c r="Q14" i="46"/>
  <c r="Q13" i="46"/>
  <c r="Q12" i="46"/>
  <c r="Q11" i="46"/>
  <c r="Q10" i="46"/>
  <c r="Q9" i="46"/>
  <c r="Q8" i="46"/>
  <c r="Q7" i="46"/>
  <c r="Q6" i="46"/>
  <c r="Q5" i="46"/>
  <c r="Q4" i="46"/>
  <c r="Q3" i="46"/>
  <c r="EF2" i="46"/>
  <c r="EI6" i="46" s="1"/>
  <c r="DY2" i="46"/>
  <c r="EB6" i="46" s="1"/>
  <c r="DR2" i="46"/>
  <c r="DU6" i="46" s="1"/>
  <c r="DK2" i="46"/>
  <c r="DN6" i="46" s="1"/>
  <c r="DD2" i="46"/>
  <c r="CW2" i="46"/>
  <c r="CI2" i="46"/>
  <c r="CB2" i="46"/>
  <c r="CE6" i="46" s="1"/>
  <c r="BU2" i="46"/>
  <c r="BX5" i="46" s="1"/>
  <c r="BN2" i="46"/>
  <c r="BQ5" i="46" s="1"/>
  <c r="BG2" i="46"/>
  <c r="BJ5" i="46" s="1"/>
  <c r="AZ2" i="46"/>
  <c r="AS2" i="46"/>
  <c r="AL2" i="46"/>
  <c r="AO5" i="46" s="1"/>
  <c r="AE2" i="46"/>
  <c r="AH5" i="46" s="1"/>
  <c r="X2" i="46"/>
  <c r="AA5" i="46" s="1"/>
  <c r="Q2" i="46"/>
  <c r="J2" i="46"/>
  <c r="M5" i="46" s="1"/>
  <c r="N22" i="31"/>
  <c r="T4" i="46" l="1"/>
  <c r="T7" i="46"/>
  <c r="T5" i="46"/>
  <c r="CZ5" i="46"/>
  <c r="CZ6" i="46"/>
  <c r="DG5" i="46"/>
  <c r="DG6" i="46"/>
  <c r="CL6" i="46"/>
  <c r="CL5" i="46"/>
  <c r="CE5" i="46"/>
  <c r="BX6" i="46"/>
  <c r="BQ6" i="46"/>
  <c r="BJ6" i="46"/>
  <c r="BC5" i="46"/>
  <c r="BC6" i="46"/>
  <c r="AV5" i="46"/>
  <c r="AV6" i="46"/>
  <c r="AO6" i="46"/>
  <c r="AH6" i="46"/>
  <c r="AA6" i="46"/>
  <c r="T6" i="46"/>
  <c r="M6" i="46"/>
  <c r="EB3" i="46"/>
  <c r="M3" i="46"/>
  <c r="T2" i="46"/>
  <c r="AH2" i="46"/>
  <c r="BQ3" i="46"/>
  <c r="AH4" i="46"/>
  <c r="AO3" i="46"/>
  <c r="DN4" i="46"/>
  <c r="CS3" i="46"/>
  <c r="BC3" i="46"/>
  <c r="AV4" i="46"/>
  <c r="M4" i="46"/>
  <c r="T3" i="46"/>
  <c r="AA3" i="46"/>
  <c r="AA4" i="46"/>
  <c r="AO4" i="46"/>
  <c r="AV2" i="46"/>
  <c r="BC4" i="46"/>
  <c r="BJ4" i="46"/>
  <c r="BJ2" i="46"/>
  <c r="BQ4" i="46"/>
  <c r="BX4" i="46"/>
  <c r="BX2" i="46"/>
  <c r="CE3" i="46"/>
  <c r="CE4" i="46"/>
  <c r="CL4" i="46"/>
  <c r="CL2" i="46"/>
  <c r="CS4" i="46"/>
  <c r="CZ2" i="46"/>
  <c r="CZ3" i="46"/>
  <c r="CZ4" i="46"/>
  <c r="DG4" i="46"/>
  <c r="DG3" i="46"/>
  <c r="DN2" i="46"/>
  <c r="DU4" i="46"/>
  <c r="DU3" i="46"/>
  <c r="EB2" i="46"/>
  <c r="EB4" i="46"/>
  <c r="EI4" i="46"/>
  <c r="EI3" i="46"/>
  <c r="M2" i="46"/>
  <c r="AA2" i="46"/>
  <c r="AO2" i="46"/>
  <c r="BC2" i="46"/>
  <c r="CS2" i="46"/>
  <c r="DN3" i="46"/>
  <c r="BQ2" i="46"/>
  <c r="CE2" i="46"/>
  <c r="DG2" i="46"/>
  <c r="DU2" i="46"/>
  <c r="EI2" i="46"/>
  <c r="AH3" i="46"/>
  <c r="AV3" i="46"/>
  <c r="BJ3" i="46"/>
  <c r="BX3" i="46"/>
  <c r="CL3" i="46"/>
  <c r="N7" i="31"/>
  <c r="N11" i="31"/>
  <c r="N15" i="31"/>
  <c r="N19" i="31"/>
  <c r="N23" i="31"/>
  <c r="N4" i="31"/>
  <c r="N8" i="31"/>
  <c r="N12" i="31"/>
  <c r="N16" i="31"/>
  <c r="N20" i="31"/>
  <c r="N5" i="31"/>
  <c r="N9" i="31"/>
  <c r="N13" i="31"/>
  <c r="N17" i="31"/>
  <c r="N21" i="31"/>
  <c r="N6" i="31"/>
  <c r="N10" i="31"/>
  <c r="N14" i="31"/>
  <c r="N18" i="31"/>
  <c r="P25" i="17"/>
  <c r="N25" i="31" l="1"/>
  <c r="N27" i="31"/>
  <c r="N26" i="31"/>
  <c r="C212" i="17" l="1"/>
  <c r="C204" i="17"/>
  <c r="C196" i="17"/>
  <c r="C188" i="17"/>
  <c r="C18" i="27" l="1"/>
  <c r="D18" i="27"/>
  <c r="K6" i="27"/>
  <c r="K19" i="27" l="1"/>
  <c r="K18" i="27"/>
  <c r="M5" i="20"/>
  <c r="D25" i="36" l="1"/>
  <c r="C25" i="36"/>
  <c r="B25" i="36"/>
  <c r="D27" i="36"/>
  <c r="C27" i="36"/>
  <c r="D26" i="36"/>
  <c r="C26" i="36"/>
  <c r="B26" i="36"/>
  <c r="D23" i="36"/>
  <c r="C23" i="36"/>
  <c r="B23" i="36"/>
  <c r="D22" i="36"/>
  <c r="C22" i="36"/>
  <c r="B22" i="36"/>
  <c r="D20" i="36"/>
  <c r="C20" i="36"/>
  <c r="D21" i="36"/>
  <c r="C21" i="36"/>
  <c r="D19" i="36"/>
  <c r="B19" i="36"/>
  <c r="D28" i="36"/>
  <c r="C28" i="36"/>
  <c r="B28" i="36"/>
  <c r="G4" i="33" l="1"/>
  <c r="G8" i="33"/>
  <c r="G5" i="33"/>
  <c r="G6" i="33"/>
  <c r="G10" i="33"/>
  <c r="G9" i="33"/>
  <c r="G11" i="33"/>
  <c r="G3" i="10" l="1"/>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E44" i="10"/>
  <c r="D3" i="10" l="1"/>
  <c r="D11" i="10"/>
  <c r="D19" i="10"/>
  <c r="D27" i="10"/>
  <c r="D35" i="10"/>
  <c r="D43" i="10"/>
  <c r="D4" i="10"/>
  <c r="D12" i="10"/>
  <c r="D28" i="10"/>
  <c r="D36" i="10"/>
  <c r="D13" i="10"/>
  <c r="D29" i="10"/>
  <c r="D14" i="10"/>
  <c r="D30" i="10"/>
  <c r="D20" i="10"/>
  <c r="D5" i="10"/>
  <c r="D6" i="10"/>
  <c r="D7" i="10"/>
  <c r="D15" i="10"/>
  <c r="D23" i="10"/>
  <c r="D31" i="10"/>
  <c r="D39" i="10"/>
  <c r="D16" i="10"/>
  <c r="D24" i="10"/>
  <c r="D32" i="10"/>
  <c r="D40" i="10"/>
  <c r="D17" i="10"/>
  <c r="D25" i="10"/>
  <c r="D33" i="10"/>
  <c r="D41" i="10"/>
  <c r="D18" i="10"/>
  <c r="D26" i="10"/>
  <c r="D34" i="10"/>
  <c r="D42" i="10"/>
  <c r="D21" i="10"/>
  <c r="D37" i="10"/>
  <c r="D22" i="10"/>
  <c r="D38" i="10"/>
  <c r="D8" i="10"/>
  <c r="D9" i="10"/>
  <c r="D10" i="10"/>
  <c r="G44" i="10"/>
  <c r="N80" i="31" l="1"/>
  <c r="N135" i="31"/>
  <c r="N75" i="31" l="1"/>
  <c r="N60" i="31"/>
  <c r="N73" i="31"/>
  <c r="N77" i="31"/>
  <c r="N79" i="31"/>
  <c r="N78" i="31"/>
  <c r="N69" i="31"/>
  <c r="N67" i="31"/>
  <c r="N74" i="31"/>
  <c r="N71" i="31"/>
  <c r="N70" i="31"/>
  <c r="N66" i="31"/>
  <c r="N65" i="31"/>
  <c r="N63" i="31"/>
  <c r="N62" i="31"/>
  <c r="N61" i="31"/>
  <c r="O60" i="31" s="1"/>
  <c r="N134" i="31"/>
  <c r="N76" i="31"/>
  <c r="N68" i="31"/>
  <c r="N72" i="31"/>
  <c r="N64" i="31"/>
  <c r="N126" i="31"/>
  <c r="N117" i="31"/>
  <c r="N121" i="31"/>
  <c r="N118" i="31"/>
  <c r="N133" i="31"/>
  <c r="N132" i="31"/>
  <c r="N116" i="31"/>
  <c r="N131" i="31"/>
  <c r="N123" i="31"/>
  <c r="N122" i="31"/>
  <c r="N129" i="31"/>
  <c r="N115" i="31"/>
  <c r="N125" i="31"/>
  <c r="N124" i="31"/>
  <c r="N130" i="31"/>
  <c r="N128" i="31"/>
  <c r="N120" i="31"/>
  <c r="N127" i="31"/>
  <c r="N119" i="31"/>
  <c r="O124" i="31" l="1"/>
  <c r="N83" i="31"/>
  <c r="N82" i="31"/>
  <c r="N81" i="31"/>
  <c r="N137" i="31"/>
  <c r="N136" i="31"/>
  <c r="N138" i="31"/>
  <c r="P8" i="17" l="1"/>
  <c r="P5" i="17"/>
  <c r="M22" i="17"/>
  <c r="N22" i="17"/>
  <c r="O22" i="17"/>
  <c r="P22" i="17"/>
  <c r="N25" i="17"/>
  <c r="O25" i="17"/>
  <c r="B6" i="17"/>
  <c r="F40" i="10" l="1"/>
  <c r="F39" i="10"/>
  <c r="F35" i="10"/>
  <c r="F34" i="10"/>
  <c r="F25" i="10"/>
  <c r="F23" i="10"/>
  <c r="F9" i="10"/>
  <c r="F4" i="10"/>
  <c r="F5" i="10"/>
  <c r="F6" i="10"/>
  <c r="F7" i="10"/>
  <c r="F8" i="10"/>
  <c r="F10" i="10"/>
  <c r="F11" i="10"/>
  <c r="F12" i="10"/>
  <c r="F13" i="10"/>
  <c r="F14" i="10"/>
  <c r="F15" i="10"/>
  <c r="F16" i="10"/>
  <c r="F17" i="10"/>
  <c r="F18" i="10"/>
  <c r="F19" i="10"/>
  <c r="F20" i="10"/>
  <c r="F21" i="10"/>
  <c r="F22" i="10"/>
  <c r="F24" i="10"/>
  <c r="F26" i="10"/>
  <c r="F27" i="10"/>
  <c r="F28" i="10"/>
  <c r="F29" i="10"/>
  <c r="F30" i="10"/>
  <c r="F31" i="10"/>
  <c r="F32" i="10"/>
  <c r="F33" i="10"/>
  <c r="F36" i="10"/>
  <c r="F37" i="10"/>
  <c r="F38" i="10"/>
  <c r="F41" i="10"/>
  <c r="F42" i="10"/>
  <c r="F43" i="10"/>
  <c r="F3" i="10"/>
  <c r="D5" i="20"/>
  <c r="L5" i="20"/>
  <c r="K5" i="20"/>
  <c r="J5" i="20"/>
  <c r="I5" i="20"/>
  <c r="H5" i="20"/>
  <c r="G5" i="20"/>
  <c r="F5" i="20"/>
  <c r="E5" i="20"/>
  <c r="C5" i="20"/>
  <c r="B5" i="20"/>
  <c r="O5" i="17"/>
  <c r="L5" i="17"/>
  <c r="M5" i="17"/>
  <c r="N5" i="17"/>
  <c r="F8" i="17"/>
  <c r="F14" i="17" s="1"/>
  <c r="F22" i="17"/>
  <c r="F25" i="17"/>
  <c r="H8" i="17"/>
  <c r="H14" i="17" s="1"/>
  <c r="H22" i="17"/>
  <c r="H25" i="17"/>
  <c r="J8" i="17"/>
  <c r="J14" i="17" s="1"/>
  <c r="J22" i="17"/>
  <c r="J25" i="17"/>
  <c r="L8" i="17"/>
  <c r="L14" i="17" s="1"/>
  <c r="L22" i="17"/>
  <c r="L25" i="17"/>
  <c r="C8" i="17"/>
  <c r="C14" i="17" s="1"/>
  <c r="D8" i="17"/>
  <c r="D14" i="17" s="1"/>
  <c r="E8" i="17"/>
  <c r="E14" i="17" s="1"/>
  <c r="G8" i="17"/>
  <c r="G14" i="17" s="1"/>
  <c r="I8" i="17"/>
  <c r="I14" i="17" s="1"/>
  <c r="K8" i="17"/>
  <c r="K14" i="17" s="1"/>
  <c r="M8" i="17"/>
  <c r="M14" i="17" s="1"/>
  <c r="N8" i="17"/>
  <c r="N14" i="17" s="1"/>
  <c r="B8" i="17"/>
  <c r="B14" i="17" s="1"/>
  <c r="C25" i="17"/>
  <c r="D25" i="17"/>
  <c r="E25" i="17"/>
  <c r="G25" i="17"/>
  <c r="I25" i="17"/>
  <c r="K25" i="17"/>
  <c r="M25" i="17"/>
  <c r="C22" i="17"/>
  <c r="D22" i="17"/>
  <c r="E22" i="17"/>
  <c r="G22" i="17"/>
  <c r="I22" i="17"/>
  <c r="K22" i="17"/>
  <c r="B22" i="17"/>
  <c r="D47" i="10" l="1"/>
  <c r="F44" i="10"/>
  <c r="O8" i="17" l="1"/>
  <c r="O14" i="17" s="1"/>
  <c r="B24" i="17"/>
  <c r="B25" i="17"/>
  <c r="M9" i="27"/>
  <c r="M15" i="27"/>
  <c r="M8" i="27"/>
  <c r="M7" i="27"/>
  <c r="M11" i="27"/>
  <c r="M5" i="27"/>
  <c r="M13" i="27"/>
  <c r="M6" i="27"/>
  <c r="M12" i="27"/>
  <c r="M10" i="27"/>
  <c r="M4" i="27"/>
  <c r="M19" i="27" l="1"/>
  <c r="M18" i="27"/>
  <c r="Q24" i="17" l="1"/>
  <c r="Q2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author>
    <author>Dwayne Winseck</author>
  </authors>
  <commentList>
    <comment ref="B10" authorId="0" shapeId="0" xr:uid="{C02E9A32-5D5A-7F45-9FD0-2186A724D979}">
      <text>
        <r>
          <rPr>
            <sz val="12"/>
            <color rgb="FF000000"/>
            <rFont val="Calibri"/>
            <family val="2"/>
          </rPr>
          <t>2022 estimate is based on 2021 CRTC data and 3 year CAGR of -5.2%. CRTC (2022). Communications Market Report--Open Data , Highlights of Telecommunications sector. Table 11  Residential and business local telephone lines by type of TSP (thousands), 2013-2021). https://crtc.gc.ca/eng/publications/reports/PolicyMonitoring/cmrd.htm</t>
        </r>
      </text>
    </comment>
    <comment ref="D10" authorId="1" shapeId="0" xr:uid="{9770FF65-8C62-0649-B687-06AC455EEC9B}">
      <text>
        <r>
          <rPr>
            <sz val="12"/>
            <color rgb="FF000000"/>
            <rFont val="Calibri"/>
            <family val="2"/>
          </rPr>
          <t xml:space="preserve">CTA (2023). Canadian high-speed internet subscriber numbers. https://canadatelecoms.ca/wp-content/uploads/2023/09/T-Wireline-eng-Carriers-Sub-Stats-Q2-2023.pdf  .ca/wp-content/uploads/2023/09/T-Wireline-eng-Carriers-Sub-Stats-Q2-2023.pdf.
</t>
        </r>
      </text>
    </comment>
    <comment ref="E10" authorId="0" shapeId="0" xr:uid="{B13CDF1F-9517-CC4D-85DD-058511E3F266}">
      <text>
        <r>
          <rPr>
            <sz val="12"/>
            <color rgb="FF000000"/>
            <rFont val="Calibri"/>
            <family val="2"/>
          </rPr>
          <t>CRTC (2022). Communications Market Report--Open Data, BDU. Table 6: Subscribers (millions) of broadcasting distribution undertakings, by type, 2009-2021.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Pheasant</author>
  </authors>
  <commentList>
    <comment ref="L23" authorId="0" shapeId="0" xr:uid="{0569EC22-B65B-4B43-8B8B-10E6F0F5E802}">
      <text>
        <r>
          <rPr>
            <b/>
            <sz val="10"/>
            <color rgb="FF000000"/>
            <rFont val="Tahoma"/>
            <family val="2"/>
          </rPr>
          <t>Pheasant:</t>
        </r>
        <r>
          <rPr>
            <sz val="10"/>
            <color rgb="FF000000"/>
            <rFont val="Tahoma"/>
            <family val="2"/>
          </rPr>
          <t xml:space="preserve">
</t>
        </r>
        <r>
          <rPr>
            <sz val="18"/>
            <color rgb="FF000000"/>
            <rFont val="Calibri"/>
            <family val="2"/>
          </rPr>
          <t>The CRTC's Communications Monitoring Report Figure 5.8 Residential Internet access service revenues by type of service provider. https://crtc.gc.ca/eng/publications/reports/policymonitoring/2018/cmr3c.htm#f508 </t>
        </r>
        <r>
          <rPr>
            <sz val="10"/>
            <color rgb="FF000000"/>
            <rFont val="Calibr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T61" authorId="0" shapeId="0" xr:uid="{D6292A8B-0221-5E44-8D97-B12E6E69E697}">
      <text>
        <r>
          <rPr>
            <b/>
            <sz val="10"/>
            <color rgb="FF000000"/>
            <rFont val="Tahoma"/>
            <family val="2"/>
          </rPr>
          <t>DD:</t>
        </r>
        <r>
          <rPr>
            <sz val="10"/>
            <color rgb="FF000000"/>
            <rFont val="Tahoma"/>
            <family val="2"/>
          </rPr>
          <t xml:space="preserve">
</t>
        </r>
        <r>
          <rPr>
            <sz val="10"/>
            <color rgb="FF000000"/>
            <rFont val="Tahoma"/>
            <family val="2"/>
          </rPr>
          <t xml:space="preserve">Estimate based on y-o-y growth of 11.4%, i.e. the rate of increase for broadcast television, and based on textual notes in BCE's Annual Report 2021 about improving trends in this sector y-o-y.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<sst xmlns="http://schemas.openxmlformats.org/spreadsheetml/2006/main" count="2917" uniqueCount="678">
  <si>
    <t>Table of Contents</t>
  </si>
  <si>
    <t>Figure 2: The Network Media Economy in Canada--What the CMCR Project Covers</t>
  </si>
  <si>
    <t>Low Concentration (100 ≤ 1,500)</t>
  </si>
  <si>
    <t>Moderate Concentration (1,500 ≤ 2,500)</t>
  </si>
  <si>
    <t>High Concentration (2,500 ≤ 10,000)</t>
  </si>
  <si>
    <t>• BCE acquires CTV and The Globe and Mail ($2.3B) (2000)</t>
  </si>
  <si>
    <t>• Quebecor acquires  Sun newspapers ($1B)(1999), Videotron ($4.9B)(2000) and TVA ($500M)(2001)(Total: $6.4B)</t>
  </si>
  <si>
    <t>• Canwest buys Global TV ($800M) (1998) and Hollinger newspapers ($3.2B) (2000)</t>
  </si>
  <si>
    <t>• Telus, created from the amalgamation of BC Tel, AGT, and Edmonton Tel, acquires Clearnet ($6.6B) (2000)</t>
  </si>
  <si>
    <t>• Rogers acquires Microcell ($1.4B) (2004)</t>
  </si>
  <si>
    <t>• BCE exists media business (2006)</t>
  </si>
  <si>
    <t>• Astral Media buys Standard Broadcasting ($1.1B) (2007)</t>
  </si>
  <si>
    <t>• Quebecor Acquires Osprey Media ($517M) (2007)</t>
  </si>
  <si>
    <t>• Telus acquires Public Mobile (2013)</t>
  </si>
  <si>
    <t>Telecom</t>
  </si>
  <si>
    <t>Media</t>
  </si>
  <si>
    <t>Top Telecom-Internet and Media Giants in US, 2016</t>
  </si>
  <si>
    <t>Market Share (%)</t>
  </si>
  <si>
    <t>Bell</t>
  </si>
  <si>
    <t>AT&amp;T</t>
  </si>
  <si>
    <t>Rogers</t>
  </si>
  <si>
    <t>Comcast</t>
  </si>
  <si>
    <t>Shaw</t>
  </si>
  <si>
    <t>Charter</t>
  </si>
  <si>
    <t>Quebecor</t>
  </si>
  <si>
    <t>Verizon</t>
  </si>
  <si>
    <t>Telus</t>
  </si>
  <si>
    <t>Google</t>
  </si>
  <si>
    <t>Facebook</t>
  </si>
  <si>
    <t>T-Mobile</t>
  </si>
  <si>
    <t>CBC</t>
  </si>
  <si>
    <t>Disney</t>
  </si>
  <si>
    <t>Cogeco</t>
  </si>
  <si>
    <t>Netflix</t>
  </si>
  <si>
    <t>Amazon</t>
  </si>
  <si>
    <t>SaskTel</t>
  </si>
  <si>
    <t>Eastlink</t>
  </si>
  <si>
    <t>Apple</t>
  </si>
  <si>
    <t>Postmedia</t>
  </si>
  <si>
    <t>Cox</t>
  </si>
  <si>
    <t>Microsoft</t>
  </si>
  <si>
    <t>Torstar</t>
  </si>
  <si>
    <t>Discovery</t>
  </si>
  <si>
    <t>CBS-Viacom</t>
  </si>
  <si>
    <t xml:space="preserve">Apple </t>
  </si>
  <si>
    <t>Gannett</t>
  </si>
  <si>
    <t>AMC Networks</t>
  </si>
  <si>
    <t>Twitter</t>
  </si>
  <si>
    <t>Sinclair</t>
  </si>
  <si>
    <t>New York Times</t>
  </si>
  <si>
    <t>Total $ CDN NME (Millions)</t>
  </si>
  <si>
    <t>Total $ US NME (Millions, CDN$)</t>
  </si>
  <si>
    <t>CR 1 US</t>
  </si>
  <si>
    <t>CR 4 US</t>
  </si>
  <si>
    <t>CR 10 US</t>
  </si>
  <si>
    <t>VI Cos US</t>
  </si>
  <si>
    <t>HHI US</t>
  </si>
  <si>
    <t>%</t>
  </si>
  <si>
    <t>Total Network Media Economy (millions)</t>
  </si>
  <si>
    <t>CR1</t>
  </si>
  <si>
    <t>CR4</t>
  </si>
  <si>
    <t>CR10</t>
  </si>
  <si>
    <t>VI Cos</t>
  </si>
  <si>
    <t>HHI</t>
  </si>
  <si>
    <t>Connectivity</t>
  </si>
  <si>
    <t>Content</t>
  </si>
  <si>
    <t>Shaw/Corus</t>
  </si>
  <si>
    <t>Wireline</t>
  </si>
  <si>
    <t>Wireless</t>
  </si>
  <si>
    <t>Internet Access (National)</t>
  </si>
  <si>
    <t>Cable, Sat &amp; IPTV (National)</t>
  </si>
  <si>
    <t>Internet Access (Local)</t>
  </si>
  <si>
    <t>Cable, Sat &amp; IPTV (Local)</t>
  </si>
  <si>
    <t xml:space="preserve">Bell </t>
  </si>
  <si>
    <t>Bell Aliant</t>
  </si>
  <si>
    <t xml:space="preserve">Telus </t>
  </si>
  <si>
    <t xml:space="preserve">Rogers </t>
  </si>
  <si>
    <t>Freedom Mobile</t>
  </si>
  <si>
    <t>Videotron</t>
  </si>
  <si>
    <t>EastLink</t>
  </si>
  <si>
    <t>Clearnet</t>
  </si>
  <si>
    <t>Public</t>
  </si>
  <si>
    <t>Mobilicity</t>
  </si>
  <si>
    <t>MTS Allstream</t>
  </si>
  <si>
    <t>Microcel/Fido</t>
  </si>
  <si>
    <t>Wind</t>
  </si>
  <si>
    <t>TbayTel</t>
  </si>
  <si>
    <t>Xplore Mobile</t>
  </si>
  <si>
    <t>CR3</t>
  </si>
  <si>
    <t>Province/territory</t>
  </si>
  <si>
    <t>Bell Group</t>
  </si>
  <si>
    <t>TELUS</t>
  </si>
  <si>
    <t>Others</t>
  </si>
  <si>
    <t>Total</t>
  </si>
  <si>
    <t>British Columbia</t>
  </si>
  <si>
    <t>Alberta</t>
  </si>
  <si>
    <t>Saskatchewan</t>
  </si>
  <si>
    <t>Manitoba</t>
  </si>
  <si>
    <t>Ontario</t>
  </si>
  <si>
    <t>Quebec</t>
  </si>
  <si>
    <t>New Brunswick</t>
  </si>
  <si>
    <t>Nova Scotia</t>
  </si>
  <si>
    <t>Prince Edward Island</t>
  </si>
  <si>
    <t>Newfoundland and Labrador</t>
  </si>
  <si>
    <t>The North</t>
  </si>
  <si>
    <t>Telco</t>
  </si>
  <si>
    <t>CableCo</t>
  </si>
  <si>
    <t>SubTotal</t>
  </si>
  <si>
    <t>Indy ISP</t>
  </si>
  <si>
    <t xml:space="preserve">Telcos (IPTV + DTH) </t>
  </si>
  <si>
    <t>Total Cable, DTH + IPTV HHI</t>
  </si>
  <si>
    <t>CPI -- All Items</t>
  </si>
  <si>
    <t>BDU + Subscription TV, Video &amp; Audio Services</t>
  </si>
  <si>
    <t>Mobile Wireless/Phone Service</t>
  </si>
  <si>
    <t>Telephone</t>
  </si>
  <si>
    <t>Internet Service Providers</t>
  </si>
  <si>
    <t>Home entertainment equipment</t>
  </si>
  <si>
    <t>Digital computing equipment &amp; devices</t>
  </si>
  <si>
    <t>Mobile Subs</t>
  </si>
  <si>
    <t>Internet Subs</t>
  </si>
  <si>
    <t>BDU Subs</t>
  </si>
  <si>
    <t>Total Lines</t>
  </si>
  <si>
    <t>Mobile Subs Share (%)</t>
  </si>
  <si>
    <t>Internet Subs Share (%)</t>
  </si>
  <si>
    <t>BDU Subs (%)</t>
  </si>
  <si>
    <t>POTS Subs (%)</t>
  </si>
  <si>
    <t>Total Lines Share (%)</t>
  </si>
  <si>
    <t>Big 5 Total</t>
  </si>
  <si>
    <t>Big 5 Share ot Total (%)</t>
  </si>
  <si>
    <t>Grand Total</t>
  </si>
  <si>
    <t>Mobile Revenue (Millions$)</t>
  </si>
  <si>
    <t>ISP Revenue (Millions$)</t>
  </si>
  <si>
    <t>BDU (Millions$)</t>
  </si>
  <si>
    <t>Total Revenue (Millions$)</t>
  </si>
  <si>
    <t>Mobile Revenue Share (%)</t>
  </si>
  <si>
    <t>Wireline Revenue Share (%)</t>
  </si>
  <si>
    <t>BDU (%)</t>
  </si>
  <si>
    <t>POTS  (%)</t>
  </si>
  <si>
    <t>Total Revenue Share (%)</t>
  </si>
  <si>
    <t>Internet Ad$</t>
  </si>
  <si>
    <t>Conv TV</t>
  </si>
  <si>
    <t xml:space="preserve">Pay TV  </t>
  </si>
  <si>
    <t>Radio</t>
  </si>
  <si>
    <t>Newspapers</t>
  </si>
  <si>
    <t>Magazines</t>
  </si>
  <si>
    <t>Out-of-Home</t>
  </si>
  <si>
    <t>Bing (Microsoft)</t>
  </si>
  <si>
    <t>Yahoo!</t>
  </si>
  <si>
    <t>Verizon Media</t>
  </si>
  <si>
    <t>DuckDuckGo</t>
  </si>
  <si>
    <t>Ask</t>
  </si>
  <si>
    <t>WebCrawler</t>
  </si>
  <si>
    <t>Baidu</t>
  </si>
  <si>
    <t>Yandex RU</t>
  </si>
  <si>
    <t>AOL</t>
  </si>
  <si>
    <t>Pinterest</t>
  </si>
  <si>
    <t>Snapchat</t>
  </si>
  <si>
    <t>TikTok</t>
  </si>
  <si>
    <t>Reddit</t>
  </si>
  <si>
    <t>LinkedIn</t>
  </si>
  <si>
    <t>Microsoft (Bing)</t>
  </si>
  <si>
    <t>Pelmorex (Weather Network)</t>
  </si>
  <si>
    <t>Yellow Pages</t>
  </si>
  <si>
    <t>Globe &amp; Mail</t>
  </si>
  <si>
    <t>La Presse Trust</t>
  </si>
  <si>
    <t>CN2I (formerly GCM)</t>
  </si>
  <si>
    <t>FP CDN Newspapers</t>
  </si>
  <si>
    <t>Glacier</t>
  </si>
  <si>
    <t>Transcontinental</t>
  </si>
  <si>
    <t>Other</t>
  </si>
  <si>
    <t>Total $ (Mills)</t>
  </si>
  <si>
    <t>Google + Facebook Share</t>
  </si>
  <si>
    <t>Market Share</t>
  </si>
  <si>
    <t>Pelmorex</t>
  </si>
  <si>
    <t>La Presse</t>
  </si>
  <si>
    <t>CN2i</t>
  </si>
  <si>
    <t>Pattison</t>
  </si>
  <si>
    <t>Groupe Capitales Médias</t>
  </si>
  <si>
    <t>Bell Crave</t>
  </si>
  <si>
    <t>Disney+</t>
  </si>
  <si>
    <t>DAZN</t>
  </si>
  <si>
    <t>Corus</t>
  </si>
  <si>
    <t>CBC Gem</t>
  </si>
  <si>
    <t>Sector Total $ (millions)</t>
  </si>
  <si>
    <t>Revenue</t>
  </si>
  <si>
    <t>Conv. TV</t>
  </si>
  <si>
    <t>Pay &amp; Spec. TV</t>
  </si>
  <si>
    <t>Online Video</t>
  </si>
  <si>
    <t>All TV</t>
  </si>
  <si>
    <t>Broadcast TV</t>
  </si>
  <si>
    <t xml:space="preserve">Online Video </t>
  </si>
  <si>
    <t>Total TV</t>
  </si>
  <si>
    <t>Parent Ownership Group</t>
  </si>
  <si>
    <t>Operating Division/Company</t>
  </si>
  <si>
    <t>Operating Brand/Title</t>
  </si>
  <si>
    <t>Canadian Broadcasting Corporation</t>
  </si>
  <si>
    <t>CBC/Radio-Canada</t>
  </si>
  <si>
    <t>CBC Digital</t>
  </si>
  <si>
    <t>Microsoft Corporation</t>
  </si>
  <si>
    <t>MSN News + MSN Money</t>
  </si>
  <si>
    <t>Buzzfeed, Inc.</t>
  </si>
  <si>
    <t>Yahoo!-Huffington Post</t>
  </si>
  <si>
    <t>BCE</t>
  </si>
  <si>
    <t>Bell Media</t>
  </si>
  <si>
    <t>Pelmorex Corp.</t>
  </si>
  <si>
    <t>Weather Network</t>
  </si>
  <si>
    <t>Postmedia Network Inc.</t>
  </si>
  <si>
    <t xml:space="preserve">Postmedia </t>
  </si>
  <si>
    <t>National Post + Southam Dailies</t>
  </si>
  <si>
    <t>Shaw Communications Inc.</t>
  </si>
  <si>
    <t>Global News</t>
  </si>
  <si>
    <t xml:space="preserve">IBM </t>
  </si>
  <si>
    <t>The Weather Company</t>
  </si>
  <si>
    <t>AT&amp;T Inc.</t>
  </si>
  <si>
    <t>WarnerMedia</t>
  </si>
  <si>
    <t>CNN</t>
  </si>
  <si>
    <t>NordStar Capital LP</t>
  </si>
  <si>
    <t>Toronto Star</t>
  </si>
  <si>
    <t>Comcast Corporation</t>
  </si>
  <si>
    <t>NBCUniversal</t>
  </si>
  <si>
    <t>NBC</t>
  </si>
  <si>
    <t>Future PLC</t>
  </si>
  <si>
    <t>Future Tech</t>
  </si>
  <si>
    <t>Woodbridge Company (Thomson Family)</t>
  </si>
  <si>
    <t>Globe and Mail</t>
  </si>
  <si>
    <t>British Broadcasting Corporation</t>
  </si>
  <si>
    <t>BBC</t>
  </si>
  <si>
    <t>The New York Times Company</t>
  </si>
  <si>
    <t>Narcity Media Inc.</t>
  </si>
  <si>
    <t>Narcity Media</t>
  </si>
  <si>
    <t>Narcity and MTL Blog</t>
  </si>
  <si>
    <t>Axel Springer</t>
  </si>
  <si>
    <t>Business Insider</t>
  </si>
  <si>
    <t>Apple Inc.</t>
  </si>
  <si>
    <t>Quebecor Media</t>
  </si>
  <si>
    <t>Canoe</t>
  </si>
  <si>
    <t>GateHouse Media</t>
  </si>
  <si>
    <t>USA Today</t>
  </si>
  <si>
    <t>Fox Corporation (Murdoch Family)</t>
  </si>
  <si>
    <t>Fox News</t>
  </si>
  <si>
    <t>News Corporation</t>
  </si>
  <si>
    <t>New York Post</t>
  </si>
  <si>
    <t>Continental Newspapers Canada Ltd./Glacier Media</t>
  </si>
  <si>
    <t>Glacier Media Group</t>
  </si>
  <si>
    <t>Penticton Herald, The Daily Courier, Kelowna, The Chronicle Journal, Thunder Bay, The Citizen, Prince George, Times Colonist (Victoria), Castanet.</t>
  </si>
  <si>
    <t>Scott Trust Limited</t>
  </si>
  <si>
    <t>Guardian Media Group</t>
  </si>
  <si>
    <t>The Guardian</t>
  </si>
  <si>
    <t>ViacomCBS</t>
  </si>
  <si>
    <t>CBS News/Interactive/CNET</t>
  </si>
  <si>
    <t>Daily Mail and General Trust</t>
  </si>
  <si>
    <t>Daily Mail</t>
  </si>
  <si>
    <t>Reach PLC</t>
  </si>
  <si>
    <t>Reach</t>
  </si>
  <si>
    <t>Mirror, Daily Express, UK reg'l papers</t>
  </si>
  <si>
    <t>ZoomerMedia Ltd</t>
  </si>
  <si>
    <t>Freshdaily, Inc</t>
  </si>
  <si>
    <t>Integrated Whale Media Investments (Forbes family)</t>
  </si>
  <si>
    <t>Forbes Digital</t>
  </si>
  <si>
    <t>Forbes</t>
  </si>
  <si>
    <t>Nash Holdings (Jeff Bezos)</t>
  </si>
  <si>
    <t>Washington Post</t>
  </si>
  <si>
    <t>City News</t>
  </si>
  <si>
    <t>Emerson Collective</t>
  </si>
  <si>
    <t>Atlantic Media</t>
  </si>
  <si>
    <t>The Atlantic.com</t>
  </si>
  <si>
    <t>Village Media Inc</t>
  </si>
  <si>
    <t>Le Devoir Inc.</t>
  </si>
  <si>
    <t>Le Devoir</t>
  </si>
  <si>
    <t>St. Joseph Media</t>
  </si>
  <si>
    <t>Macleans</t>
  </si>
  <si>
    <t>Mark Bernoff</t>
  </si>
  <si>
    <t>Time</t>
  </si>
  <si>
    <t>PCMag.com</t>
  </si>
  <si>
    <t>FP Canadian Newspapers Limited Partnership</t>
  </si>
  <si>
    <t>FP Canadian Newspapers</t>
  </si>
  <si>
    <t>Winnipeg Free Press + Brandon Sun</t>
  </si>
  <si>
    <t>Saltwire Network Inc.</t>
  </si>
  <si>
    <t>Saltwire Network</t>
  </si>
  <si>
    <t>Cape Breton Post, Chronicle-Herald, Halifax, The Evening News, New Glasgow, Truro Daily News, The Telegram, St. John’s, The Guardian, Charlottetown, The Journal Pioneer, PEI &amp; The Western Star, Corner Brook</t>
  </si>
  <si>
    <t>RebelNews.com</t>
  </si>
  <si>
    <t xml:space="preserve">Total </t>
  </si>
  <si>
    <t>Internet Adv</t>
  </si>
  <si>
    <t>Online Video Services</t>
  </si>
  <si>
    <t>Digital Games</t>
  </si>
  <si>
    <t>Online Music Services</t>
  </si>
  <si>
    <t>Internet Advertising</t>
  </si>
  <si>
    <t>Multichannel Video Distribution (Cable/DBS/IPTV)</t>
  </si>
  <si>
    <t>Pay and Specialty TV</t>
  </si>
  <si>
    <t>Music Services</t>
  </si>
  <si>
    <t>Broadcast Radio</t>
  </si>
  <si>
    <t>Bragg Communications Inc.</t>
  </si>
  <si>
    <t>Sector Revenue</t>
  </si>
  <si>
    <t>VI Cos Market Share</t>
  </si>
  <si>
    <t>Telus Corporation</t>
  </si>
  <si>
    <t>Rogers Communications Inc.</t>
  </si>
  <si>
    <t>British Columbia Telephone Company</t>
  </si>
  <si>
    <t>Alberta Government Telephones</t>
  </si>
  <si>
    <t>Maclean-Hunter</t>
  </si>
  <si>
    <t>Southam Inc.</t>
  </si>
  <si>
    <t>GAFAM+Netflix</t>
  </si>
  <si>
    <t>Thomson-Woodbridge</t>
  </si>
  <si>
    <t>Canwest Global Communications Corporation</t>
  </si>
  <si>
    <t>Le Groupe Vidéotron</t>
  </si>
  <si>
    <t>Hollinger Canadian Newspapers Ltd.</t>
  </si>
  <si>
    <t>Sprint</t>
  </si>
  <si>
    <t>Torstar Corporation</t>
  </si>
  <si>
    <t>Netflix Inc.</t>
  </si>
  <si>
    <t>CHUM Limited</t>
  </si>
  <si>
    <t>New Brunswick Telephone Company</t>
  </si>
  <si>
    <t>Transcontinental Inc.</t>
  </si>
  <si>
    <t>Astral Media</t>
  </si>
  <si>
    <t xml:space="preserve">Power Corp </t>
  </si>
  <si>
    <t>Western International Communications</t>
  </si>
  <si>
    <t>Baton</t>
  </si>
  <si>
    <t>Stonepeak Infrastructure Fund</t>
  </si>
  <si>
    <t>Ledcor Group of Companies</t>
  </si>
  <si>
    <t>Microcell Solutions</t>
  </si>
  <si>
    <t>NewTel Enterprises</t>
  </si>
  <si>
    <t>Barrett Corporation</t>
  </si>
  <si>
    <t>Orascom Telecom Holding</t>
  </si>
  <si>
    <t>TekSavvy</t>
  </si>
  <si>
    <t>Primus</t>
  </si>
  <si>
    <t>Telemedia</t>
  </si>
  <si>
    <t>Osprey Media LP</t>
  </si>
  <si>
    <t>Black Press Ltd.</t>
  </si>
  <si>
    <t>Alliance Atlantis Communications Inc.</t>
  </si>
  <si>
    <t>Selkirk</t>
  </si>
  <si>
    <t>St. Joseph Media (Tony Gagliano)</t>
  </si>
  <si>
    <t>Snap Inc.</t>
  </si>
  <si>
    <t>Thunder Bay</t>
  </si>
  <si>
    <t>Slaight Communications</t>
  </si>
  <si>
    <t>Jean Pouliot</t>
  </si>
  <si>
    <t>J. D. Irving Ltd.</t>
  </si>
  <si>
    <t>Time Warner Inc.</t>
  </si>
  <si>
    <t>Moffat Communications Limited</t>
  </si>
  <si>
    <t>Twitter, Inc.</t>
  </si>
  <si>
    <t>Halifax Chronicle Herald</t>
  </si>
  <si>
    <t>Labatts Brewery</t>
  </si>
  <si>
    <t>RemCorp.</t>
  </si>
  <si>
    <t>ByteDance, Ltd</t>
  </si>
  <si>
    <t>Public Mobile</t>
  </si>
  <si>
    <t>Access Comm Cooperative</t>
  </si>
  <si>
    <t>Unimedia</t>
  </si>
  <si>
    <t>American Media Inc.</t>
  </si>
  <si>
    <t>Regional Cablesystems</t>
  </si>
  <si>
    <t>National Independent Information Cooperative (CN2i)</t>
  </si>
  <si>
    <t>Meredith Corp</t>
  </si>
  <si>
    <t>Hearst Communications Inc.</t>
  </si>
  <si>
    <t>Yellow Pages Limited</t>
  </si>
  <si>
    <t>Bauer Media Group</t>
  </si>
  <si>
    <t>Horizon Inc.</t>
  </si>
  <si>
    <t>London Telecom</t>
  </si>
  <si>
    <t>CUC/Trillium</t>
  </si>
  <si>
    <t>Armadale (Sifton)</t>
  </si>
  <si>
    <t>DHX Media Inc..</t>
  </si>
  <si>
    <t>Ripplewood Holdings</t>
  </si>
  <si>
    <t>London Free Press</t>
  </si>
  <si>
    <t>Michael Raffoul</t>
  </si>
  <si>
    <t>EBOX</t>
  </si>
  <si>
    <t>DAVE Wireless</t>
  </si>
  <si>
    <t>Group Telecom</t>
  </si>
  <si>
    <t>Fundy</t>
  </si>
  <si>
    <t>Cablecaster</t>
  </si>
  <si>
    <t>Electrohome</t>
  </si>
  <si>
    <t>Readers Digest Association Inc.</t>
  </si>
  <si>
    <t>Time USA, LLC (Marc Benioff)</t>
  </si>
  <si>
    <t>Jim Pattison</t>
  </si>
  <si>
    <t>OCI Comm</t>
  </si>
  <si>
    <t>Aboriginal People's TV Network</t>
  </si>
  <si>
    <t>Rawlco Communications Ltd.</t>
  </si>
  <si>
    <t>Look Communications</t>
  </si>
  <si>
    <t>National Geographic Society</t>
  </si>
  <si>
    <t>WildBrain</t>
  </si>
  <si>
    <t>Skyline</t>
  </si>
  <si>
    <t>Blue Ant</t>
  </si>
  <si>
    <t>Advance Publications Inc.</t>
  </si>
  <si>
    <t xml:space="preserve">PsiNet </t>
  </si>
  <si>
    <t>Mid Canada Comm</t>
  </si>
  <si>
    <t>Sterling Newspapers Ltd. (Conrad Black)</t>
  </si>
  <si>
    <t>VMedia</t>
  </si>
  <si>
    <t>Bonnier Media Deutschland GmbH</t>
  </si>
  <si>
    <t>Northern Cable</t>
  </si>
  <si>
    <t>St. Catherines Group</t>
  </si>
  <si>
    <t>Vonage</t>
  </si>
  <si>
    <t>Radio-mutuel Inc.</t>
  </si>
  <si>
    <t>Blackburn</t>
  </si>
  <si>
    <t>Alliance Entertainment</t>
  </si>
  <si>
    <t>Island Telephone Company Limited</t>
  </si>
  <si>
    <t>Classic</t>
  </si>
  <si>
    <t>Pathonic</t>
  </si>
  <si>
    <t>ICIMedias Corp</t>
  </si>
  <si>
    <t>Cable Atlantic/Avalon Cable</t>
  </si>
  <si>
    <t>Mountain Cable</t>
  </si>
  <si>
    <t>Metropolitan Broadcasting Corp.</t>
  </si>
  <si>
    <t>Time Inc.</t>
  </si>
  <si>
    <t>House &amp; Home</t>
  </si>
  <si>
    <t>Cableworks/Western Co-ax</t>
  </si>
  <si>
    <t>Trusted Media Brands Inc.</t>
  </si>
  <si>
    <t>Allarcom Limited</t>
  </si>
  <si>
    <t>Maple Leaf Sports &amp; Entertainment</t>
  </si>
  <si>
    <t>Great West Newspapers</t>
  </si>
  <si>
    <t>Groupe Lexis Média Inc.</t>
  </si>
  <si>
    <t>Telesag</t>
  </si>
  <si>
    <t>Oxio</t>
  </si>
  <si>
    <t>Star News</t>
  </si>
  <si>
    <t>Wenner Media Inc.</t>
  </si>
  <si>
    <t>Monarch Cablesystems</t>
  </si>
  <si>
    <t>Sunwapta</t>
  </si>
  <si>
    <t>Vecima Networks</t>
  </si>
  <si>
    <t>Air Canada</t>
  </si>
  <si>
    <t>L'Acadie Nouvelle</t>
  </si>
  <si>
    <t>Now</t>
  </si>
  <si>
    <t>CableCos</t>
  </si>
  <si>
    <t>Royal Canadian Geographical Society</t>
  </si>
  <si>
    <t>Q on Q Media</t>
  </si>
  <si>
    <t>Dartmouth/Access Cable</t>
  </si>
  <si>
    <t>Bowes Publishing Inc.</t>
  </si>
  <si>
    <t>Huron Telecom</t>
  </si>
  <si>
    <t>theBUZZ/INspired Media Inc.</t>
  </si>
  <si>
    <t>Cable 2000</t>
  </si>
  <si>
    <t>YorktonTV</t>
  </si>
  <si>
    <t>LCBO</t>
  </si>
  <si>
    <t>Istar</t>
  </si>
  <si>
    <t>Saskatoon Telecable</t>
  </si>
  <si>
    <t>FiberLink</t>
  </si>
  <si>
    <t>Okanagan Skeena Group</t>
  </si>
  <si>
    <t>Alpha</t>
  </si>
  <si>
    <t>Clearnet Communications</t>
  </si>
  <si>
    <t>Cottage Life Media Inc.</t>
  </si>
  <si>
    <t>Grid (formerly Eye Weekly)</t>
  </si>
  <si>
    <t>Huron Broadcasting</t>
  </si>
  <si>
    <t>Cineplex Inc.</t>
  </si>
  <si>
    <t>Lagardère Group</t>
  </si>
  <si>
    <t>Hook-Up</t>
  </si>
  <si>
    <t>Pearson</t>
  </si>
  <si>
    <t xml:space="preserve">Internet Direct </t>
  </si>
  <si>
    <t>Cyberus</t>
  </si>
  <si>
    <t>Telecable</t>
  </si>
  <si>
    <t>Annex Publishing</t>
  </si>
  <si>
    <t>Xplornet Communications Inc</t>
  </si>
  <si>
    <t>Okanagan Skeena</t>
  </si>
  <si>
    <t>Cannect</t>
  </si>
  <si>
    <t>Kootenay Cable Co</t>
  </si>
  <si>
    <t>Technovision/Uniserve</t>
  </si>
  <si>
    <t>Rhythms</t>
  </si>
  <si>
    <t>KO Média</t>
  </si>
  <si>
    <t>ISP</t>
  </si>
  <si>
    <t>Pay TV Programming Services</t>
  </si>
  <si>
    <t xml:space="preserve">Market Share </t>
  </si>
  <si>
    <t>Spotify</t>
  </si>
  <si>
    <t>Saltwire</t>
  </si>
  <si>
    <t>Stingray</t>
  </si>
  <si>
    <t>Vista Radio</t>
  </si>
  <si>
    <t>Golden West Broadcasting</t>
  </si>
  <si>
    <t>Online Video (SVOD, TVOD &amp; AVOD)</t>
  </si>
  <si>
    <t>Paramount+</t>
  </si>
  <si>
    <t>Electronic Arts</t>
  </si>
  <si>
    <t>Activision Blizzard</t>
  </si>
  <si>
    <t>Sony</t>
  </si>
  <si>
    <t>Nintendo</t>
  </si>
  <si>
    <t>Ubisoft</t>
  </si>
  <si>
    <t>Bandai Namco</t>
  </si>
  <si>
    <t xml:space="preserve">Sega Sammy </t>
  </si>
  <si>
    <t xml:space="preserve">HHI </t>
  </si>
  <si>
    <t>Total Revenue (2022)(CDN$ millions)</t>
  </si>
  <si>
    <t>Figure 1: Concentration Rankings on the basis of HHI Scores, 2022</t>
  </si>
  <si>
    <t>Figure 3: Major Communications &amp; Media Ownership Changes in Canada, 1994-2022</t>
  </si>
  <si>
    <t>Figure 4: Mergers and Acquisitions in Telecoms &amp; Media, 1985-2022 (Millions CDN$)</t>
  </si>
  <si>
    <t>Figure 5: Vertical Integration and the Network Media Ecology in the United States vs Canada, 2022 (Market share based on revenue)</t>
  </si>
  <si>
    <t>Figure 6: Connectivity vs Content within Canada’s Vertically-Integrated Telecoms and Media Companies, 2022 (Ratio by Revenue)</t>
  </si>
  <si>
    <t>Sirius XM</t>
  </si>
  <si>
    <t>Live Nation</t>
  </si>
  <si>
    <t>Mobile Search 9364.3</t>
  </si>
  <si>
    <t>Mobile OS 5070.6</t>
  </si>
  <si>
    <t>Desktop Web Browser 4257.1</t>
  </si>
  <si>
    <t>Wireline 3068.3</t>
  </si>
  <si>
    <t>App Distribution</t>
  </si>
  <si>
    <t>Facebook/Meta</t>
  </si>
  <si>
    <t>eBay</t>
  </si>
  <si>
    <t>Fark</t>
  </si>
  <si>
    <t>Mail.Ru Group</t>
  </si>
  <si>
    <t>Zoomer Media</t>
  </si>
  <si>
    <t>Revenue (millions)</t>
  </si>
  <si>
    <t>Universal Music</t>
  </si>
  <si>
    <t>YouTube Music</t>
  </si>
  <si>
    <t>Apple Music</t>
  </si>
  <si>
    <t>Warner Music</t>
  </si>
  <si>
    <t>Sony Music, Columbia</t>
  </si>
  <si>
    <t>Amazon Prime Music</t>
  </si>
  <si>
    <t>Take-Two Interactive Software</t>
  </si>
  <si>
    <t>Roblox</t>
  </si>
  <si>
    <t>Warner Brothers Interactive (AT&amp;T)</t>
  </si>
  <si>
    <t>Blogto.com</t>
  </si>
  <si>
    <t>Broomfield Leader, Cambridge Today, Collingwood Today, Elliot Lake Today, EloraFergus Today, Guelph Today, Halton Hills Today, Innis Fil Today, Longmont Leader, Midland Today, Newmarket Today, Northern Ontario Business Orillia Matters, Soo Leader, Soo Today, Stratford Today, Sudbury Mining Solutions, Sudbury.com, Thorold Today, Timmins Today</t>
  </si>
  <si>
    <t xml:space="preserve"> </t>
  </si>
  <si>
    <t>Sirius</t>
  </si>
  <si>
    <t>Live Nation Entertainment</t>
  </si>
  <si>
    <t>Universal Music Group</t>
  </si>
  <si>
    <t>Tencent</t>
  </si>
  <si>
    <t>Epic Games</t>
  </si>
  <si>
    <t>Valve</t>
  </si>
  <si>
    <t>Access Industries</t>
  </si>
  <si>
    <t>Playtika Games</t>
  </si>
  <si>
    <t>Vista</t>
  </si>
  <si>
    <t xml:space="preserve"> Hildebrand Radio</t>
  </si>
  <si>
    <t>Radio Nord</t>
  </si>
  <si>
    <t>DAZN Group</t>
  </si>
  <si>
    <t>Evanov Communications</t>
  </si>
  <si>
    <t>Cogent Investments</t>
  </si>
  <si>
    <t>Small ILECS</t>
  </si>
  <si>
    <t>Vivendi</t>
  </si>
  <si>
    <t>Canadian Satellite Radio</t>
  </si>
  <si>
    <t>Magazines 188.6</t>
  </si>
  <si>
    <t>Broadcast TV 2607.8</t>
  </si>
  <si>
    <t>All TV 1250.83</t>
  </si>
  <si>
    <t>Postmedia Network</t>
  </si>
  <si>
    <t>Meta</t>
  </si>
  <si>
    <t>Maritime</t>
  </si>
  <si>
    <t>Fairchild</t>
  </si>
  <si>
    <t>NewCap</t>
  </si>
  <si>
    <t>MTS</t>
  </si>
  <si>
    <t xml:space="preserve">Zoomer Media </t>
  </si>
  <si>
    <t>Craig</t>
  </si>
  <si>
    <t>Wireline (Millions$)</t>
  </si>
  <si>
    <t>Sasktel</t>
  </si>
  <si>
    <t>TBTel</t>
  </si>
  <si>
    <t>Cablecos Cable + CableCo DTH</t>
  </si>
  <si>
    <t xml:space="preserve">Source and Notes: Statistics Canada. Table 18-10-0005-01 (formerly Table 326-0021) - Consumer Price Index (CPI), annual (2002=100 unless otherwise noted). </t>
  </si>
  <si>
    <t>Traditional &amp; online media ($ millions)</t>
  </si>
  <si>
    <t>Internet content aggregators &amp; distributors ($ millions)</t>
  </si>
  <si>
    <t>• Quebecor acquires VMedia (2022)</t>
  </si>
  <si>
    <t xml:space="preserve">• Telus acquires Start.ca and Altima (price undisclosed) (2022) </t>
  </si>
  <si>
    <t xml:space="preserve">• Cogeco acquires Oxios ($100 million) (2022) </t>
  </si>
  <si>
    <t>• Bell acquires Distributel ($335 million) and ebox ($139 million) (2022)</t>
  </si>
  <si>
    <t>Figure 3: Major Communications &amp; Media Ownership Changes in Canada, 1994-2023</t>
  </si>
  <si>
    <t>Paramount</t>
  </si>
  <si>
    <t>Dish Network</t>
  </si>
  <si>
    <t>Lumen</t>
  </si>
  <si>
    <t>Fox Corporation</t>
  </si>
  <si>
    <t>Altice USA</t>
  </si>
  <si>
    <t>Twitter/X</t>
  </si>
  <si>
    <t>International / US companies</t>
  </si>
  <si>
    <t>Revenue ($ millions)</t>
  </si>
  <si>
    <t xml:space="preserve">Google % of Traditional &amp; online media </t>
  </si>
  <si>
    <t xml:space="preserve">Facebook % of Traditional &amp; online media </t>
  </si>
  <si>
    <t xml:space="preserve">Amazon % of Traditional &amp; online media </t>
  </si>
  <si>
    <t xml:space="preserve">Netflix % of Traditional &amp; online media </t>
  </si>
  <si>
    <t xml:space="preserve">Apple % of Traditional &amp; online media </t>
  </si>
  <si>
    <t xml:space="preserve">Microsoft % of Traditional &amp; online media </t>
  </si>
  <si>
    <t xml:space="preserve">Spotify % of Traditional &amp; online media </t>
  </si>
  <si>
    <t xml:space="preserve">TikTok % of Traditional &amp; online media </t>
  </si>
  <si>
    <t xml:space="preserve">Snapchat % of Traditional &amp; online media </t>
  </si>
  <si>
    <t xml:space="preserve">Twitter % of Traditional &amp; online media </t>
  </si>
  <si>
    <t xml:space="preserve">Internet content aggregators &amp; distributors % of Traditional &amp; online media </t>
  </si>
  <si>
    <t>Leading International Internet Companies</t>
  </si>
  <si>
    <t>Cable/DTH/IPTV  (national) 1802.4</t>
  </si>
  <si>
    <t>Online news 415.1</t>
  </si>
  <si>
    <t>Pay &amp; specialty TV 2067.1</t>
  </si>
  <si>
    <t>Mobile wireless 2707.5</t>
  </si>
  <si>
    <t>Digital games 786.7</t>
  </si>
  <si>
    <t>Music services 888.5</t>
  </si>
  <si>
    <t>Newspapers 906.8</t>
  </si>
  <si>
    <t>Internet access (national) 1079.9</t>
  </si>
  <si>
    <t>Internet access (local) 3986.6</t>
  </si>
  <si>
    <t>Mobile Web Browser 3727.0</t>
  </si>
  <si>
    <t>Radio 1259.8</t>
  </si>
  <si>
    <t>Social Media Platforms 4104.7</t>
  </si>
  <si>
    <t>App Stores 5594.1</t>
  </si>
  <si>
    <t>Cable/DTH/IPTV  (Local) 5137.8</t>
  </si>
  <si>
    <t>General Search 8351.4</t>
  </si>
  <si>
    <t>Mobile wireless (provincial weighted avg) 2936.6</t>
  </si>
  <si>
    <t>Weighted Average</t>
  </si>
  <si>
    <t>HHI Weighted Average</t>
  </si>
  <si>
    <t xml:space="preserve">Source and methodological note: These data are based primarily on provincial subscriber market share data for the big three national mobile operators—Bell, TELUS and Rogers—released by the CRTC as part of its annual Communications Market Report. See CRTC (2023). Communications Market Report, Open Data--Mobile. Tab MB-F5 Figure 5: Provincial/territorial subscriber market share of Bell, TELUS, Rogers and other providers (%), 2013-2022. The CRTC, in turn, uses primary data provided by relevant carriers to produce subscriber market share figures. 
Beginning in 2020, it began to measure some aspects of the mobile wireless market using "MP" (i.e. Mobile Phones), which is intended to track mobile phone devices and thus excludes other types of mobile connections, such as tablets, smart devices, Internet-of-things connections, and other business-to-business or machine-to-machine connections. 
The estimates in this figure are meant to overcome two limits in the CRTC’s provincial mobile wireless data. 
First, the Commission figures only cover market share by subscriber, not revenue. To estimate provincial revenue figures for Bell, Telus and Rogers, we multiply their provincial subscriber numbers by each of their respective ARPU. The ARPU for all companies is total revenue / number of mobile subscribers. 
A second limitation to the CRTC’s Open Data—Mobile set is that it does not include revenue or subscriber figures for Freedom Mobile, Videotron or Eastlink, although Videotron’s subscriber numbers in Quebec can be inferred from the data provided, as can Sasktel’s in Saskatchewan. 
Steps taken to fill the provincial revenue and subscriber gaps for Shaw, Videotron and Eastlink. 
First, we start by identifying their respective operating territories: Shaw operated its Shaw Mobile in BC and Alberta and its Freedom Mobile brand in those two provinces and Ontario since 2016 and up until its acquisition by Rogers in 2023. Videotron’s main operating base up until 2022 was in Quebec, although it also had a few subscribers in Ottawa at the time. Eastlink operates mainly in the Atlantic Provinces but also operates in a few towns in Northern Ontario.
Second, provincial population rates are estimated using Statistics Canada's population estimates quarterly by province for Q4 2022 (or the relevant year). See 
Third, we then multiply provincial population rates by the CRTC’s estimates for mobile subscriber penetration rates by province. See CRTC (2023). Communications Market Report, Open Data--Mobile. Tab MB-S6 Mobile subscriber penetration rates, as a percent of total population, by province/territory (%), 2015-2022. 
Fourth, total revenue for each of the regional operators—Shaw’s Freedom and Shaw Mobile, Videotron, and Eastlink—is divided by their subscriber numbers to obtain an average revenue per user  (ARPU) (not the one they post in their annual reports). 
For Freedom, we estimate provincial market share using overall provincial population figures from Statistics Canada and data on Shaw's mobile subscribers from its annual reports. In 2022, 2,290,000 subscribers and revenue of $1,291,000 million. During the Rogers-Shaw merger hearing, it was revealed that Shaw Mobile had 450,000 subscribers during Q12022 in Alberta and BC and that 72% of Shaw Freedom’s subscribers are in Ontario. After assigning 72% of Freedom Mobile subscribers to Ontario, this left 641,000 subscribers (not inclusive of its Shaw Mobile customer base). These subscribers were assigned to BC and Alberta, respectively, based on their respective share of mobile wireless subscribers, ie. 53.4% and 46.6%. 
Freedom ARPU and incumbent ARPU are used to calculate revenue market shares, based on end of year subscribers for 2022. Freedom Subscribers (year-end) are divided by total population of BC, AB, and ON to get subscriber market share of Freedom.
For Videotron, we base subscriber and revenue figures on what it reports in its annual report: 1,710,400 subscribers and $1,102.5 million in revenue. The approach resulted in Videotron having a market share of 23.25% in Quebec, whereas the CRTC reports 22.89%. We took the difference between the two, i.e. 26,682 subscribers, and assigned them to Ontario—a reasonable estimate of Videotron’s subscriber base in Ottawa. This gave Videtron a market share of .21% in Ontario by subscribers and .16% by revenue. 
Eastlink ARPU and incumbent ARPU are used to calculate revenue market shares, based on end of year subscribers for 2022. 
Eastlink was estimated to have 8,960 subscribers in Ontario in 2022, which was the residual left over after summing up the number of Bell, Rogers, Telus, Shaw, Videotron and TBayTel’s subscribers. That amount was than subtracted from its total subscriber base of 258,000, leaving 249,040 for its operations in the Atlantic provinces. Those subscribers were then assigned to NB, NS, Newfoundland and Labrador, and PEI according to each province’s respective share of subscribers, as indicated in CRTC (2023). Communications Market Report, Open Data--Mobile. Tab MB-S6 Mobile subscriber penetration rates, as a percent of total population, by province/territory (%), 2015-2022. 
The total market share for each of the provinces using this approach exceeded 100% by between .25-.46%. That excess was trimmed from Eastlink’s total in each province. 
Fifth, we add the number of subscribers accounted for by each of the regional / provincial operators to the CRTC’s denominator to calculate an “adjusted” market share for Bell, Rogers and Telus in each of the provinces the operate in. Provincial revenue estimates for each of the three national mobile operators are estimated by multiplying their subscriber numbers in each province by their ARPU (which also has the unfortunate effect of washing out important regional differences in pricing).  
</t>
  </si>
  <si>
    <t>• Shaw acquires catalogue of televison and radio stations from WIC (1998) and Power Broadcasting (1999), then spins them off into Corus (1999). Shaw maintains ownership control of Corus</t>
  </si>
  <si>
    <t>• CTVglobemedia acquires CHUM ($1.4B) (2007)</t>
  </si>
  <si>
    <t>• Rogers acquires City TV ($375M) (2007)</t>
  </si>
  <si>
    <t>• Canwest acquires Alliance Atlantis ($2.4B) (2007)</t>
  </si>
  <si>
    <t>• Canwest declares bankruptcy, newspapers acquired by Postmedia ($1.1B) and TV assets acquired by Shaw ($2B) (2009-2010)</t>
  </si>
  <si>
    <t>• BCE re-acquires CTV ($3.2B) (2011)</t>
  </si>
  <si>
    <t>• BCE's second bid to acquire Astral Media approved after it agrees to divest several TV services ($3.4B) (2013)</t>
  </si>
  <si>
    <t>• NordStar Capital acquires Torstar ($52 million) (2020)</t>
  </si>
  <si>
    <t>• Rogers acquires Shaw Communications ($26 billion) but spins of Freedom Mobile to Videotron for $2.85 billion (2023)</t>
  </si>
  <si>
    <t>• Rogers acquires Comwave (2023)</t>
  </si>
  <si>
    <t>POTS Subs</t>
  </si>
  <si>
    <t>Figure 7: Market share by Subscriber Lines and Type of Service, 2022</t>
  </si>
  <si>
    <t>Figure 8: Market share by Type of Service and Revenue, 2022</t>
  </si>
  <si>
    <t>Figure 9: CR Scores for the Telecom &amp; Internet Access Sectors, 1984 – 2022 (Based on Revenue)</t>
  </si>
  <si>
    <t>Figure 10: HHI Scores for the Telecom &amp; Internet Access Sectors, 1984 – 2022  (Based on Revenue)</t>
  </si>
  <si>
    <t>Figure 11: Mobile Wireless Operators’ National Market Share, 1985-2022 (based on revenue)</t>
  </si>
  <si>
    <t>Figure 12: Province mobile wireless market shares, by subscriber, 2022</t>
  </si>
  <si>
    <t>Figure 13: Province mobile wireless market shares, by revenue, 2022</t>
  </si>
  <si>
    <t>Figure 15: Residential Internet Access Services HHI Scores based on Revenue, 2000-2022</t>
  </si>
  <si>
    <t>Figure 11 Mobile Wireless Operators’ National Market Share, 1985-2022 (based on revenue)</t>
  </si>
  <si>
    <t>Xplornet</t>
  </si>
  <si>
    <t>Start.ca</t>
  </si>
  <si>
    <t>Total Subs 2022</t>
  </si>
  <si>
    <t>Total Revneue 2022</t>
  </si>
  <si>
    <t>Before Merger Rogers</t>
  </si>
  <si>
    <t>After Merger Rogers</t>
  </si>
  <si>
    <t>Before Rogers-Shaw CR4</t>
  </si>
  <si>
    <t>After Rogers-Shaw CR4</t>
  </si>
  <si>
    <t>Before Rogers-Shaw HHI</t>
  </si>
  <si>
    <t>After Rogers-Shaw HHI</t>
  </si>
  <si>
    <t>Before</t>
  </si>
  <si>
    <t xml:space="preserve">After </t>
  </si>
  <si>
    <t>Figure 14: National retail internet access market: "Before" vs "after" Rogers-Shaw Deal (based on 2022 revenue)</t>
  </si>
  <si>
    <t>Figure 15: Residential Internet Access Services by Type of ISP: Market Share based on Revenue, 2000-2022</t>
  </si>
  <si>
    <t xml:space="preserve">Access </t>
  </si>
  <si>
    <t>Figure 16: Residential Internet Access Services by Type of ISP: Market Share, CR4 and HHI Scores based on Subscribers, 2000-2022</t>
  </si>
  <si>
    <t>Bell Combined</t>
  </si>
  <si>
    <t>Shaw total</t>
  </si>
  <si>
    <t>Figure 17: National BDU market: "Before" vs "after" Rogers-Shaw Deal (based on 2022 revenue)</t>
  </si>
  <si>
    <t>Figure 18: The Decline of Monopoly Cable TV: Cable Companies vs Telephone Companies Market Share Based on Revenue, 1996-2022</t>
  </si>
  <si>
    <t>Figure 19: Communication Services &amp; Devices vs the CPI, 2002-2022</t>
  </si>
  <si>
    <t>Figure 20: Internet Advertising Outstrips Advertising on Television and Other Media by a Widening Margin, 2004-2022</t>
  </si>
  <si>
    <t>Figure 16: Local residential Internet access services HHI scores based on revenue, 2000-2022</t>
  </si>
  <si>
    <t>Figure 15: Local residential internet access services bytype of ISP: Market share based on revenue, 2000-2022</t>
  </si>
  <si>
    <t>Figure 20: Internet Advertising Outstrips Advertising on Television and Other Media by a Widening Margin, 1984-2022</t>
  </si>
  <si>
    <t>Figure 21: Search Engines, Market Shares, and Concentration Levels, 2009 - 2022</t>
  </si>
  <si>
    <t>Figure 22: Social Media Sites, 2012 - 2022</t>
  </si>
  <si>
    <t>Figure 23 Internet Advertising: Revenue, Market Shares and Concentration Scores (based on $), 2014-2022</t>
  </si>
  <si>
    <t>Figure 24 Google’s Vertically-Integrated Ad-Tech Stack</t>
  </si>
  <si>
    <t>Figure 25: Total Advertising Revenue Across All Media, Market Shares and Concentration Scores, 2017-2022</t>
  </si>
  <si>
    <t>Figure 32: Music Platforms and Publishing, 2022 (Market Share based on $)</t>
  </si>
  <si>
    <t>Figure 38: HHI Scores for the Network Media Economy, 1984-2022</t>
  </si>
  <si>
    <t>Figure 40: Concentration Rankings on the basis of HHI Scores, 2022</t>
  </si>
  <si>
    <t>Figure 21: Search Engines, Market Shares, and Concentration Levels, 2009- 2022</t>
  </si>
  <si>
    <t>Figure 23: Internet Advertising: Revenue, Market Shares and Concentration Scores (based on $), 2014-2022</t>
  </si>
  <si>
    <t>Figure 24: Google’s Vertically-Integrated Ad-Tech Stack</t>
  </si>
  <si>
    <t>Figure 25: Total Advertising Revenue Across All Media, Market Shares and Concentration Scores, 2017, 2018, 2019 vs 2022</t>
  </si>
  <si>
    <t>shaw</t>
  </si>
  <si>
    <t>corus</t>
  </si>
  <si>
    <t>Apple TV</t>
  </si>
  <si>
    <t>Figure 35: Total Revenues of the Leading International Internet Companies in Canada, 2022 (millions$)</t>
  </si>
  <si>
    <t>Figure 36: Internet content aggregators &amp; distributors share of traditional and online media services revenue in Canada, 2012-2022</t>
  </si>
  <si>
    <t>Figure 37: Leading Companies in Traditional and Online Media Sectors in Canada, 2022</t>
  </si>
  <si>
    <t>Figure 38: CR  1, 4 and 10 Scores and Vertically Integrated Company Market Share for the Network Media Economy, 1984-2022</t>
  </si>
  <si>
    <t>Figure 39: HHI Scores for the Network Media Economy, 1984-2022</t>
  </si>
  <si>
    <t>Total Subs (millions)</t>
  </si>
  <si>
    <t>Figure 37: Leading Companies in Traditional and Online Media Sectors in Canada, 2022 (Millions$)</t>
  </si>
  <si>
    <t>Figure 41: Top 25 Communications-Internet and Media Companies in 
Canada, 2022</t>
  </si>
  <si>
    <t>Figure 26: Internet News Sources--Share of Average Monthly Users, 2022</t>
  </si>
  <si>
    <t>Figure 33: Gaming Publishers and Platforms, 2022 (Market Share based on $)</t>
  </si>
  <si>
    <t>Figure 32: HHI Scores for Television, 1984-2022</t>
  </si>
  <si>
    <t>Figure 31: CR Scores for Television, 1984-2022</t>
  </si>
  <si>
    <t>Figure 29: Online Video Distributors, 2011, 2017 vs 2022 (Market Share based on revenue)</t>
  </si>
  <si>
    <t>Figure 28: Online Video Distributors--Market Share based on subscribers, 2022</t>
  </si>
  <si>
    <t>Figure 27: Online Video Distributors, 2011, 2017 vs 2022 (Market Share based on $)</t>
  </si>
  <si>
    <t>Figure 27 Online Video Distributors, 2012, 2017 vs 2022 (Market Share based on revenue)</t>
  </si>
  <si>
    <t>Figure 26: Online News Sources--Share of Average Monthly Users, 2022</t>
  </si>
  <si>
    <t>Figure 29: Online Video Distributors, 2012, 2017 vs 2022 (Market Share based on revenue)</t>
  </si>
  <si>
    <t>Figure 30: The Television and Video Landscape Remade, 1984-2022</t>
  </si>
  <si>
    <t>Figure 34: Streaming Music+Publish</t>
  </si>
  <si>
    <t>Total advertising all media 1902.1</t>
  </si>
  <si>
    <r>
      <t>Figure 30: The Television and Video</t>
    </r>
    <r>
      <rPr>
        <b/>
        <sz val="12"/>
        <color rgb="FF008080"/>
        <rFont val="Calibri"/>
        <family val="2"/>
        <scheme val="minor"/>
      </rPr>
      <t xml:space="preserve"> </t>
    </r>
    <r>
      <rPr>
        <b/>
        <sz val="12"/>
        <color theme="1"/>
        <rFont val="Calibri"/>
        <family val="2"/>
        <scheme val="minor"/>
      </rPr>
      <t>Landscape Remade, 1984-2022</t>
    </r>
  </si>
  <si>
    <t xml:space="preserve">Sources: TVB/Think TV, Net Advertising Volume; Company Annual Reports; Iab.canada 2016 Actual + 2017 Estimated Internet Ad Revenue. http://iabcanada.com/annual-internet-advertising-revenue-reports/, p. 8; Iab.canada 2015 Actual + 2016 Estimated Internet Ad Revenue. http://iabcanada.com/annual-internet-advertising-revenue-reports/, p. 8; CRTC for Broadcast, pay and specialty television and radio. Estimates for individual companies is based on annual reports wherever possible. Where it is not reported, estimates are based on the following assumptions with respect to advertising and digital advertising as part of overall revenue: for radio and tv, revenue based on CRTC returns with 100% of revenue for broadcast TV for private companies attributable to advertising and split between adv$ and Parliamentary appropriation for CBC, while for pay and specialty TV services the split between adv$ and subsciber $ is split based on the ratio of both elements reported for the sector as a whole by CRTC, i.e. 31 and 30% to adv$ in 2017 and 2018, respectively, and as updated annually by the Commission. Lastly, an estimate for TV services digital ads equally 5% and 6% in 2017 and 2018, respectively, and as reported, revised and updated in ThinkTV annual Net Advertising Volume Report; for newspapers, where revenues are not published in an annual report, entities that are primarily daily newspapers are assumed to have a split between adv$ and subscription $ 46/54. For papers like Torstar, advertising revenue is typically clearly identified in its annual reports. For Postmedia, total advertising revenue reported here is based on advertising revenue reported in the company's annual report and half of the "Digital" revenue assigned to advertising the remainder to subscription revenue. For daily and community newspapers, where the break down is not clear, the split is reported here as 60/40, and for community weeklies such as Transcontinent or the successor entitites that took over its community papers between 2016 and 2018, the split in 2018 was 89.5%/11.5% (splits based on revenue splits for each segment as a whole as determined from NewsMediaCanada figures); for magazines, 13.3% of revenue came from advertising, while the rest was from paid subscriptions. </t>
  </si>
  <si>
    <r>
      <t xml:space="preserve">Source: </t>
    </r>
    <r>
      <rPr>
        <sz val="12"/>
        <color theme="1"/>
        <rFont val="Calibri"/>
        <family val="1"/>
        <scheme val="minor"/>
      </rPr>
      <t xml:space="preserve">StatCounter. Global Stats (Various Years). http://gs.statcounter.com/search-engine-market-share/all/canada/. Each year is based on December sample. </t>
    </r>
  </si>
  <si>
    <r>
      <rPr>
        <b/>
        <sz val="12"/>
        <color theme="1"/>
        <rFont val="Calibri"/>
        <family val="1"/>
        <scheme val="minor"/>
      </rPr>
      <t>Source</t>
    </r>
    <r>
      <rPr>
        <sz val="12"/>
        <color theme="1"/>
        <rFont val="Calibri"/>
        <family val="1"/>
        <scheme val="minor"/>
      </rPr>
      <t xml:space="preserve">: CRTC (2023) </t>
    </r>
    <r>
      <rPr>
        <i/>
        <sz val="12"/>
        <color theme="1"/>
        <rFont val="Calibri"/>
        <family val="1"/>
        <scheme val="minor"/>
      </rPr>
      <t xml:space="preserve">Communication Monitoring Report. </t>
    </r>
    <r>
      <rPr>
        <sz val="12"/>
        <color theme="1"/>
        <rFont val="Calibri"/>
        <family val="1"/>
        <scheme val="minor"/>
      </rPr>
      <t>Figure 2 and 13:</t>
    </r>
    <r>
      <rPr>
        <i/>
        <sz val="12"/>
        <color theme="1"/>
        <rFont val="Calibri"/>
        <family val="1"/>
        <scheme val="minor"/>
      </rPr>
      <t xml:space="preserve"> </t>
    </r>
    <r>
      <rPr>
        <sz val="12"/>
        <color theme="1"/>
        <rFont val="Calibri"/>
        <family val="1"/>
        <scheme val="minor"/>
      </rPr>
      <t xml:space="preserve">Residential Internet service revenue shares, by type of service provider (%), 2013-2022); previous interations of this table in CMR and predecessor reports. </t>
    </r>
  </si>
  <si>
    <r>
      <t xml:space="preserve">Source: CRTC (2023) </t>
    </r>
    <r>
      <rPr>
        <i/>
        <sz val="12"/>
        <color theme="1"/>
        <rFont val="Calibri"/>
        <family val="1"/>
        <scheme val="minor"/>
      </rPr>
      <t xml:space="preserve">Communication Monitoring Report </t>
    </r>
    <r>
      <rPr>
        <sz val="12"/>
        <color theme="1"/>
        <rFont val="Calibri"/>
        <family val="1"/>
        <scheme val="minor"/>
      </rPr>
      <t>(Figure 4: Residential Internet service subscriptions, by type of service provider (thousands), 2013-2022</t>
    </r>
  </si>
  <si>
    <t xml:space="preserve">Sources: Subscriber #s are y-o-y average. Canadian Telecommunications Association (CTA) (2023). Number of mobile wireless subscribers. https://canadatelecoms.ca/wp-content/uploads/2023/09/T-Wireless-eng-Carriers-Sub-Stats-Q2-2023.pdf; CTA (2023). Canadian high-speed internet subscriber numbers. https://canadatelecoms.ca/wp-content/uploads/2023/09/T-Wireline-eng-Carriers-Sub-Stats-Q2-2023.pdf + Company Annual Reports. For additional explanation, see the entries for both firms in the "Wireless" sheet. Also see CRTC Communications Market Report--Open Data, Retail Fixed Internet. Figure 4: Residential Internet service subscriptions, by type of service provider (thousands), 2013-2021; CRTC (2022). Communications Market Report--Open Data, BDU. Table 6: Subscribers (millions) of broadcasting distribution undertakings, by type, 2009-2021; CRTC (2022). Communications Market Report--Open Data (Telecommunications sector). Table 6 Overview of retail fixed wireline voice sector, 2017-2022). </t>
  </si>
  <si>
    <t xml:space="preserve">Sources: Canadian Telecommunications Association (CTA) (2023). Number of mobile wireless subscribers. https://canadatelecoms.ca/wp-content/uploads/2023/09/T-Wireless-eng-Carriers-Sub-Stats-Q2-2023.pdf; CTA (2023). Canadian high-speed internet subscriber numbers. https://canadatelecoms.ca/wp-content/uploads/2023/09/T-Wireline-eng-Carriers-Sub-Stats-Q2-2023.pdf + Company Annual Reports. For additional explanation, see the entries for both firms in the "Wireless" sheet. CRTC (2023). Communications Market Report--Open Data, Retail Fixed Internet. Tab N-S1 Retail Internet service revenues ($ millions), 2013-2022; CRTC (2023). Communications Market Report--Open Data, BDU. Table 6: Subscribers (millions) of broadcasting distribution undertakings, by type, 2009-2022. CRTC (2022). Communications Market Report--Open Data (Telecommunications sector). Table 6 Overview of retail fixed wireline voice sector, 2017-2022). Wireline revenue is the sum of telecom operators' wireline services minus internet access and BDU revenue. </t>
  </si>
  <si>
    <r>
      <t xml:space="preserve">• </t>
    </r>
    <r>
      <rPr>
        <sz val="12"/>
        <color rgb="FF000000"/>
        <rFont val="Calibri"/>
        <family val="1"/>
        <scheme val="minor"/>
      </rPr>
      <t>Rogers acquires Maclean-Hunter ($2.5B) (1994)</t>
    </r>
  </si>
  <si>
    <r>
      <t xml:space="preserve">• </t>
    </r>
    <r>
      <rPr>
        <sz val="12"/>
        <color rgb="FF000000"/>
        <rFont val="Calibri"/>
        <family val="1"/>
        <scheme val="minor"/>
      </rPr>
      <t>Rogers acquires Mobilicity</t>
    </r>
    <r>
      <rPr>
        <sz val="12"/>
        <color theme="1"/>
        <rFont val="Calibri"/>
        <family val="1"/>
        <scheme val="minor"/>
      </rPr>
      <t xml:space="preserve"> ($465M) (2015)</t>
    </r>
  </si>
  <si>
    <r>
      <t xml:space="preserve">• </t>
    </r>
    <r>
      <rPr>
        <sz val="12"/>
        <color rgb="FF000000"/>
        <rFont val="Calibri"/>
        <family val="1"/>
        <scheme val="minor"/>
      </rPr>
      <t>Postmedia acquires Quebecor English language Sun newspapers ($360M) (2015)</t>
    </r>
  </si>
  <si>
    <r>
      <t xml:space="preserve">• </t>
    </r>
    <r>
      <rPr>
        <sz val="12"/>
        <color rgb="FF000000"/>
        <rFont val="Calibri"/>
        <family val="1"/>
        <scheme val="minor"/>
      </rPr>
      <t>Shaw acquires Wind Mobile (rebrands as Freedom Mobile)</t>
    </r>
    <r>
      <rPr>
        <sz val="12"/>
        <color theme="1"/>
        <rFont val="Calibri"/>
        <family val="1"/>
        <scheme val="minor"/>
      </rPr>
      <t xml:space="preserve"> ($1.6B) (2016) and spins off Shaw televion assets to Corus to help finance the deal (Corus is under common ownership with Shaw given controlling ownership stake held by Shaw Family Trust)</t>
    </r>
  </si>
  <si>
    <r>
      <t xml:space="preserve">• </t>
    </r>
    <r>
      <rPr>
        <sz val="12"/>
        <color rgb="FF000000"/>
        <rFont val="Calibri"/>
        <family val="1"/>
        <scheme val="minor"/>
      </rPr>
      <t>Bell acquires MTS</t>
    </r>
    <r>
      <rPr>
        <sz val="12"/>
        <color theme="1"/>
        <rFont val="Calibri"/>
        <family val="1"/>
        <scheme val="minor"/>
      </rPr>
      <t xml:space="preserve"> ($3.1B) (2017)</t>
    </r>
  </si>
  <si>
    <r>
      <t xml:space="preserve">• </t>
    </r>
    <r>
      <rPr>
        <sz val="12"/>
        <color rgb="FF000000"/>
        <rFont val="Calibri"/>
        <family val="1"/>
        <scheme val="minor"/>
      </rPr>
      <t>Torstar and Postmedia swap ownership and subsequently close the majority of 41 community newspapers</t>
    </r>
    <r>
      <rPr>
        <sz val="12"/>
        <color theme="1"/>
        <rFont val="Calibri"/>
        <family val="1"/>
        <scheme val="minor"/>
      </rPr>
      <t xml:space="preserve"> (2017)</t>
    </r>
  </si>
  <si>
    <t>Online and traditional media services: Broadcast TV; Pay &amp; specialty TV;  Online video services (SVOD, TVOD, AVOD); Radio (ad-funded, public service and paid subscription); Internet advertising; Traditional music (physical, publishing, live concerts); Online music (paid subscription and ad-funded streaming services and downloads); Games (console, PC and mobile); App distribution; Newspapers; Magazines.</t>
  </si>
  <si>
    <t>Telecoms and internet infrastructure: wireline telecoms; mobile wireless service; internet service providers; BDU (Cable, Sat &amp; IPTV)</t>
  </si>
  <si>
    <t>Core internet applications and sectors: Online news sources; Search engines; Social media and video sharing platforms; Mobile and Desktop operating systems; and Mobile and Desktop browsers</t>
  </si>
  <si>
    <t>Online video services 2180.9</t>
  </si>
  <si>
    <t>Figure 41: Leading communications-internet and Media Companies in Canada, 2022</t>
  </si>
  <si>
    <t>Internet advertising 3403</t>
  </si>
  <si>
    <t>Network media economy 1137.4</t>
  </si>
  <si>
    <t>Google + Facebook</t>
  </si>
  <si>
    <t>Google + Facebook + Amazon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</si>
</sst>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22"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Verdana"/>
      <family val="2"/>
    </font>
    <font>
      <sz val="10"/>
      <color rgb="FF000000"/>
      <name val="Calibri"/>
      <family val="2"/>
    </font>
    <font>
      <sz val="10"/>
      <color rgb="FF000000"/>
      <name val="Tahoma"/>
      <family val="2"/>
    </font>
    <font>
      <b/>
      <sz val="10"/>
      <color rgb="FF000000"/>
      <name val="Tahoma"/>
      <family val="2"/>
    </font>
    <font>
      <sz val="18"/>
      <color rgb="FF000000"/>
      <name val="Calibri"/>
      <family val="2"/>
    </font>
    <font>
      <sz val="12"/>
      <color theme="1"/>
      <name val="Times New Roman"/>
      <family val="1"/>
    </font>
    <font>
      <sz val="12"/>
      <color indexed="8"/>
      <name val="Times New Roman"/>
      <family val="1"/>
    </font>
    <font>
      <u/>
      <sz val="12"/>
      <color theme="10"/>
      <name val="Times New Roman"/>
      <family val="1"/>
    </font>
    <font>
      <sz val="12"/>
      <color rgb="FF000000"/>
      <name val="Calibri"/>
      <family val="2"/>
    </font>
    <font>
      <sz val="10"/>
      <color rgb="FF000000"/>
      <name val="Verdana"/>
      <family val="2"/>
    </font>
    <font>
      <b/>
      <sz val="12"/>
      <color theme="1"/>
      <name val="Calibri"/>
      <family val="2"/>
      <scheme val="minor"/>
    </font>
    <font>
      <sz val="12"/>
      <color theme="1"/>
      <name val="Calibri"/>
      <family val="1"/>
      <scheme val="minor"/>
    </font>
    <font>
      <b/>
      <sz val="12"/>
      <color rgb="FF008080"/>
      <name val="Calibri"/>
      <family val="2"/>
      <scheme val="minor"/>
    </font>
    <font>
      <b/>
      <sz val="12"/>
      <color theme="1"/>
      <name val="Calibri"/>
      <family val="1"/>
      <scheme val="minor"/>
    </font>
    <font>
      <i/>
      <sz val="12"/>
      <color theme="1"/>
      <name val="Calibri"/>
      <family val="1"/>
      <scheme val="minor"/>
    </font>
    <font>
      <sz val="12"/>
      <color rgb="FF000000"/>
      <name val="Calibri"/>
      <family val="1"/>
      <scheme val="minor"/>
    </font>
    <font>
      <b/>
      <sz val="12"/>
      <color rgb="FF000000"/>
      <name val="Calibri"/>
      <family val="2"/>
      <scheme val="minor"/>
    </font>
    <font>
      <sz val="12"/>
      <color indexed="8"/>
      <name val="Calibri"/>
      <family val="2"/>
      <scheme val="minor"/>
    </font>
  </fonts>
  <fills count="6">
    <fill>
      <patternFill patternType="none"/>
    </fill>
    <fill>
      <patternFill patternType="gray125"/>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
    <border>
      <left/>
      <right/>
      <top/>
      <bottom/>
      <diagonal/>
    </border>
  </borders>
  <cellStyleXfs count="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 fillId="0" borderId="0"/>
  </cellStyleXfs>
  <cellXfs count="35">
    <xf numFmtId="0" fontId="0" fillId="0" borderId="0" xfId="0"/>
    <xf numFmtId="0" fontId="9" fillId="0" borderId="0" xfId="0" applyFont="1"/>
    <xf numFmtId="0" fontId="10" fillId="0" borderId="0" xfId="0" applyFont="1"/>
    <xf numFmtId="0" fontId="11" fillId="0" borderId="0" xfId="13" applyFont="1" applyFill="1"/>
    <xf numFmtId="0" fontId="0" fillId="0" borderId="0" xfId="0" applyAlignment="1">
      <alignment wrapText="1"/>
    </xf>
    <xf numFmtId="0" fontId="14" fillId="0" borderId="0" xfId="0" applyFont="1" applyAlignment="1">
      <alignment horizontal="left" vertical="center"/>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0" fillId="0" borderId="0" xfId="0" quotePrefix="1"/>
    <xf numFmtId="0" fontId="0" fillId="2" borderId="0" xfId="0" applyFill="1" applyAlignment="1">
      <alignment horizontal="left" vertical="center"/>
    </xf>
    <xf numFmtId="0" fontId="0" fillId="3" borderId="0" xfId="0" applyFill="1" applyAlignment="1">
      <alignment wrapText="1"/>
    </xf>
    <xf numFmtId="0" fontId="0" fillId="4" borderId="0" xfId="0" applyFill="1" applyAlignment="1">
      <alignment wrapText="1"/>
    </xf>
    <xf numFmtId="0" fontId="0" fillId="5" borderId="0" xfId="0" applyFill="1" applyAlignment="1">
      <alignment wrapText="1"/>
    </xf>
    <xf numFmtId="0" fontId="2" fillId="0" borderId="0" xfId="13" applyFill="1"/>
    <xf numFmtId="0" fontId="2" fillId="0" borderId="0" xfId="13" applyFill="1" applyAlignment="1">
      <alignment horizontal="left" vertical="top" wrapText="1"/>
    </xf>
    <xf numFmtId="0" fontId="20" fillId="0" borderId="0" xfId="0" applyFont="1" applyAlignment="1">
      <alignment horizontal="center"/>
    </xf>
    <xf numFmtId="0" fontId="9" fillId="0" borderId="0" xfId="0" applyFont="1" applyAlignment="1">
      <alignment horizontal="left" vertical="top"/>
    </xf>
    <xf numFmtId="0" fontId="2" fillId="0" borderId="0" xfId="13" applyFill="1" applyAlignment="1">
      <alignment vertical="top" wrapText="1"/>
    </xf>
    <xf numFmtId="0" fontId="0" fillId="0" borderId="0" xfId="0" applyAlignment="1">
      <alignment vertical="top" wrapText="1"/>
    </xf>
    <xf numFmtId="0" fontId="21" fillId="0" borderId="0" xfId="0" applyFont="1"/>
    <xf numFmtId="0" fontId="2" fillId="0" borderId="0" xfId="13" applyFill="1" applyAlignment="1">
      <alignment vertical="center" wrapText="1"/>
    </xf>
    <xf numFmtId="0" fontId="0" fillId="3" borderId="0" xfId="0" applyFill="1" applyAlignment="1">
      <alignment horizontal="left" vertical="top" wrapText="1"/>
    </xf>
    <xf numFmtId="0" fontId="0" fillId="4" borderId="0" xfId="0" applyFill="1" applyAlignment="1">
      <alignment horizontal="left" vertical="top" wrapText="1"/>
    </xf>
    <xf numFmtId="0" fontId="0" fillId="5"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14" fillId="0" borderId="0" xfId="0" applyFont="1" applyAlignment="1">
      <alignment horizontal="left" vertical="top"/>
    </xf>
    <xf numFmtId="0" fontId="14" fillId="0" borderId="0" xfId="0" applyFont="1" applyAlignment="1">
      <alignment wrapText="1"/>
    </xf>
    <xf numFmtId="0" fontId="14" fillId="0" borderId="0" xfId="0" applyFont="1" applyAlignment="1">
      <alignment horizontal="left" vertical="center" wrapText="1"/>
    </xf>
    <xf numFmtId="0" fontId="0" fillId="0" borderId="0" xfId="0" applyAlignment="1">
      <alignment horizontal="left" vertical="center"/>
    </xf>
    <xf numFmtId="0" fontId="14" fillId="0" borderId="0" xfId="0" applyFont="1" applyAlignment="1">
      <alignment horizontal="left" vertical="center"/>
    </xf>
    <xf numFmtId="0" fontId="0" fillId="0" borderId="0" xfId="0" applyAlignment="1">
      <alignment horizontal="left" vertical="center" wrapText="1"/>
    </xf>
    <xf numFmtId="0" fontId="14" fillId="0" borderId="0" xfId="0" applyFont="1"/>
  </cellXfs>
  <cellStyles count="19">
    <cellStyle name="Comma 2" xfId="12" xr:uid="{F7CE2769-6997-AB48-B01E-D8B5E615310A}"/>
    <cellStyle name="Comma 2 2" xfId="15" xr:uid="{CE0CCE5C-D5B6-4FCE-A452-DB1646C79842}"/>
    <cellStyle name="Comma 2 2 2" xfId="17" xr:uid="{D576C1E8-5336-4A5F-9897-BF81742A1A04}"/>
    <cellStyle name="Comma 3" xfId="14" xr:uid="{BF0DC7DD-49FF-4415-8585-E85B3E366CF8}"/>
    <cellStyle name="Comma 3 2" xfId="16" xr:uid="{B58C6455-7529-49A8-87F9-1981C8999D53}"/>
    <cellStyle name="Followed Hyperlink" xfId="10" builtinId="9" hidden="1"/>
    <cellStyle name="Followed Hyperlink" xfId="6" builtinId="9" hidden="1"/>
    <cellStyle name="Followed Hyperlink" xfId="2" builtinId="9" hidden="1"/>
    <cellStyle name="Followed Hyperlink" xfId="8" builtinId="9" hidden="1"/>
    <cellStyle name="Followed Hyperlink" xfId="4" builtinId="9" hidden="1"/>
    <cellStyle name="Hyperlink" xfId="1" builtinId="8" hidden="1"/>
    <cellStyle name="Hyperlink" xfId="9" builtinId="8" hidden="1"/>
    <cellStyle name="Hyperlink" xfId="3" builtinId="8" hidden="1"/>
    <cellStyle name="Hyperlink" xfId="7" builtinId="8" hidden="1"/>
    <cellStyle name="Hyperlink" xfId="5" builtinId="8" hidden="1"/>
    <cellStyle name="Hyperlink" xfId="13" builtinId="8"/>
    <cellStyle name="Normal" xfId="0" builtinId="0"/>
    <cellStyle name="Normal 2" xfId="18" xr:uid="{6C33D3FE-5F1F-3A46-8972-2FE5C7AE1A24}"/>
    <cellStyle name="Normal 3" xfId="11" xr:uid="{9D10CD49-7D8D-EB4B-9965-47508301B816}"/>
  </cellStyles>
  <dxfs count="3">
    <dxf>
      <numFmt numFmtId="165" formatCode=";;;"/>
    </dxf>
    <dxf>
      <numFmt numFmtId="165" formatCode=";;;"/>
    </dxf>
    <dxf>
      <numFmt numFmtId="165" formatCode=";;;"/>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092400077937718E-2"/>
          <c:y val="1.7084062391925267E-2"/>
          <c:w val="0.96923031656805891"/>
          <c:h val="0.86183078046649642"/>
        </c:manualLayout>
      </c:layout>
      <c:barChart>
        <c:barDir val="col"/>
        <c:grouping val="percentStacked"/>
        <c:varyColors val="0"/>
        <c:ser>
          <c:idx val="0"/>
          <c:order val="0"/>
          <c:tx>
            <c:strRef>
              <c:f>'Fig 29 OVD MrktShare w YT'!$A$4</c:f>
              <c:strCache>
                <c:ptCount val="1"/>
                <c:pt idx="0">
                  <c:v>Netflix</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 29 OVD MrktShare w YT'!$B$3:$L$3</c15:sqref>
                  </c15:fullRef>
                </c:ext>
              </c:extLst>
              <c:f>('Fig 29 OVD MrktShare w YT'!$C$3,'Fig 29 OVD MrktShare w YT'!$F$3,'Fig 29 OVD MrktShare w YT'!$L$3)</c:f>
              <c:numCache>
                <c:formatCode>General</c:formatCode>
                <c:ptCount val="3"/>
                <c:pt idx="0">
                  <c:v>2012</c:v>
                </c:pt>
                <c:pt idx="1">
                  <c:v>2015</c:v>
                </c:pt>
                <c:pt idx="2">
                  <c:v>2021</c:v>
                </c:pt>
              </c:numCache>
            </c:numRef>
          </c:cat>
          <c:val>
            <c:numRef>
              <c:extLst>
                <c:ext xmlns:c15="http://schemas.microsoft.com/office/drawing/2012/chart" uri="{02D57815-91ED-43cb-92C2-25804820EDAC}">
                  <c15:fullRef>
                    <c15:sqref>'Fig 29 OVD MrktShare w YT'!$B$4:$L$4</c15:sqref>
                  </c15:fullRef>
                </c:ext>
              </c:extLst>
              <c:f>('Fig 29 OVD MrktShare w YT'!$C$4,'Fig 29 OVD MrktShare w YT'!$F$4,'Fig 29 OVD MrktShare w YT'!$L$4)</c:f>
              <c:numCache>
                <c:formatCode>General</c:formatCode>
                <c:ptCount val="3"/>
                <c:pt idx="0">
                  <c:v>46.368038740920099</c:v>
                </c:pt>
                <c:pt idx="1">
                  <c:v>51.737769080234827</c:v>
                </c:pt>
                <c:pt idx="2">
                  <c:v>34.130412555595321</c:v>
                </c:pt>
              </c:numCache>
            </c:numRef>
          </c:val>
          <c:extLst>
            <c:ext xmlns:c16="http://schemas.microsoft.com/office/drawing/2014/chart" uri="{C3380CC4-5D6E-409C-BE32-E72D297353CC}">
              <c16:uniqueId val="{00000000-AC15-49AD-95FE-07623A7292D5}"/>
            </c:ext>
          </c:extLst>
        </c:ser>
        <c:ser>
          <c:idx val="1"/>
          <c:order val="1"/>
          <c:tx>
            <c:strRef>
              <c:f>'Fig 29 OVD MrktShare w YT'!$A$5</c:f>
              <c:strCache>
                <c:ptCount val="1"/>
                <c:pt idx="0">
                  <c:v>Google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 29 OVD MrktShare w YT'!$B$3:$L$3</c15:sqref>
                  </c15:fullRef>
                </c:ext>
              </c:extLst>
              <c:f>('Fig 29 OVD MrktShare w YT'!$C$3,'Fig 29 OVD MrktShare w YT'!$F$3,'Fig 29 OVD MrktShare w YT'!$L$3)</c:f>
              <c:numCache>
                <c:formatCode>General</c:formatCode>
                <c:ptCount val="3"/>
                <c:pt idx="0">
                  <c:v>2012</c:v>
                </c:pt>
                <c:pt idx="1">
                  <c:v>2015</c:v>
                </c:pt>
                <c:pt idx="2">
                  <c:v>2021</c:v>
                </c:pt>
              </c:numCache>
            </c:numRef>
          </c:cat>
          <c:val>
            <c:numRef>
              <c:extLst>
                <c:ext xmlns:c15="http://schemas.microsoft.com/office/drawing/2012/chart" uri="{02D57815-91ED-43cb-92C2-25804820EDAC}">
                  <c15:fullRef>
                    <c15:sqref>'Fig 29 OVD MrktShare w YT'!$B$5:$L$5</c15:sqref>
                  </c15:fullRef>
                </c:ext>
              </c:extLst>
              <c:f>('Fig 29 OVD MrktShare w YT'!$C$5,'Fig 29 OVD MrktShare w YT'!$F$5,'Fig 29 OVD MrktShare w YT'!$L$5)</c:f>
              <c:numCache>
                <c:formatCode>General</c:formatCode>
                <c:ptCount val="3"/>
                <c:pt idx="0">
                  <c:v>36.731234866828082</c:v>
                </c:pt>
                <c:pt idx="1">
                  <c:v>20.511415525114156</c:v>
                </c:pt>
                <c:pt idx="2">
                  <c:v>24.105107100863965</c:v>
                </c:pt>
              </c:numCache>
            </c:numRef>
          </c:val>
          <c:extLst>
            <c:ext xmlns:c16="http://schemas.microsoft.com/office/drawing/2014/chart" uri="{C3380CC4-5D6E-409C-BE32-E72D297353CC}">
              <c16:uniqueId val="{00000001-AC15-49AD-95FE-07623A7292D5}"/>
            </c:ext>
          </c:extLst>
        </c:ser>
        <c:ser>
          <c:idx val="2"/>
          <c:order val="2"/>
          <c:tx>
            <c:strRef>
              <c:f>'Fig 29 OVD MrktShare w YT'!$A$6</c:f>
              <c:strCache>
                <c:ptCount val="1"/>
                <c:pt idx="0">
                  <c:v>Bell Crave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 29 OVD MrktShare w YT'!$B$3:$L$3</c15:sqref>
                  </c15:fullRef>
                </c:ext>
              </c:extLst>
              <c:f>('Fig 29 OVD MrktShare w YT'!$C$3,'Fig 29 OVD MrktShare w YT'!$F$3,'Fig 29 OVD MrktShare w YT'!$L$3)</c:f>
              <c:numCache>
                <c:formatCode>General</c:formatCode>
                <c:ptCount val="3"/>
                <c:pt idx="0">
                  <c:v>2012</c:v>
                </c:pt>
                <c:pt idx="1">
                  <c:v>2015</c:v>
                </c:pt>
                <c:pt idx="2">
                  <c:v>2021</c:v>
                </c:pt>
              </c:numCache>
            </c:numRef>
          </c:cat>
          <c:val>
            <c:numRef>
              <c:extLst>
                <c:ext xmlns:c15="http://schemas.microsoft.com/office/drawing/2012/chart" uri="{02D57815-91ED-43cb-92C2-25804820EDAC}">
                  <c15:fullRef>
                    <c15:sqref>'Fig 29 OVD MrktShare w YT'!$B$6:$L$6</c15:sqref>
                  </c15:fullRef>
                </c:ext>
              </c:extLst>
              <c:f>('Fig 29 OVD MrktShare w YT'!$C$6,'Fig 29 OVD MrktShare w YT'!$F$6,'Fig 29 OVD MrktShare w YT'!$L$6)</c:f>
              <c:numCache>
                <c:formatCode>General</c:formatCode>
                <c:ptCount val="3"/>
                <c:pt idx="2">
                  <c:v>13.112826542610295</c:v>
                </c:pt>
              </c:numCache>
            </c:numRef>
          </c:val>
          <c:extLst>
            <c:ext xmlns:c16="http://schemas.microsoft.com/office/drawing/2014/chart" uri="{C3380CC4-5D6E-409C-BE32-E72D297353CC}">
              <c16:uniqueId val="{00000002-AC15-49AD-95FE-07623A7292D5}"/>
            </c:ext>
          </c:extLst>
        </c:ser>
        <c:ser>
          <c:idx val="3"/>
          <c:order val="3"/>
          <c:tx>
            <c:strRef>
              <c:f>'Fig 29 OVD MrktShare w YT'!$A$7</c:f>
              <c:strCache>
                <c:ptCount val="1"/>
                <c:pt idx="0">
                  <c:v>Disney+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 29 OVD MrktShare w YT'!$B$3:$L$3</c15:sqref>
                  </c15:fullRef>
                </c:ext>
              </c:extLst>
              <c:f>('Fig 29 OVD MrktShare w YT'!$C$3,'Fig 29 OVD MrktShare w YT'!$F$3,'Fig 29 OVD MrktShare w YT'!$L$3)</c:f>
              <c:numCache>
                <c:formatCode>General</c:formatCode>
                <c:ptCount val="3"/>
                <c:pt idx="0">
                  <c:v>2012</c:v>
                </c:pt>
                <c:pt idx="1">
                  <c:v>2015</c:v>
                </c:pt>
                <c:pt idx="2">
                  <c:v>2021</c:v>
                </c:pt>
              </c:numCache>
            </c:numRef>
          </c:cat>
          <c:val>
            <c:numRef>
              <c:extLst>
                <c:ext xmlns:c15="http://schemas.microsoft.com/office/drawing/2012/chart" uri="{02D57815-91ED-43cb-92C2-25804820EDAC}">
                  <c15:fullRef>
                    <c15:sqref>'Fig 29 OVD MrktShare w YT'!$B$7:$L$7</c15:sqref>
                  </c15:fullRef>
                </c:ext>
              </c:extLst>
              <c:f>('Fig 29 OVD MrktShare w YT'!$C$7,'Fig 29 OVD MrktShare w YT'!$F$7,'Fig 29 OVD MrktShare w YT'!$L$7)</c:f>
              <c:numCache>
                <c:formatCode>General</c:formatCode>
                <c:ptCount val="3"/>
                <c:pt idx="1">
                  <c:v>0</c:v>
                </c:pt>
                <c:pt idx="2">
                  <c:v>9.6135166913756986</c:v>
                </c:pt>
              </c:numCache>
            </c:numRef>
          </c:val>
          <c:extLst>
            <c:ext xmlns:c16="http://schemas.microsoft.com/office/drawing/2014/chart" uri="{C3380CC4-5D6E-409C-BE32-E72D297353CC}">
              <c16:uniqueId val="{00000003-AC15-49AD-95FE-07623A7292D5}"/>
            </c:ext>
          </c:extLst>
        </c:ser>
        <c:ser>
          <c:idx val="4"/>
          <c:order val="4"/>
          <c:tx>
            <c:strRef>
              <c:f>'Fig 29 OVD MrktShare w YT'!$A$11</c:f>
              <c:strCache>
                <c:ptCount val="1"/>
                <c:pt idx="0">
                  <c:v>Shaw</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 29 OVD MrktShare w YT'!$B$3:$L$3</c15:sqref>
                  </c15:fullRef>
                </c:ext>
              </c:extLst>
              <c:f>('Fig 29 OVD MrktShare w YT'!$C$3,'Fig 29 OVD MrktShare w YT'!$F$3,'Fig 29 OVD MrktShare w YT'!$L$3)</c:f>
              <c:numCache>
                <c:formatCode>General</c:formatCode>
                <c:ptCount val="3"/>
                <c:pt idx="0">
                  <c:v>2012</c:v>
                </c:pt>
                <c:pt idx="1">
                  <c:v>2015</c:v>
                </c:pt>
                <c:pt idx="2">
                  <c:v>2021</c:v>
                </c:pt>
              </c:numCache>
            </c:numRef>
          </c:cat>
          <c:val>
            <c:numRef>
              <c:extLst>
                <c:ext xmlns:c15="http://schemas.microsoft.com/office/drawing/2012/chart" uri="{02D57815-91ED-43cb-92C2-25804820EDAC}">
                  <c15:fullRef>
                    <c15:sqref>'Fig 29 OVD MrktShare w YT'!$B$11:$L$11</c15:sqref>
                  </c15:fullRef>
                </c:ext>
              </c:extLst>
              <c:f>('Fig 29 OVD MrktShare w YT'!$C$11,'Fig 29 OVD MrktShare w YT'!$F$11,'Fig 29 OVD MrktShare w YT'!$L$11)</c:f>
              <c:numCache>
                <c:formatCode>General</c:formatCode>
                <c:ptCount val="3"/>
                <c:pt idx="0">
                  <c:v>0</c:v>
                </c:pt>
                <c:pt idx="1">
                  <c:v>2.3483365949119372</c:v>
                </c:pt>
                <c:pt idx="2">
                  <c:v>1.6440877255764021</c:v>
                </c:pt>
              </c:numCache>
            </c:numRef>
          </c:val>
          <c:extLst>
            <c:ext xmlns:c16="http://schemas.microsoft.com/office/drawing/2014/chart" uri="{C3380CC4-5D6E-409C-BE32-E72D297353CC}">
              <c16:uniqueId val="{00000004-AC15-49AD-95FE-07623A7292D5}"/>
            </c:ext>
          </c:extLst>
        </c:ser>
        <c:ser>
          <c:idx val="5"/>
          <c:order val="5"/>
          <c:tx>
            <c:strRef>
              <c:f>'Fig 29 OVD MrktShare w YT'!$A$9</c:f>
              <c:strCache>
                <c:ptCount val="1"/>
                <c:pt idx="0">
                  <c:v>Apple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 29 OVD MrktShare w YT'!$B$3:$L$3</c15:sqref>
                  </c15:fullRef>
                </c:ext>
              </c:extLst>
              <c:f>('Fig 29 OVD MrktShare w YT'!$C$3,'Fig 29 OVD MrktShare w YT'!$F$3,'Fig 29 OVD MrktShare w YT'!$L$3)</c:f>
              <c:numCache>
                <c:formatCode>General</c:formatCode>
                <c:ptCount val="3"/>
                <c:pt idx="0">
                  <c:v>2012</c:v>
                </c:pt>
                <c:pt idx="1">
                  <c:v>2015</c:v>
                </c:pt>
                <c:pt idx="2">
                  <c:v>2021</c:v>
                </c:pt>
              </c:numCache>
            </c:numRef>
          </c:cat>
          <c:val>
            <c:numRef>
              <c:extLst>
                <c:ext xmlns:c15="http://schemas.microsoft.com/office/drawing/2012/chart" uri="{02D57815-91ED-43cb-92C2-25804820EDAC}">
                  <c15:fullRef>
                    <c15:sqref>'Fig 29 OVD MrktShare w YT'!$B$9:$L$9</c15:sqref>
                  </c15:fullRef>
                </c:ext>
              </c:extLst>
              <c:f>('Fig 29 OVD MrktShare w YT'!$C$9,'Fig 29 OVD MrktShare w YT'!$F$9,'Fig 29 OVD MrktShare w YT'!$L$9)</c:f>
              <c:numCache>
                <c:formatCode>General</c:formatCode>
                <c:ptCount val="3"/>
                <c:pt idx="0">
                  <c:v>16.914562435143544</c:v>
                </c:pt>
                <c:pt idx="1">
                  <c:v>13.710371819960862</c:v>
                </c:pt>
                <c:pt idx="2">
                  <c:v>4.7124380144164419</c:v>
                </c:pt>
              </c:numCache>
            </c:numRef>
          </c:val>
          <c:extLst>
            <c:ext xmlns:c16="http://schemas.microsoft.com/office/drawing/2014/chart" uri="{C3380CC4-5D6E-409C-BE32-E72D297353CC}">
              <c16:uniqueId val="{00000005-AC15-49AD-95FE-07623A7292D5}"/>
            </c:ext>
          </c:extLst>
        </c:ser>
        <c:ser>
          <c:idx val="6"/>
          <c:order val="6"/>
          <c:tx>
            <c:strRef>
              <c:f>'Fig 29 OVD MrktShare w YT'!$A$12</c:f>
              <c:strCache>
                <c:ptCount val="1"/>
                <c:pt idx="0">
                  <c:v>Quebecor</c:v>
                </c:pt>
              </c:strCache>
            </c:strRef>
          </c:tx>
          <c:spPr>
            <a:solidFill>
              <a:schemeClr val="accent1">
                <a:lumMod val="60000"/>
              </a:schemeClr>
            </a:solidFill>
            <a:ln>
              <a:noFill/>
            </a:ln>
            <a:effectLst/>
          </c:spPr>
          <c:invertIfNegative val="0"/>
          <c:dLbls>
            <c:dLbl>
              <c:idx val="2"/>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AC15-49AD-95FE-07623A7292D5}"/>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extLst>
                <c:ext xmlns:c15="http://schemas.microsoft.com/office/drawing/2012/chart" uri="{02D57815-91ED-43cb-92C2-25804820EDAC}">
                  <c15:fullRef>
                    <c15:sqref>'Fig 29 OVD MrktShare w YT'!$B$3:$L$3</c15:sqref>
                  </c15:fullRef>
                </c:ext>
              </c:extLst>
              <c:f>('Fig 29 OVD MrktShare w YT'!$C$3,'Fig 29 OVD MrktShare w YT'!$F$3,'Fig 29 OVD MrktShare w YT'!$L$3)</c:f>
              <c:numCache>
                <c:formatCode>General</c:formatCode>
                <c:ptCount val="3"/>
                <c:pt idx="0">
                  <c:v>2012</c:v>
                </c:pt>
                <c:pt idx="1">
                  <c:v>2015</c:v>
                </c:pt>
                <c:pt idx="2">
                  <c:v>2021</c:v>
                </c:pt>
              </c:numCache>
            </c:numRef>
          </c:cat>
          <c:val>
            <c:numRef>
              <c:extLst>
                <c:ext xmlns:c15="http://schemas.microsoft.com/office/drawing/2012/chart" uri="{02D57815-91ED-43cb-92C2-25804820EDAC}">
                  <c15:fullRef>
                    <c15:sqref>'Fig 29 OVD MrktShare w YT'!$B$12:$L$12</c15:sqref>
                  </c15:fullRef>
                </c:ext>
              </c:extLst>
              <c:f>('Fig 29 OVD MrktShare w YT'!$C$12,'Fig 29 OVD MrktShare w YT'!$F$12,'Fig 29 OVD MrktShare w YT'!$L$12)</c:f>
              <c:numCache>
                <c:formatCode>General</c:formatCode>
                <c:ptCount val="3"/>
                <c:pt idx="0">
                  <c:v>0</c:v>
                </c:pt>
                <c:pt idx="1">
                  <c:v>3.0789302022178737</c:v>
                </c:pt>
                <c:pt idx="2">
                  <c:v>1.4909769439190226</c:v>
                </c:pt>
              </c:numCache>
            </c:numRef>
          </c:val>
          <c:extLst>
            <c:ext xmlns:c16="http://schemas.microsoft.com/office/drawing/2014/chart" uri="{C3380CC4-5D6E-409C-BE32-E72D297353CC}">
              <c16:uniqueId val="{00000006-AC15-49AD-95FE-07623A7292D5}"/>
            </c:ext>
          </c:extLst>
        </c:ser>
        <c:ser>
          <c:idx val="7"/>
          <c:order val="7"/>
          <c:tx>
            <c:strRef>
              <c:f>'Fig 29 OVD MrktShare w YT'!$A$10</c:f>
              <c:strCache>
                <c:ptCount val="1"/>
                <c:pt idx="0">
                  <c:v>CBS-Viacom</c:v>
                </c:pt>
              </c:strCache>
            </c:strRef>
          </c:tx>
          <c:spPr>
            <a:solidFill>
              <a:schemeClr val="accent2">
                <a:lumMod val="60000"/>
              </a:schemeClr>
            </a:solidFill>
            <a:ln>
              <a:noFill/>
            </a:ln>
            <a:effectLst/>
          </c:spPr>
          <c:invertIfNegative val="0"/>
          <c:dLbls>
            <c:dLbl>
              <c:idx val="2"/>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AC15-49AD-95FE-07623A7292D5}"/>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extLst>
                <c:ext xmlns:c15="http://schemas.microsoft.com/office/drawing/2012/chart" uri="{02D57815-91ED-43cb-92C2-25804820EDAC}">
                  <c15:fullRef>
                    <c15:sqref>'Fig 29 OVD MrktShare w YT'!$B$3:$L$3</c15:sqref>
                  </c15:fullRef>
                </c:ext>
              </c:extLst>
              <c:f>('Fig 29 OVD MrktShare w YT'!$C$3,'Fig 29 OVD MrktShare w YT'!$F$3,'Fig 29 OVD MrktShare w YT'!$L$3)</c:f>
              <c:numCache>
                <c:formatCode>General</c:formatCode>
                <c:ptCount val="3"/>
                <c:pt idx="0">
                  <c:v>2012</c:v>
                </c:pt>
                <c:pt idx="1">
                  <c:v>2015</c:v>
                </c:pt>
                <c:pt idx="2">
                  <c:v>2021</c:v>
                </c:pt>
              </c:numCache>
            </c:numRef>
          </c:cat>
          <c:val>
            <c:numRef>
              <c:extLst>
                <c:ext xmlns:c15="http://schemas.microsoft.com/office/drawing/2012/chart" uri="{02D57815-91ED-43cb-92C2-25804820EDAC}">
                  <c15:fullRef>
                    <c15:sqref>'Fig 29 OVD MrktShare w YT'!$B$10:$L$10</c15:sqref>
                  </c15:fullRef>
                </c:ext>
              </c:extLst>
              <c:f>('Fig 29 OVD MrktShare w YT'!$C$10,'Fig 29 OVD MrktShare w YT'!$F$10,'Fig 29 OVD MrktShare w YT'!$L$10)</c:f>
              <c:numCache>
                <c:formatCode>General</c:formatCode>
                <c:ptCount val="3"/>
                <c:pt idx="2">
                  <c:v>2.5440928377894791</c:v>
                </c:pt>
              </c:numCache>
            </c:numRef>
          </c:val>
          <c:extLst>
            <c:ext xmlns:c16="http://schemas.microsoft.com/office/drawing/2014/chart" uri="{C3380CC4-5D6E-409C-BE32-E72D297353CC}">
              <c16:uniqueId val="{00000007-AC15-49AD-95FE-07623A7292D5}"/>
            </c:ext>
          </c:extLst>
        </c:ser>
        <c:ser>
          <c:idx val="8"/>
          <c:order val="8"/>
          <c:tx>
            <c:strRef>
              <c:f>'Fig 29 OVD MrktShare w YT'!$A$8</c:f>
              <c:strCache>
                <c:ptCount val="1"/>
                <c:pt idx="0">
                  <c:v>Rogers</c:v>
                </c:pt>
              </c:strCache>
            </c:strRef>
          </c:tx>
          <c:spPr>
            <a:solidFill>
              <a:schemeClr val="accent3">
                <a:lumMod val="60000"/>
              </a:schemeClr>
            </a:solidFill>
            <a:ln>
              <a:noFill/>
            </a:ln>
            <a:effectLst/>
          </c:spPr>
          <c:invertIfNegative val="0"/>
          <c:dLbls>
            <c:dLbl>
              <c:idx val="2"/>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AC15-49AD-95FE-07623A7292D5}"/>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extLst>
                <c:ext xmlns:c15="http://schemas.microsoft.com/office/drawing/2012/chart" uri="{02D57815-91ED-43cb-92C2-25804820EDAC}">
                  <c15:fullRef>
                    <c15:sqref>'Fig 29 OVD MrktShare w YT'!$B$3:$L$3</c15:sqref>
                  </c15:fullRef>
                </c:ext>
              </c:extLst>
              <c:f>('Fig 29 OVD MrktShare w YT'!$C$3,'Fig 29 OVD MrktShare w YT'!$F$3,'Fig 29 OVD MrktShare w YT'!$L$3)</c:f>
              <c:numCache>
                <c:formatCode>General</c:formatCode>
                <c:ptCount val="3"/>
                <c:pt idx="0">
                  <c:v>2012</c:v>
                </c:pt>
                <c:pt idx="1">
                  <c:v>2015</c:v>
                </c:pt>
                <c:pt idx="2">
                  <c:v>2021</c:v>
                </c:pt>
              </c:numCache>
            </c:numRef>
          </c:cat>
          <c:val>
            <c:numRef>
              <c:extLst>
                <c:ext xmlns:c15="http://schemas.microsoft.com/office/drawing/2012/chart" uri="{02D57815-91ED-43cb-92C2-25804820EDAC}">
                  <c15:fullRef>
                    <c15:sqref>'Fig 29 OVD MrktShare w YT'!$B$8:$L$8</c15:sqref>
                  </c15:fullRef>
                </c:ext>
              </c:extLst>
              <c:f>('Fig 29 OVD MrktShare w YT'!$C$8,'Fig 29 OVD MrktShare w YT'!$F$8,'Fig 29 OVD MrktShare w YT'!$L$8)</c:f>
              <c:numCache>
                <c:formatCode>General</c:formatCode>
                <c:ptCount val="3"/>
                <c:pt idx="2">
                  <c:v>7.0379837431624157</c:v>
                </c:pt>
              </c:numCache>
            </c:numRef>
          </c:val>
          <c:extLst>
            <c:ext xmlns:c16="http://schemas.microsoft.com/office/drawing/2014/chart" uri="{C3380CC4-5D6E-409C-BE32-E72D297353CC}">
              <c16:uniqueId val="{00000008-AC15-49AD-95FE-07623A7292D5}"/>
            </c:ext>
          </c:extLst>
        </c:ser>
        <c:ser>
          <c:idx val="9"/>
          <c:order val="9"/>
          <c:tx>
            <c:strRef>
              <c:f>'Fig 29 OVD MrktShare w YT'!$A$14</c:f>
              <c:strCache>
                <c:ptCount val="1"/>
                <c:pt idx="0">
                  <c:v>CBC Gem</c:v>
                </c:pt>
              </c:strCache>
            </c:strRef>
          </c:tx>
          <c:spPr>
            <a:solidFill>
              <a:schemeClr val="accent4">
                <a:lumMod val="60000"/>
              </a:schemeClr>
            </a:solidFill>
            <a:ln>
              <a:noFill/>
            </a:ln>
            <a:effectLst/>
          </c:spPr>
          <c:invertIfNegative val="0"/>
          <c:dLbls>
            <c:delete val="1"/>
          </c:dLbls>
          <c:cat>
            <c:numRef>
              <c:extLst>
                <c:ext xmlns:c15="http://schemas.microsoft.com/office/drawing/2012/chart" uri="{02D57815-91ED-43cb-92C2-25804820EDAC}">
                  <c15:fullRef>
                    <c15:sqref>'Fig 29 OVD MrktShare w YT'!$B$3:$L$3</c15:sqref>
                  </c15:fullRef>
                </c:ext>
              </c:extLst>
              <c:f>('Fig 29 OVD MrktShare w YT'!$C$3,'Fig 29 OVD MrktShare w YT'!$F$3,'Fig 29 OVD MrktShare w YT'!$L$3)</c:f>
              <c:numCache>
                <c:formatCode>General</c:formatCode>
                <c:ptCount val="3"/>
                <c:pt idx="0">
                  <c:v>2012</c:v>
                </c:pt>
                <c:pt idx="1">
                  <c:v>2015</c:v>
                </c:pt>
                <c:pt idx="2">
                  <c:v>2021</c:v>
                </c:pt>
              </c:numCache>
            </c:numRef>
          </c:cat>
          <c:val>
            <c:numRef>
              <c:extLst>
                <c:ext xmlns:c15="http://schemas.microsoft.com/office/drawing/2012/chart" uri="{02D57815-91ED-43cb-92C2-25804820EDAC}">
                  <c15:fullRef>
                    <c15:sqref>'Fig 29 OVD MrktShare w YT'!$B$14:$L$14</c15:sqref>
                  </c15:fullRef>
                </c:ext>
              </c:extLst>
              <c:f>('Fig 29 OVD MrktShare w YT'!$C$14,'Fig 29 OVD MrktShare w YT'!$F$14,'Fig 29 OVD MrktShare w YT'!$L$14)</c:f>
              <c:numCache>
                <c:formatCode>General</c:formatCode>
                <c:ptCount val="3"/>
                <c:pt idx="1">
                  <c:v>0</c:v>
                </c:pt>
                <c:pt idx="2">
                  <c:v>0.51377741424262569</c:v>
                </c:pt>
              </c:numCache>
            </c:numRef>
          </c:val>
          <c:extLst>
            <c:ext xmlns:c16="http://schemas.microsoft.com/office/drawing/2014/chart" uri="{C3380CC4-5D6E-409C-BE32-E72D297353CC}">
              <c16:uniqueId val="{00000009-AC15-49AD-95FE-07623A7292D5}"/>
            </c:ext>
          </c:extLst>
        </c:ser>
        <c:ser>
          <c:idx val="10"/>
          <c:order val="10"/>
          <c:tx>
            <c:strRef>
              <c:f>'Fig 29 OVD MrktShare w YT'!$A$15</c:f>
              <c:strCache>
                <c:ptCount val="1"/>
                <c:pt idx="0">
                  <c:v>Amazon</c:v>
                </c:pt>
              </c:strCache>
            </c:strRef>
          </c:tx>
          <c:spPr>
            <a:solidFill>
              <a:schemeClr val="accent5">
                <a:lumMod val="60000"/>
              </a:schemeClr>
            </a:solidFill>
            <a:ln>
              <a:noFill/>
            </a:ln>
            <a:effectLst/>
          </c:spPr>
          <c:invertIfNegative val="0"/>
          <c:dLbls>
            <c:dLbl>
              <c:idx val="2"/>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AC15-49AD-95FE-07623A7292D5}"/>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extLst>
                <c:ext xmlns:c15="http://schemas.microsoft.com/office/drawing/2012/chart" uri="{02D57815-91ED-43cb-92C2-25804820EDAC}">
                  <c15:fullRef>
                    <c15:sqref>'Fig 29 OVD MrktShare w YT'!$B$3:$L$3</c15:sqref>
                  </c15:fullRef>
                </c:ext>
              </c:extLst>
              <c:f>('Fig 29 OVD MrktShare w YT'!$C$3,'Fig 29 OVD MrktShare w YT'!$F$3,'Fig 29 OVD MrktShare w YT'!$L$3)</c:f>
              <c:numCache>
                <c:formatCode>General</c:formatCode>
                <c:ptCount val="3"/>
                <c:pt idx="0">
                  <c:v>2012</c:v>
                </c:pt>
                <c:pt idx="1">
                  <c:v>2015</c:v>
                </c:pt>
                <c:pt idx="2">
                  <c:v>2021</c:v>
                </c:pt>
              </c:numCache>
            </c:numRef>
          </c:cat>
          <c:val>
            <c:numRef>
              <c:extLst>
                <c:ext xmlns:c15="http://schemas.microsoft.com/office/drawing/2012/chart" uri="{02D57815-91ED-43cb-92C2-25804820EDAC}">
                  <c15:fullRef>
                    <c15:sqref>'Fig 29 OVD MrktShare w YT'!$B$15:$L$15</c15:sqref>
                  </c15:fullRef>
                </c:ext>
              </c:extLst>
              <c:f>('Fig 29 OVD MrktShare w YT'!$C$15,'Fig 29 OVD MrktShare w YT'!$F$15,'Fig 29 OVD MrktShare w YT'!$L$15)</c:f>
              <c:numCache>
                <c:formatCode>General</c:formatCode>
                <c:ptCount val="3"/>
                <c:pt idx="0">
                  <c:v>0</c:v>
                </c:pt>
                <c:pt idx="1">
                  <c:v>0</c:v>
                </c:pt>
                <c:pt idx="2">
                  <c:v>0.45882112366443428</c:v>
                </c:pt>
              </c:numCache>
            </c:numRef>
          </c:val>
          <c:extLst>
            <c:ext xmlns:c16="http://schemas.microsoft.com/office/drawing/2014/chart" uri="{C3380CC4-5D6E-409C-BE32-E72D297353CC}">
              <c16:uniqueId val="{0000000A-AC15-49AD-95FE-07623A7292D5}"/>
            </c:ext>
          </c:extLst>
        </c:ser>
        <c:ser>
          <c:idx val="11"/>
          <c:order val="11"/>
          <c:tx>
            <c:strRef>
              <c:f>'Fig 29 OVD MrktShare w YT'!$A$13</c:f>
              <c:strCache>
                <c:ptCount val="1"/>
                <c:pt idx="0">
                  <c:v>DAZN</c:v>
                </c:pt>
              </c:strCache>
            </c:strRef>
          </c:tx>
          <c:spPr>
            <a:solidFill>
              <a:schemeClr val="accent6">
                <a:lumMod val="60000"/>
              </a:schemeClr>
            </a:solidFill>
            <a:ln>
              <a:noFill/>
            </a:ln>
            <a:effectLst/>
          </c:spPr>
          <c:invertIfNegative val="0"/>
          <c:dLbls>
            <c:delete val="1"/>
          </c:dLbls>
          <c:cat>
            <c:numRef>
              <c:extLst>
                <c:ext xmlns:c15="http://schemas.microsoft.com/office/drawing/2012/chart" uri="{02D57815-91ED-43cb-92C2-25804820EDAC}">
                  <c15:fullRef>
                    <c15:sqref>'Fig 29 OVD MrktShare w YT'!$B$3:$L$3</c15:sqref>
                  </c15:fullRef>
                </c:ext>
              </c:extLst>
              <c:f>('Fig 29 OVD MrktShare w YT'!$C$3,'Fig 29 OVD MrktShare w YT'!$F$3,'Fig 29 OVD MrktShare w YT'!$L$3)</c:f>
              <c:numCache>
                <c:formatCode>General</c:formatCode>
                <c:ptCount val="3"/>
                <c:pt idx="0">
                  <c:v>2012</c:v>
                </c:pt>
                <c:pt idx="1">
                  <c:v>2015</c:v>
                </c:pt>
                <c:pt idx="2">
                  <c:v>2021</c:v>
                </c:pt>
              </c:numCache>
            </c:numRef>
          </c:cat>
          <c:val>
            <c:numRef>
              <c:extLst>
                <c:ext xmlns:c15="http://schemas.microsoft.com/office/drawing/2012/chart" uri="{02D57815-91ED-43cb-92C2-25804820EDAC}">
                  <c15:fullRef>
                    <c15:sqref>'Fig 29 OVD MrktShare w YT'!$B$13:$L$13</c15:sqref>
                  </c15:fullRef>
                </c:ext>
              </c:extLst>
              <c:f>('Fig 29 OVD MrktShare w YT'!$C$13,'Fig 29 OVD MrktShare w YT'!$F$13,'Fig 29 OVD MrktShare w YT'!$L$13)</c:f>
              <c:numCache>
                <c:formatCode>General</c:formatCode>
                <c:ptCount val="3"/>
                <c:pt idx="2">
                  <c:v>0.63672613874546291</c:v>
                </c:pt>
              </c:numCache>
            </c:numRef>
          </c:val>
          <c:extLst>
            <c:ext xmlns:c16="http://schemas.microsoft.com/office/drawing/2014/chart" uri="{C3380CC4-5D6E-409C-BE32-E72D297353CC}">
              <c16:uniqueId val="{0000000B-AC15-49AD-95FE-07623A7292D5}"/>
            </c:ext>
          </c:extLst>
        </c:ser>
        <c:ser>
          <c:idx val="12"/>
          <c:order val="12"/>
          <c:tx>
            <c:strRef>
              <c:f>'Fig 29 OVD MrktShare w YT'!$A$16</c:f>
              <c:strCache>
                <c:ptCount val="1"/>
              </c:strCache>
            </c:strRef>
          </c:tx>
          <c:spPr>
            <a:solidFill>
              <a:schemeClr val="accent1">
                <a:lumMod val="80000"/>
                <a:lumOff val="20000"/>
              </a:schemeClr>
            </a:solidFill>
            <a:ln>
              <a:noFill/>
            </a:ln>
            <a:effectLst/>
          </c:spPr>
          <c:invertIfNegative val="0"/>
          <c:dLbls>
            <c:delete val="1"/>
          </c:dLbls>
          <c:cat>
            <c:numRef>
              <c:extLst>
                <c:ext xmlns:c15="http://schemas.microsoft.com/office/drawing/2012/chart" uri="{02D57815-91ED-43cb-92C2-25804820EDAC}">
                  <c15:fullRef>
                    <c15:sqref>'Fig 29 OVD MrktShare w YT'!$B$3:$L$3</c15:sqref>
                  </c15:fullRef>
                </c:ext>
              </c:extLst>
              <c:f>('Fig 29 OVD MrktShare w YT'!$C$3,'Fig 29 OVD MrktShare w YT'!$F$3,'Fig 29 OVD MrktShare w YT'!$L$3)</c:f>
              <c:numCache>
                <c:formatCode>General</c:formatCode>
                <c:ptCount val="3"/>
                <c:pt idx="0">
                  <c:v>2012</c:v>
                </c:pt>
                <c:pt idx="1">
                  <c:v>2015</c:v>
                </c:pt>
                <c:pt idx="2">
                  <c:v>2021</c:v>
                </c:pt>
              </c:numCache>
            </c:numRef>
          </c:cat>
          <c:val>
            <c:numRef>
              <c:extLst>
                <c:ext xmlns:c15="http://schemas.microsoft.com/office/drawing/2012/chart" uri="{02D57815-91ED-43cb-92C2-25804820EDAC}">
                  <c15:fullRef>
                    <c15:sqref>'Fig 29 OVD MrktShare w YT'!$B$16:$L$16</c15:sqref>
                  </c15:fullRef>
                </c:ext>
              </c:extLst>
              <c:f>('Fig 29 OVD MrktShare w YT'!$C$16,'Fig 29 OVD MrktShare w YT'!$F$16,'Fig 29 OVD MrktShare w YT'!$L$16)</c:f>
              <c:numCache>
                <c:formatCode>General</c:formatCode>
                <c:ptCount val="3"/>
              </c:numCache>
            </c:numRef>
          </c:val>
          <c:extLst>
            <c:ext xmlns:c16="http://schemas.microsoft.com/office/drawing/2014/chart" uri="{C3380CC4-5D6E-409C-BE32-E72D297353CC}">
              <c16:uniqueId val="{0000000C-AC15-49AD-95FE-07623A7292D5}"/>
            </c:ext>
          </c:extLst>
        </c:ser>
        <c:dLbls>
          <c:dLblPos val="ctr"/>
          <c:showLegendKey val="0"/>
          <c:showVal val="1"/>
          <c:showCatName val="0"/>
          <c:showSerName val="0"/>
          <c:showPercent val="0"/>
          <c:showBubbleSize val="0"/>
        </c:dLbls>
        <c:gapWidth val="79"/>
        <c:overlap val="100"/>
        <c:axId val="1882115151"/>
        <c:axId val="1882124719"/>
      </c:barChart>
      <c:catAx>
        <c:axId val="18821151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all" spc="120" normalizeH="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882124719"/>
        <c:crosses val="autoZero"/>
        <c:auto val="1"/>
        <c:lblAlgn val="ctr"/>
        <c:lblOffset val="100"/>
        <c:noMultiLvlLbl val="0"/>
      </c:catAx>
      <c:valAx>
        <c:axId val="1882124719"/>
        <c:scaling>
          <c:orientation val="minMax"/>
        </c:scaling>
        <c:delete val="0"/>
        <c:axPos val="l"/>
        <c:numFmt formatCode="0%"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2115151"/>
        <c:crosses val="autoZero"/>
        <c:crossBetween val="between"/>
      </c:valAx>
      <c:spPr>
        <a:noFill/>
        <a:ln>
          <a:noFill/>
        </a:ln>
        <a:effectLst/>
      </c:spPr>
    </c:plotArea>
    <c:legend>
      <c:legendPos val="b"/>
      <c:layout>
        <c:manualLayout>
          <c:xMode val="edge"/>
          <c:yMode val="edge"/>
          <c:x val="2.2415117977758654E-2"/>
          <c:y val="0.91879567265713546"/>
          <c:w val="0.95729290647248333"/>
          <c:h val="7.188574785635984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en-US" sz="1800" b="1" i="0" u="none" strike="noStrike" kern="1200" cap="none" spc="0" normalizeH="0" baseline="0" noProof="0">
                <a:ln>
                  <a:noFill/>
                </a:ln>
                <a:solidFill>
                  <a:sysClr val="windowText" lastClr="000000">
                    <a:lumMod val="65000"/>
                    <a:lumOff val="35000"/>
                  </a:sysClr>
                </a:solidFill>
                <a:effectLst/>
                <a:uLnTx/>
                <a:uFillTx/>
                <a:latin typeface="Calibri"/>
              </a:rPr>
              <a:t> Online Video Distributors, 2016 vs 2022 (Market Share based 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'Fig 29 OVD MrktShare w YT'!$A$54</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 25 OVD MrktShare w YT'!#REF!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0-7946-5F49-B060-8E1B077CB6CE}"/>
            </c:ext>
          </c:extLst>
        </c:ser>
        <c:ser>
          <c:idx val="1"/>
          <c:order val="1"/>
          <c:tx>
            <c:strRef>
              <c:f>'Fig 29 OVD MrktShare w YT'!$A$55</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 25 OVD MrktShare w YT'!#REF!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1-7946-5F49-B060-8E1B077CB6CE}"/>
            </c:ext>
          </c:extLst>
        </c:ser>
        <c:ser>
          <c:idx val="2"/>
          <c:order val="2"/>
          <c:tx>
            <c:strRef>
              <c:f>'Fig 29 OVD MrktShare w YT'!$A$56</c:f>
              <c:strCache>
                <c:ptCount val="1"/>
              </c:strCache>
            </c:strRef>
          </c:tx>
          <c:spPr>
            <a:solidFill>
              <a:schemeClr val="accent3"/>
            </a:solidFill>
            <a:ln>
              <a:noFill/>
            </a:ln>
            <a:effectLst/>
          </c:spPr>
          <c:invertIfNegative val="0"/>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7946-5F49-B060-8E1B077CB6CE}"/>
                </c:ext>
              </c:extLst>
            </c:dLbl>
            <c:dLbl>
              <c:idx val="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7946-5F49-B060-8E1B077CB6C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 29 OVD MrktShare w YT'!$B$56:$C$56</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E-7946-5F49-B060-8E1B077CB6CE}"/>
            </c:ext>
          </c:extLst>
        </c:ser>
        <c:ser>
          <c:idx val="3"/>
          <c:order val="3"/>
          <c:tx>
            <c:strRef>
              <c:f>'Fig 29 OVD MrktShare w YT'!$A$57</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 29 OVD MrktShare w YT'!$B$57:$C$57</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F-7946-5F49-B060-8E1B077CB6CE}"/>
            </c:ext>
          </c:extLst>
        </c:ser>
        <c:ser>
          <c:idx val="4"/>
          <c:order val="4"/>
          <c:tx>
            <c:strRef>
              <c:f>'Fig 29 OVD MrktShare w YT'!$A$58</c:f>
              <c:strCache>
                <c:ptCount val="1"/>
              </c:strCache>
            </c:strRef>
          </c:tx>
          <c:spPr>
            <a:solidFill>
              <a:schemeClr val="accent5"/>
            </a:solidFill>
            <a:ln>
              <a:noFill/>
            </a:ln>
            <a:effectLst/>
          </c:spPr>
          <c:invertIfNegative val="0"/>
          <c:dLbls>
            <c:dLbl>
              <c:idx val="1"/>
              <c:showLegendKey val="0"/>
              <c:showVal val="0"/>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1B-7946-5F49-B060-8E1B077CB6C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 29 OVD MrktShare w YT'!$B$58:$C$58</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10-7946-5F49-B060-8E1B077CB6CE}"/>
            </c:ext>
          </c:extLst>
        </c:ser>
        <c:ser>
          <c:idx val="5"/>
          <c:order val="5"/>
          <c:tx>
            <c:strRef>
              <c:f>'Fig 29 OVD MrktShare w YT'!$A$59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 29 OVD MrktShare w YT'!$B$59:$C$59</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11-7946-5F49-B060-8E1B077CB6CE}"/>
            </c:ext>
          </c:extLst>
        </c:ser>
        <c:ser>
          <c:idx val="6"/>
          <c:order val="6"/>
          <c:tx>
            <c:strRef>
              <c:f>'Fig 29 OVD MrktShare w YT'!$A$60</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 29 OVD MrktShare w YT'!$B$60:$C$60</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12-7946-5F49-B060-8E1B077CB6CE}"/>
            </c:ext>
          </c:extLst>
        </c:ser>
        <c:ser>
          <c:idx val="7"/>
          <c:order val="7"/>
          <c:tx>
            <c:strRef>
              <c:f>'Fig 29 OVD MrktShare w YT'!$A$61</c:f>
              <c:strCache>
                <c:ptCount val="1"/>
              </c:strCache>
            </c:strRef>
          </c:tx>
          <c:spPr>
            <a:solidFill>
              <a:schemeClr val="accent2">
                <a:lumMod val="60000"/>
              </a:schemeClr>
            </a:solidFill>
            <a:ln>
              <a:noFill/>
            </a:ln>
            <a:effectLst/>
          </c:spPr>
          <c:invertIfNegative val="0"/>
          <c:dLbls>
            <c:dLbl>
              <c:idx val="1"/>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7946-5F49-B060-8E1B077CB6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 29 OVD MrktShare w YT'!$B$61:$C$61</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13-7946-5F49-B060-8E1B077CB6CE}"/>
            </c:ext>
          </c:extLst>
        </c:ser>
        <c:ser>
          <c:idx val="8"/>
          <c:order val="8"/>
          <c:tx>
            <c:strRef>
              <c:f>'Fig 29 OVD MrktShare w YT'!$A$62</c:f>
              <c:strCache>
                <c:ptCount val="1"/>
              </c:strCache>
            </c:strRef>
          </c:tx>
          <c:spPr>
            <a:solidFill>
              <a:schemeClr val="accent3">
                <a:lumMod val="60000"/>
              </a:schemeClr>
            </a:solidFill>
            <a:ln>
              <a:noFill/>
            </a:ln>
            <a:effectLst/>
          </c:spPr>
          <c:invertIfNegative val="0"/>
          <c:val>
            <c:numRef>
              <c:f>'Fig 29 OVD MrktShare w YT'!$B$62:$C$62</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14-7946-5F49-B060-8E1B077CB6CE}"/>
            </c:ext>
          </c:extLst>
        </c:ser>
        <c:ser>
          <c:idx val="9"/>
          <c:order val="9"/>
          <c:tx>
            <c:strRef>
              <c:f>'Fig 29 OVD MrktShare w YT'!$A$63</c:f>
              <c:strCache>
                <c:ptCount val="1"/>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 29 OVD MrktShare w YT'!$B$63:$C$63</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15-7946-5F49-B060-8E1B077CB6CE}"/>
            </c:ext>
          </c:extLst>
        </c:ser>
        <c:ser>
          <c:idx val="10"/>
          <c:order val="10"/>
          <c:tx>
            <c:strRef>
              <c:f>'Fig 29 OVD MrktShare w YT'!$A$64</c:f>
              <c:strCache>
                <c:ptCount val="1"/>
              </c:strCache>
            </c:strRef>
          </c:tx>
          <c:spPr>
            <a:solidFill>
              <a:schemeClr val="accent5">
                <a:lumMod val="60000"/>
              </a:schemeClr>
            </a:solidFill>
            <a:ln>
              <a:noFill/>
            </a:ln>
            <a:effectLst/>
          </c:spPr>
          <c:invertIfNegative val="0"/>
          <c:val>
            <c:numRef>
              <c:f>'Fig 29 OVD MrktShare w YT'!$B$64:$C$64</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16-7946-5F49-B060-8E1B077CB6CE}"/>
            </c:ext>
          </c:extLst>
        </c:ser>
        <c:ser>
          <c:idx val="11"/>
          <c:order val="11"/>
          <c:tx>
            <c:strRef>
              <c:f>'Fig 29 OVD MrktShare w YT'!$A$65</c:f>
              <c:strCache>
                <c:ptCount val="1"/>
              </c:strCache>
            </c:strRef>
          </c:tx>
          <c:spPr>
            <a:solidFill>
              <a:schemeClr val="accent6">
                <a:lumMod val="60000"/>
              </a:schemeClr>
            </a:solidFill>
            <a:ln>
              <a:noFill/>
            </a:ln>
            <a:effectLst/>
          </c:spPr>
          <c:invertIfNegative val="0"/>
          <c:dLbls>
            <c:dLbl>
              <c:idx val="1"/>
              <c:layout>
                <c:manualLayout>
                  <c:x val="1.3431833445265279E-3"/>
                  <c:y val="2.463054187192107E-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7946-5F49-B060-8E1B077CB6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 29 OVD MrktShare w YT'!$B$65:$C$65</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17-7946-5F49-B060-8E1B077CB6CE}"/>
            </c:ext>
          </c:extLst>
        </c:ser>
        <c:ser>
          <c:idx val="12"/>
          <c:order val="12"/>
          <c:tx>
            <c:strRef>
              <c:f>'Fig 29 OVD MrktShare w YT'!$A$66</c:f>
              <c:strCache>
                <c:ptCount val="1"/>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 29 OVD MrktShare w YT'!$B$66:$C$66</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18-7946-5F49-B060-8E1B077CB6CE}"/>
            </c:ext>
          </c:extLst>
        </c:ser>
        <c:dLbls>
          <c:showLegendKey val="0"/>
          <c:showVal val="0"/>
          <c:showCatName val="0"/>
          <c:showSerName val="0"/>
          <c:showPercent val="0"/>
          <c:showBubbleSize val="0"/>
        </c:dLbls>
        <c:gapWidth val="149"/>
        <c:overlap val="100"/>
        <c:axId val="64533263"/>
        <c:axId val="64498031"/>
      </c:barChart>
      <c:catAx>
        <c:axId val="64533263"/>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4498031"/>
        <c:crosses val="autoZero"/>
        <c:auto val="1"/>
        <c:lblAlgn val="ctr"/>
        <c:lblOffset val="100"/>
        <c:noMultiLvlLbl val="0"/>
      </c:catAx>
      <c:valAx>
        <c:axId val="644980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32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53376750554683E-2"/>
          <c:y val="2.6056422880262439E-2"/>
          <c:w val="0.93670073352533822"/>
          <c:h val="0.60424117243084974"/>
        </c:manualLayout>
      </c:layout>
      <c:barChart>
        <c:barDir val="col"/>
        <c:grouping val="stacked"/>
        <c:varyColors val="0"/>
        <c:ser>
          <c:idx val="0"/>
          <c:order val="0"/>
          <c:tx>
            <c:strRef>
              <c:f>'Fig 37 Leading Content Cos'!$C$3</c:f>
              <c:strCache>
                <c:ptCount val="1"/>
                <c:pt idx="0">
                  <c:v>Multichannel Video Distribution (Cable/DBS/IPTV)</c:v>
                </c:pt>
              </c:strCache>
            </c:strRef>
          </c:tx>
          <c:spPr>
            <a:solidFill>
              <a:schemeClr val="accent1"/>
            </a:solidFill>
            <a:ln>
              <a:noFill/>
            </a:ln>
            <a:effectLst/>
          </c:spPr>
          <c:invertIfNegative val="0"/>
          <c:cat>
            <c:strRef>
              <c:f>'Fig 37 Leading Content Cos'!$A$4:$A$23</c:f>
              <c:strCache>
                <c:ptCount val="20"/>
                <c:pt idx="0">
                  <c:v>Google</c:v>
                </c:pt>
                <c:pt idx="1">
                  <c:v>Bell</c:v>
                </c:pt>
                <c:pt idx="2">
                  <c:v>Facebook</c:v>
                </c:pt>
                <c:pt idx="3">
                  <c:v>Shaw</c:v>
                </c:pt>
                <c:pt idx="4">
                  <c:v>Rogers</c:v>
                </c:pt>
                <c:pt idx="5">
                  <c:v>CBC</c:v>
                </c:pt>
                <c:pt idx="6">
                  <c:v>Amazon</c:v>
                </c:pt>
                <c:pt idx="7">
                  <c:v>Quebecor</c:v>
                </c:pt>
                <c:pt idx="8">
                  <c:v>Netflix</c:v>
                </c:pt>
                <c:pt idx="9">
                  <c:v>Apple</c:v>
                </c:pt>
                <c:pt idx="10">
                  <c:v>Microsoft</c:v>
                </c:pt>
                <c:pt idx="11">
                  <c:v>Telus</c:v>
                </c:pt>
                <c:pt idx="12">
                  <c:v>Sony</c:v>
                </c:pt>
                <c:pt idx="13">
                  <c:v>Postmedia</c:v>
                </c:pt>
                <c:pt idx="14">
                  <c:v>Cogeco</c:v>
                </c:pt>
                <c:pt idx="15">
                  <c:v>Live Nation</c:v>
                </c:pt>
                <c:pt idx="16">
                  <c:v>Sirius</c:v>
                </c:pt>
                <c:pt idx="17">
                  <c:v>Disney</c:v>
                </c:pt>
                <c:pt idx="18">
                  <c:v>Spotify</c:v>
                </c:pt>
                <c:pt idx="19">
                  <c:v>Activision Blizzard</c:v>
                </c:pt>
              </c:strCache>
            </c:strRef>
          </c:cat>
          <c:val>
            <c:numRef>
              <c:f>'Fig 37 Leading Content Cos'!$C$4:$C$23</c:f>
              <c:numCache>
                <c:formatCode>General</c:formatCode>
                <c:ptCount val="20"/>
                <c:pt idx="1">
                  <c:v>2160.232</c:v>
                </c:pt>
                <c:pt idx="3">
                  <c:v>1522.6179999999999</c:v>
                </c:pt>
                <c:pt idx="4">
                  <c:v>1137.77</c:v>
                </c:pt>
                <c:pt idx="7">
                  <c:v>799.2</c:v>
                </c:pt>
                <c:pt idx="11">
                  <c:v>838.76400000000001</c:v>
                </c:pt>
                <c:pt idx="14">
                  <c:v>474.01499999999999</c:v>
                </c:pt>
              </c:numCache>
            </c:numRef>
          </c:val>
          <c:extLst>
            <c:ext xmlns:c16="http://schemas.microsoft.com/office/drawing/2014/chart" uri="{C3380CC4-5D6E-409C-BE32-E72D297353CC}">
              <c16:uniqueId val="{00000000-C732-9940-9658-4B8A1066094F}"/>
            </c:ext>
          </c:extLst>
        </c:ser>
        <c:ser>
          <c:idx val="1"/>
          <c:order val="1"/>
          <c:tx>
            <c:strRef>
              <c:f>'Fig 37 Leading Content Cos'!$F$3</c:f>
              <c:strCache>
                <c:ptCount val="1"/>
                <c:pt idx="0">
                  <c:v>Online Video Services</c:v>
                </c:pt>
              </c:strCache>
            </c:strRef>
          </c:tx>
          <c:spPr>
            <a:solidFill>
              <a:schemeClr val="accent2"/>
            </a:solidFill>
            <a:ln>
              <a:noFill/>
            </a:ln>
            <a:effectLst/>
          </c:spPr>
          <c:invertIfNegative val="0"/>
          <c:cat>
            <c:strRef>
              <c:f>'Fig 37 Leading Content Cos'!$A$4:$A$23</c:f>
              <c:strCache>
                <c:ptCount val="20"/>
                <c:pt idx="0">
                  <c:v>Google</c:v>
                </c:pt>
                <c:pt idx="1">
                  <c:v>Bell</c:v>
                </c:pt>
                <c:pt idx="2">
                  <c:v>Facebook</c:v>
                </c:pt>
                <c:pt idx="3">
                  <c:v>Shaw</c:v>
                </c:pt>
                <c:pt idx="4">
                  <c:v>Rogers</c:v>
                </c:pt>
                <c:pt idx="5">
                  <c:v>CBC</c:v>
                </c:pt>
                <c:pt idx="6">
                  <c:v>Amazon</c:v>
                </c:pt>
                <c:pt idx="7">
                  <c:v>Quebecor</c:v>
                </c:pt>
                <c:pt idx="8">
                  <c:v>Netflix</c:v>
                </c:pt>
                <c:pt idx="9">
                  <c:v>Apple</c:v>
                </c:pt>
                <c:pt idx="10">
                  <c:v>Microsoft</c:v>
                </c:pt>
                <c:pt idx="11">
                  <c:v>Telus</c:v>
                </c:pt>
                <c:pt idx="12">
                  <c:v>Sony</c:v>
                </c:pt>
                <c:pt idx="13">
                  <c:v>Postmedia</c:v>
                </c:pt>
                <c:pt idx="14">
                  <c:v>Cogeco</c:v>
                </c:pt>
                <c:pt idx="15">
                  <c:v>Live Nation</c:v>
                </c:pt>
                <c:pt idx="16">
                  <c:v>Sirius</c:v>
                </c:pt>
                <c:pt idx="17">
                  <c:v>Disney</c:v>
                </c:pt>
                <c:pt idx="18">
                  <c:v>Spotify</c:v>
                </c:pt>
                <c:pt idx="19">
                  <c:v>Activision Blizzard</c:v>
                </c:pt>
              </c:strCache>
            </c:strRef>
          </c:cat>
          <c:val>
            <c:numRef>
              <c:f>'Fig 37 Leading Content Cos'!$F$4:$F$23</c:f>
              <c:numCache>
                <c:formatCode>General</c:formatCode>
                <c:ptCount val="20"/>
                <c:pt idx="0">
                  <c:v>165.61999999999989</c:v>
                </c:pt>
                <c:pt idx="1">
                  <c:v>608.55999999999995</c:v>
                </c:pt>
                <c:pt idx="3">
                  <c:v>103.28800000000001</c:v>
                </c:pt>
                <c:pt idx="4">
                  <c:v>334.95</c:v>
                </c:pt>
                <c:pt idx="5">
                  <c:v>23.84</c:v>
                </c:pt>
                <c:pt idx="6">
                  <c:v>17.95</c:v>
                </c:pt>
                <c:pt idx="7">
                  <c:v>63.31</c:v>
                </c:pt>
                <c:pt idx="8">
                  <c:v>1456.89</c:v>
                </c:pt>
                <c:pt idx="9">
                  <c:v>212.35000000000002</c:v>
                </c:pt>
                <c:pt idx="17">
                  <c:v>473.55</c:v>
                </c:pt>
              </c:numCache>
            </c:numRef>
          </c:val>
          <c:extLst>
            <c:ext xmlns:c16="http://schemas.microsoft.com/office/drawing/2014/chart" uri="{C3380CC4-5D6E-409C-BE32-E72D297353CC}">
              <c16:uniqueId val="{00000001-C732-9940-9658-4B8A1066094F}"/>
            </c:ext>
          </c:extLst>
        </c:ser>
        <c:ser>
          <c:idx val="2"/>
          <c:order val="2"/>
          <c:tx>
            <c:strRef>
              <c:f>'Fig 37 Leading Content Cos'!$D$3</c:f>
              <c:strCache>
                <c:ptCount val="1"/>
                <c:pt idx="0">
                  <c:v>Broadcast TV</c:v>
                </c:pt>
              </c:strCache>
            </c:strRef>
          </c:tx>
          <c:spPr>
            <a:solidFill>
              <a:schemeClr val="accent3"/>
            </a:solidFill>
            <a:ln>
              <a:noFill/>
            </a:ln>
            <a:effectLst/>
          </c:spPr>
          <c:invertIfNegative val="0"/>
          <c:cat>
            <c:strRef>
              <c:f>'Fig 37 Leading Content Cos'!$A$4:$A$23</c:f>
              <c:strCache>
                <c:ptCount val="20"/>
                <c:pt idx="0">
                  <c:v>Google</c:v>
                </c:pt>
                <c:pt idx="1">
                  <c:v>Bell</c:v>
                </c:pt>
                <c:pt idx="2">
                  <c:v>Facebook</c:v>
                </c:pt>
                <c:pt idx="3">
                  <c:v>Shaw</c:v>
                </c:pt>
                <c:pt idx="4">
                  <c:v>Rogers</c:v>
                </c:pt>
                <c:pt idx="5">
                  <c:v>CBC</c:v>
                </c:pt>
                <c:pt idx="6">
                  <c:v>Amazon</c:v>
                </c:pt>
                <c:pt idx="7">
                  <c:v>Quebecor</c:v>
                </c:pt>
                <c:pt idx="8">
                  <c:v>Netflix</c:v>
                </c:pt>
                <c:pt idx="9">
                  <c:v>Apple</c:v>
                </c:pt>
                <c:pt idx="10">
                  <c:v>Microsoft</c:v>
                </c:pt>
                <c:pt idx="11">
                  <c:v>Telus</c:v>
                </c:pt>
                <c:pt idx="12">
                  <c:v>Sony</c:v>
                </c:pt>
                <c:pt idx="13">
                  <c:v>Postmedia</c:v>
                </c:pt>
                <c:pt idx="14">
                  <c:v>Cogeco</c:v>
                </c:pt>
                <c:pt idx="15">
                  <c:v>Live Nation</c:v>
                </c:pt>
                <c:pt idx="16">
                  <c:v>Sirius</c:v>
                </c:pt>
                <c:pt idx="17">
                  <c:v>Disney</c:v>
                </c:pt>
                <c:pt idx="18">
                  <c:v>Spotify</c:v>
                </c:pt>
                <c:pt idx="19">
                  <c:v>Activision Blizzard</c:v>
                </c:pt>
              </c:strCache>
            </c:strRef>
          </c:cat>
          <c:val>
            <c:numRef>
              <c:f>'Fig 37 Leading Content Cos'!$D$4:$D$23</c:f>
              <c:numCache>
                <c:formatCode>General</c:formatCode>
                <c:ptCount val="20"/>
                <c:pt idx="1">
                  <c:v>612.28</c:v>
                </c:pt>
                <c:pt idx="3">
                  <c:v>324.89999999999998</c:v>
                </c:pt>
                <c:pt idx="4">
                  <c:v>204.99</c:v>
                </c:pt>
                <c:pt idx="5">
                  <c:v>1083.77</c:v>
                </c:pt>
                <c:pt idx="7">
                  <c:v>196.27</c:v>
                </c:pt>
              </c:numCache>
            </c:numRef>
          </c:val>
          <c:extLst>
            <c:ext xmlns:c16="http://schemas.microsoft.com/office/drawing/2014/chart" uri="{C3380CC4-5D6E-409C-BE32-E72D297353CC}">
              <c16:uniqueId val="{00000002-C732-9940-9658-4B8A1066094F}"/>
            </c:ext>
          </c:extLst>
        </c:ser>
        <c:ser>
          <c:idx val="3"/>
          <c:order val="3"/>
          <c:tx>
            <c:strRef>
              <c:f>'Fig 37 Leading Content Cos'!$E$3</c:f>
              <c:strCache>
                <c:ptCount val="1"/>
                <c:pt idx="0">
                  <c:v>Pay TV Programming Services</c:v>
                </c:pt>
              </c:strCache>
            </c:strRef>
          </c:tx>
          <c:spPr>
            <a:solidFill>
              <a:schemeClr val="accent4"/>
            </a:solidFill>
            <a:ln>
              <a:noFill/>
            </a:ln>
            <a:effectLst/>
          </c:spPr>
          <c:invertIfNegative val="0"/>
          <c:cat>
            <c:strRef>
              <c:f>'Fig 37 Leading Content Cos'!$A$4:$A$23</c:f>
              <c:strCache>
                <c:ptCount val="20"/>
                <c:pt idx="0">
                  <c:v>Google</c:v>
                </c:pt>
                <c:pt idx="1">
                  <c:v>Bell</c:v>
                </c:pt>
                <c:pt idx="2">
                  <c:v>Facebook</c:v>
                </c:pt>
                <c:pt idx="3">
                  <c:v>Shaw</c:v>
                </c:pt>
                <c:pt idx="4">
                  <c:v>Rogers</c:v>
                </c:pt>
                <c:pt idx="5">
                  <c:v>CBC</c:v>
                </c:pt>
                <c:pt idx="6">
                  <c:v>Amazon</c:v>
                </c:pt>
                <c:pt idx="7">
                  <c:v>Quebecor</c:v>
                </c:pt>
                <c:pt idx="8">
                  <c:v>Netflix</c:v>
                </c:pt>
                <c:pt idx="9">
                  <c:v>Apple</c:v>
                </c:pt>
                <c:pt idx="10">
                  <c:v>Microsoft</c:v>
                </c:pt>
                <c:pt idx="11">
                  <c:v>Telus</c:v>
                </c:pt>
                <c:pt idx="12">
                  <c:v>Sony</c:v>
                </c:pt>
                <c:pt idx="13">
                  <c:v>Postmedia</c:v>
                </c:pt>
                <c:pt idx="14">
                  <c:v>Cogeco</c:v>
                </c:pt>
                <c:pt idx="15">
                  <c:v>Live Nation</c:v>
                </c:pt>
                <c:pt idx="16">
                  <c:v>Sirius</c:v>
                </c:pt>
                <c:pt idx="17">
                  <c:v>Disney</c:v>
                </c:pt>
                <c:pt idx="18">
                  <c:v>Spotify</c:v>
                </c:pt>
                <c:pt idx="19">
                  <c:v>Activision Blizzard</c:v>
                </c:pt>
              </c:strCache>
            </c:strRef>
          </c:cat>
          <c:val>
            <c:numRef>
              <c:f>'Fig 37 Leading Content Cos'!$E$4:$E$23</c:f>
              <c:numCache>
                <c:formatCode>General</c:formatCode>
                <c:ptCount val="20"/>
                <c:pt idx="1">
                  <c:v>1462.48</c:v>
                </c:pt>
                <c:pt idx="3">
                  <c:v>671.36</c:v>
                </c:pt>
                <c:pt idx="4">
                  <c:v>890.6</c:v>
                </c:pt>
                <c:pt idx="5">
                  <c:v>158.1</c:v>
                </c:pt>
                <c:pt idx="7">
                  <c:v>214.64</c:v>
                </c:pt>
                <c:pt idx="14">
                  <c:v>5.0599999999999996</c:v>
                </c:pt>
              </c:numCache>
            </c:numRef>
          </c:val>
          <c:extLst>
            <c:ext xmlns:c16="http://schemas.microsoft.com/office/drawing/2014/chart" uri="{C3380CC4-5D6E-409C-BE32-E72D297353CC}">
              <c16:uniqueId val="{00000003-C732-9940-9658-4B8A1066094F}"/>
            </c:ext>
          </c:extLst>
        </c:ser>
        <c:ser>
          <c:idx val="4"/>
          <c:order val="4"/>
          <c:tx>
            <c:strRef>
              <c:f>'Fig 37 Leading Content Cos'!$I$3</c:f>
              <c:strCache>
                <c:ptCount val="1"/>
                <c:pt idx="0">
                  <c:v>Music Services</c:v>
                </c:pt>
              </c:strCache>
            </c:strRef>
          </c:tx>
          <c:spPr>
            <a:solidFill>
              <a:schemeClr val="accent5"/>
            </a:solidFill>
            <a:ln>
              <a:noFill/>
            </a:ln>
            <a:effectLst/>
          </c:spPr>
          <c:invertIfNegative val="0"/>
          <c:cat>
            <c:strRef>
              <c:f>'Fig 37 Leading Content Cos'!$A$4:$A$23</c:f>
              <c:strCache>
                <c:ptCount val="20"/>
                <c:pt idx="0">
                  <c:v>Google</c:v>
                </c:pt>
                <c:pt idx="1">
                  <c:v>Bell</c:v>
                </c:pt>
                <c:pt idx="2">
                  <c:v>Facebook</c:v>
                </c:pt>
                <c:pt idx="3">
                  <c:v>Shaw</c:v>
                </c:pt>
                <c:pt idx="4">
                  <c:v>Rogers</c:v>
                </c:pt>
                <c:pt idx="5">
                  <c:v>CBC</c:v>
                </c:pt>
                <c:pt idx="6">
                  <c:v>Amazon</c:v>
                </c:pt>
                <c:pt idx="7">
                  <c:v>Quebecor</c:v>
                </c:pt>
                <c:pt idx="8">
                  <c:v>Netflix</c:v>
                </c:pt>
                <c:pt idx="9">
                  <c:v>Apple</c:v>
                </c:pt>
                <c:pt idx="10">
                  <c:v>Microsoft</c:v>
                </c:pt>
                <c:pt idx="11">
                  <c:v>Telus</c:v>
                </c:pt>
                <c:pt idx="12">
                  <c:v>Sony</c:v>
                </c:pt>
                <c:pt idx="13">
                  <c:v>Postmedia</c:v>
                </c:pt>
                <c:pt idx="14">
                  <c:v>Cogeco</c:v>
                </c:pt>
                <c:pt idx="15">
                  <c:v>Live Nation</c:v>
                </c:pt>
                <c:pt idx="16">
                  <c:v>Sirius</c:v>
                </c:pt>
                <c:pt idx="17">
                  <c:v>Disney</c:v>
                </c:pt>
                <c:pt idx="18">
                  <c:v>Spotify</c:v>
                </c:pt>
                <c:pt idx="19">
                  <c:v>Activision Blizzard</c:v>
                </c:pt>
              </c:strCache>
            </c:strRef>
          </c:cat>
          <c:val>
            <c:numRef>
              <c:f>'Fig 37 Leading Content Cos'!$I$4:$I$23</c:f>
              <c:numCache>
                <c:formatCode>General</c:formatCode>
                <c:ptCount val="20"/>
                <c:pt idx="0">
                  <c:v>247.82</c:v>
                </c:pt>
                <c:pt idx="6">
                  <c:v>147.77000000000001</c:v>
                </c:pt>
                <c:pt idx="9">
                  <c:v>227.79</c:v>
                </c:pt>
                <c:pt idx="12">
                  <c:v>174.62</c:v>
                </c:pt>
                <c:pt idx="15">
                  <c:v>533.35</c:v>
                </c:pt>
                <c:pt idx="18">
                  <c:v>410.9</c:v>
                </c:pt>
              </c:numCache>
            </c:numRef>
          </c:val>
          <c:extLst>
            <c:ext xmlns:c16="http://schemas.microsoft.com/office/drawing/2014/chart" uri="{C3380CC4-5D6E-409C-BE32-E72D297353CC}">
              <c16:uniqueId val="{00000004-C732-9940-9658-4B8A1066094F}"/>
            </c:ext>
          </c:extLst>
        </c:ser>
        <c:ser>
          <c:idx val="5"/>
          <c:order val="5"/>
          <c:tx>
            <c:strRef>
              <c:f>'Fig 37 Leading Content Cos'!$J$3</c:f>
              <c:strCache>
                <c:ptCount val="1"/>
                <c:pt idx="0">
                  <c:v>Newspapers</c:v>
                </c:pt>
              </c:strCache>
            </c:strRef>
          </c:tx>
          <c:spPr>
            <a:solidFill>
              <a:schemeClr val="accent6"/>
            </a:solidFill>
            <a:ln>
              <a:noFill/>
            </a:ln>
            <a:effectLst/>
          </c:spPr>
          <c:invertIfNegative val="0"/>
          <c:cat>
            <c:strRef>
              <c:f>'Fig 37 Leading Content Cos'!$A$4:$A$23</c:f>
              <c:strCache>
                <c:ptCount val="20"/>
                <c:pt idx="0">
                  <c:v>Google</c:v>
                </c:pt>
                <c:pt idx="1">
                  <c:v>Bell</c:v>
                </c:pt>
                <c:pt idx="2">
                  <c:v>Facebook</c:v>
                </c:pt>
                <c:pt idx="3">
                  <c:v>Shaw</c:v>
                </c:pt>
                <c:pt idx="4">
                  <c:v>Rogers</c:v>
                </c:pt>
                <c:pt idx="5">
                  <c:v>CBC</c:v>
                </c:pt>
                <c:pt idx="6">
                  <c:v>Amazon</c:v>
                </c:pt>
                <c:pt idx="7">
                  <c:v>Quebecor</c:v>
                </c:pt>
                <c:pt idx="8">
                  <c:v>Netflix</c:v>
                </c:pt>
                <c:pt idx="9">
                  <c:v>Apple</c:v>
                </c:pt>
                <c:pt idx="10">
                  <c:v>Microsoft</c:v>
                </c:pt>
                <c:pt idx="11">
                  <c:v>Telus</c:v>
                </c:pt>
                <c:pt idx="12">
                  <c:v>Sony</c:v>
                </c:pt>
                <c:pt idx="13">
                  <c:v>Postmedia</c:v>
                </c:pt>
                <c:pt idx="14">
                  <c:v>Cogeco</c:v>
                </c:pt>
                <c:pt idx="15">
                  <c:v>Live Nation</c:v>
                </c:pt>
                <c:pt idx="16">
                  <c:v>Sirius</c:v>
                </c:pt>
                <c:pt idx="17">
                  <c:v>Disney</c:v>
                </c:pt>
                <c:pt idx="18">
                  <c:v>Spotify</c:v>
                </c:pt>
                <c:pt idx="19">
                  <c:v>Activision Blizzard</c:v>
                </c:pt>
              </c:strCache>
            </c:strRef>
          </c:cat>
          <c:val>
            <c:numRef>
              <c:f>'Fig 37 Leading Content Cos'!$J$4:$J$23</c:f>
              <c:numCache>
                <c:formatCode>General</c:formatCode>
                <c:ptCount val="20"/>
                <c:pt idx="7">
                  <c:v>172.324938</c:v>
                </c:pt>
                <c:pt idx="13">
                  <c:v>458.22399999999999</c:v>
                </c:pt>
              </c:numCache>
            </c:numRef>
          </c:val>
          <c:extLst>
            <c:ext xmlns:c16="http://schemas.microsoft.com/office/drawing/2014/chart" uri="{C3380CC4-5D6E-409C-BE32-E72D297353CC}">
              <c16:uniqueId val="{00000005-C732-9940-9658-4B8A1066094F}"/>
            </c:ext>
          </c:extLst>
        </c:ser>
        <c:ser>
          <c:idx val="6"/>
          <c:order val="6"/>
          <c:tx>
            <c:strRef>
              <c:f>'Fig 37 Leading Content Cos'!$H$3</c:f>
              <c:strCache>
                <c:ptCount val="1"/>
                <c:pt idx="0">
                  <c:v>Broadcast Radio</c:v>
                </c:pt>
              </c:strCache>
            </c:strRef>
          </c:tx>
          <c:spPr>
            <a:solidFill>
              <a:schemeClr val="accent1">
                <a:lumMod val="60000"/>
              </a:schemeClr>
            </a:solidFill>
            <a:ln>
              <a:noFill/>
            </a:ln>
            <a:effectLst/>
          </c:spPr>
          <c:invertIfNegative val="0"/>
          <c:cat>
            <c:strRef>
              <c:f>'Fig 37 Leading Content Cos'!$A$4:$A$23</c:f>
              <c:strCache>
                <c:ptCount val="20"/>
                <c:pt idx="0">
                  <c:v>Google</c:v>
                </c:pt>
                <c:pt idx="1">
                  <c:v>Bell</c:v>
                </c:pt>
                <c:pt idx="2">
                  <c:v>Facebook</c:v>
                </c:pt>
                <c:pt idx="3">
                  <c:v>Shaw</c:v>
                </c:pt>
                <c:pt idx="4">
                  <c:v>Rogers</c:v>
                </c:pt>
                <c:pt idx="5">
                  <c:v>CBC</c:v>
                </c:pt>
                <c:pt idx="6">
                  <c:v>Amazon</c:v>
                </c:pt>
                <c:pt idx="7">
                  <c:v>Quebecor</c:v>
                </c:pt>
                <c:pt idx="8">
                  <c:v>Netflix</c:v>
                </c:pt>
                <c:pt idx="9">
                  <c:v>Apple</c:v>
                </c:pt>
                <c:pt idx="10">
                  <c:v>Microsoft</c:v>
                </c:pt>
                <c:pt idx="11">
                  <c:v>Telus</c:v>
                </c:pt>
                <c:pt idx="12">
                  <c:v>Sony</c:v>
                </c:pt>
                <c:pt idx="13">
                  <c:v>Postmedia</c:v>
                </c:pt>
                <c:pt idx="14">
                  <c:v>Cogeco</c:v>
                </c:pt>
                <c:pt idx="15">
                  <c:v>Live Nation</c:v>
                </c:pt>
                <c:pt idx="16">
                  <c:v>Sirius</c:v>
                </c:pt>
                <c:pt idx="17">
                  <c:v>Disney</c:v>
                </c:pt>
                <c:pt idx="18">
                  <c:v>Spotify</c:v>
                </c:pt>
                <c:pt idx="19">
                  <c:v>Activision Blizzard</c:v>
                </c:pt>
              </c:strCache>
            </c:strRef>
          </c:cat>
          <c:val>
            <c:numRef>
              <c:f>'Fig 37 Leading Content Cos'!$H$4:$H$23</c:f>
              <c:numCache>
                <c:formatCode>General</c:formatCode>
                <c:ptCount val="20"/>
                <c:pt idx="1">
                  <c:v>226.702</c:v>
                </c:pt>
                <c:pt idx="3">
                  <c:v>79.099999999999994</c:v>
                </c:pt>
                <c:pt idx="4">
                  <c:v>136.5</c:v>
                </c:pt>
                <c:pt idx="5">
                  <c:v>358.4</c:v>
                </c:pt>
                <c:pt idx="14">
                  <c:v>82</c:v>
                </c:pt>
                <c:pt idx="16">
                  <c:v>481.53</c:v>
                </c:pt>
              </c:numCache>
            </c:numRef>
          </c:val>
          <c:extLst>
            <c:ext xmlns:c16="http://schemas.microsoft.com/office/drawing/2014/chart" uri="{C3380CC4-5D6E-409C-BE32-E72D297353CC}">
              <c16:uniqueId val="{00000006-C732-9940-9658-4B8A1066094F}"/>
            </c:ext>
          </c:extLst>
        </c:ser>
        <c:ser>
          <c:idx val="7"/>
          <c:order val="7"/>
          <c:tx>
            <c:strRef>
              <c:f>'Fig 37 Leading Content Cos'!$G$3</c:f>
              <c:strCache>
                <c:ptCount val="1"/>
                <c:pt idx="0">
                  <c:v>Digital Games</c:v>
                </c:pt>
              </c:strCache>
            </c:strRef>
          </c:tx>
          <c:spPr>
            <a:solidFill>
              <a:schemeClr val="accent2">
                <a:lumMod val="60000"/>
              </a:schemeClr>
            </a:solidFill>
            <a:ln>
              <a:noFill/>
            </a:ln>
            <a:effectLst/>
          </c:spPr>
          <c:invertIfNegative val="0"/>
          <c:cat>
            <c:strRef>
              <c:f>'Fig 37 Leading Content Cos'!$A$4:$A$23</c:f>
              <c:strCache>
                <c:ptCount val="20"/>
                <c:pt idx="0">
                  <c:v>Google</c:v>
                </c:pt>
                <c:pt idx="1">
                  <c:v>Bell</c:v>
                </c:pt>
                <c:pt idx="2">
                  <c:v>Facebook</c:v>
                </c:pt>
                <c:pt idx="3">
                  <c:v>Shaw</c:v>
                </c:pt>
                <c:pt idx="4">
                  <c:v>Rogers</c:v>
                </c:pt>
                <c:pt idx="5">
                  <c:v>CBC</c:v>
                </c:pt>
                <c:pt idx="6">
                  <c:v>Amazon</c:v>
                </c:pt>
                <c:pt idx="7">
                  <c:v>Quebecor</c:v>
                </c:pt>
                <c:pt idx="8">
                  <c:v>Netflix</c:v>
                </c:pt>
                <c:pt idx="9">
                  <c:v>Apple</c:v>
                </c:pt>
                <c:pt idx="10">
                  <c:v>Microsoft</c:v>
                </c:pt>
                <c:pt idx="11">
                  <c:v>Telus</c:v>
                </c:pt>
                <c:pt idx="12">
                  <c:v>Sony</c:v>
                </c:pt>
                <c:pt idx="13">
                  <c:v>Postmedia</c:v>
                </c:pt>
                <c:pt idx="14">
                  <c:v>Cogeco</c:v>
                </c:pt>
                <c:pt idx="15">
                  <c:v>Live Nation</c:v>
                </c:pt>
                <c:pt idx="16">
                  <c:v>Sirius</c:v>
                </c:pt>
                <c:pt idx="17">
                  <c:v>Disney</c:v>
                </c:pt>
                <c:pt idx="18">
                  <c:v>Spotify</c:v>
                </c:pt>
                <c:pt idx="19">
                  <c:v>Activision Blizzard</c:v>
                </c:pt>
              </c:strCache>
            </c:strRef>
          </c:cat>
          <c:val>
            <c:numRef>
              <c:f>'Fig 37 Leading Content Cos'!$G$4:$G$23</c:f>
              <c:numCache>
                <c:formatCode>General</c:formatCode>
                <c:ptCount val="20"/>
                <c:pt idx="0">
                  <c:v>264.52</c:v>
                </c:pt>
                <c:pt idx="9">
                  <c:v>542.79</c:v>
                </c:pt>
                <c:pt idx="10">
                  <c:v>564.14</c:v>
                </c:pt>
                <c:pt idx="12">
                  <c:v>411.72</c:v>
                </c:pt>
                <c:pt idx="19">
                  <c:v>346.33</c:v>
                </c:pt>
              </c:numCache>
            </c:numRef>
          </c:val>
          <c:extLst>
            <c:ext xmlns:c16="http://schemas.microsoft.com/office/drawing/2014/chart" uri="{C3380CC4-5D6E-409C-BE32-E72D297353CC}">
              <c16:uniqueId val="{00000007-C732-9940-9658-4B8A1066094F}"/>
            </c:ext>
          </c:extLst>
        </c:ser>
        <c:ser>
          <c:idx val="8"/>
          <c:order val="8"/>
          <c:tx>
            <c:strRef>
              <c:f>'Fig 37 Leading Content Cos'!$K$3</c:f>
              <c:strCache>
                <c:ptCount val="1"/>
                <c:pt idx="0">
                  <c:v>Magazines</c:v>
                </c:pt>
              </c:strCache>
            </c:strRef>
          </c:tx>
          <c:spPr>
            <a:solidFill>
              <a:schemeClr val="accent3">
                <a:lumMod val="60000"/>
              </a:schemeClr>
            </a:solidFill>
            <a:ln>
              <a:noFill/>
            </a:ln>
            <a:effectLst/>
          </c:spPr>
          <c:invertIfNegative val="0"/>
          <c:cat>
            <c:strRef>
              <c:f>'Fig 37 Leading Content Cos'!$A$4:$A$23</c:f>
              <c:strCache>
                <c:ptCount val="20"/>
                <c:pt idx="0">
                  <c:v>Google</c:v>
                </c:pt>
                <c:pt idx="1">
                  <c:v>Bell</c:v>
                </c:pt>
                <c:pt idx="2">
                  <c:v>Facebook</c:v>
                </c:pt>
                <c:pt idx="3">
                  <c:v>Shaw</c:v>
                </c:pt>
                <c:pt idx="4">
                  <c:v>Rogers</c:v>
                </c:pt>
                <c:pt idx="5">
                  <c:v>CBC</c:v>
                </c:pt>
                <c:pt idx="6">
                  <c:v>Amazon</c:v>
                </c:pt>
                <c:pt idx="7">
                  <c:v>Quebecor</c:v>
                </c:pt>
                <c:pt idx="8">
                  <c:v>Netflix</c:v>
                </c:pt>
                <c:pt idx="9">
                  <c:v>Apple</c:v>
                </c:pt>
                <c:pt idx="10">
                  <c:v>Microsoft</c:v>
                </c:pt>
                <c:pt idx="11">
                  <c:v>Telus</c:v>
                </c:pt>
                <c:pt idx="12">
                  <c:v>Sony</c:v>
                </c:pt>
                <c:pt idx="13">
                  <c:v>Postmedia</c:v>
                </c:pt>
                <c:pt idx="14">
                  <c:v>Cogeco</c:v>
                </c:pt>
                <c:pt idx="15">
                  <c:v>Live Nation</c:v>
                </c:pt>
                <c:pt idx="16">
                  <c:v>Sirius</c:v>
                </c:pt>
                <c:pt idx="17">
                  <c:v>Disney</c:v>
                </c:pt>
                <c:pt idx="18">
                  <c:v>Spotify</c:v>
                </c:pt>
                <c:pt idx="19">
                  <c:v>Activision Blizzard</c:v>
                </c:pt>
              </c:strCache>
            </c:strRef>
          </c:cat>
          <c:val>
            <c:numRef>
              <c:f>'Fig 37 Leading Content Cos'!$K$4:$K$23</c:f>
              <c:numCache>
                <c:formatCode>General</c:formatCode>
                <c:ptCount val="20"/>
                <c:pt idx="1">
                  <c:v>4.8644145711540006</c:v>
                </c:pt>
                <c:pt idx="7">
                  <c:v>40.549999999999997</c:v>
                </c:pt>
                <c:pt idx="13">
                  <c:v>1.9170989284050002</c:v>
                </c:pt>
              </c:numCache>
            </c:numRef>
          </c:val>
          <c:extLst>
            <c:ext xmlns:c16="http://schemas.microsoft.com/office/drawing/2014/chart" uri="{C3380CC4-5D6E-409C-BE32-E72D297353CC}">
              <c16:uniqueId val="{00000008-C732-9940-9658-4B8A1066094F}"/>
            </c:ext>
          </c:extLst>
        </c:ser>
        <c:ser>
          <c:idx val="9"/>
          <c:order val="9"/>
          <c:tx>
            <c:strRef>
              <c:f>'Fig 31 GAFAM$'!#REF!</c:f>
              <c:strCache>
                <c:ptCount val="1"/>
                <c:pt idx="0">
                  <c:v>#REF!</c:v>
                </c:pt>
              </c:strCache>
            </c:strRef>
          </c:tx>
          <c:spPr>
            <a:solidFill>
              <a:schemeClr val="accent4">
                <a:lumMod val="60000"/>
              </a:schemeClr>
            </a:solidFill>
            <a:ln>
              <a:noFill/>
            </a:ln>
            <a:effectLst/>
          </c:spPr>
          <c:invertIfNegative val="0"/>
          <c:cat>
            <c:strRef>
              <c:f>'Fig 37 Leading Content Cos'!$A$4:$A$23</c:f>
              <c:strCache>
                <c:ptCount val="20"/>
                <c:pt idx="0">
                  <c:v>Google</c:v>
                </c:pt>
                <c:pt idx="1">
                  <c:v>Bell</c:v>
                </c:pt>
                <c:pt idx="2">
                  <c:v>Facebook</c:v>
                </c:pt>
                <c:pt idx="3">
                  <c:v>Shaw</c:v>
                </c:pt>
                <c:pt idx="4">
                  <c:v>Rogers</c:v>
                </c:pt>
                <c:pt idx="5">
                  <c:v>CBC</c:v>
                </c:pt>
                <c:pt idx="6">
                  <c:v>Amazon</c:v>
                </c:pt>
                <c:pt idx="7">
                  <c:v>Quebecor</c:v>
                </c:pt>
                <c:pt idx="8">
                  <c:v>Netflix</c:v>
                </c:pt>
                <c:pt idx="9">
                  <c:v>Apple</c:v>
                </c:pt>
                <c:pt idx="10">
                  <c:v>Microsoft</c:v>
                </c:pt>
                <c:pt idx="11">
                  <c:v>Telus</c:v>
                </c:pt>
                <c:pt idx="12">
                  <c:v>Sony</c:v>
                </c:pt>
                <c:pt idx="13">
                  <c:v>Postmedia</c:v>
                </c:pt>
                <c:pt idx="14">
                  <c:v>Cogeco</c:v>
                </c:pt>
                <c:pt idx="15">
                  <c:v>Live Nation</c:v>
                </c:pt>
                <c:pt idx="16">
                  <c:v>Sirius</c:v>
                </c:pt>
                <c:pt idx="17">
                  <c:v>Disney</c:v>
                </c:pt>
                <c:pt idx="18">
                  <c:v>Spotify</c:v>
                </c:pt>
                <c:pt idx="19">
                  <c:v>Activision Blizzard</c:v>
                </c:pt>
              </c:strCache>
            </c:strRef>
          </c:cat>
          <c:val>
            <c:numRef>
              <c:f>'Fig 31 GAFAM$'!#REF!</c:f>
              <c:numCache>
                <c:formatCode>General</c:formatCode>
                <c:ptCount val="1"/>
                <c:pt idx="0">
                  <c:v>1</c:v>
                </c:pt>
              </c:numCache>
            </c:numRef>
          </c:val>
          <c:extLst>
            <c:ext xmlns:c16="http://schemas.microsoft.com/office/drawing/2014/chart" uri="{C3380CC4-5D6E-409C-BE32-E72D297353CC}">
              <c16:uniqueId val="{00000000-59B1-5F49-ACCA-776C96FD5192}"/>
            </c:ext>
          </c:extLst>
        </c:ser>
        <c:dLbls>
          <c:showLegendKey val="0"/>
          <c:showVal val="0"/>
          <c:showCatName val="0"/>
          <c:showSerName val="0"/>
          <c:showPercent val="0"/>
          <c:showBubbleSize val="0"/>
        </c:dLbls>
        <c:gapWidth val="182"/>
        <c:overlap val="100"/>
        <c:axId val="418364816"/>
        <c:axId val="417724240"/>
      </c:barChart>
      <c:catAx>
        <c:axId val="41836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17724240"/>
        <c:crosses val="autoZero"/>
        <c:auto val="1"/>
        <c:lblAlgn val="ctr"/>
        <c:lblOffset val="100"/>
        <c:noMultiLvlLbl val="0"/>
      </c:catAx>
      <c:valAx>
        <c:axId val="417724240"/>
        <c:scaling>
          <c:orientation val="minMax"/>
          <c:max val="6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364816"/>
        <c:crosses val="autoZero"/>
        <c:crossBetween val="between"/>
      </c:valAx>
      <c:spPr>
        <a:noFill/>
        <a:ln>
          <a:noFill/>
        </a:ln>
        <a:effectLst/>
      </c:spPr>
    </c:plotArea>
    <c:legend>
      <c:legendPos val="b"/>
      <c:layout>
        <c:manualLayout>
          <c:xMode val="edge"/>
          <c:yMode val="edge"/>
          <c:x val="8.5196020042066479E-4"/>
          <c:y val="0.82029230530254993"/>
          <c:w val="0.81658252980425283"/>
          <c:h val="0.1797076996154135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30678082014592E-2"/>
          <c:y val="2.637745745100864E-2"/>
          <c:w val="0.91522637434615794"/>
          <c:h val="0.66801335828460817"/>
        </c:manualLayout>
      </c:layout>
      <c:barChart>
        <c:barDir val="col"/>
        <c:grouping val="stacked"/>
        <c:varyColors val="0"/>
        <c:ser>
          <c:idx val="0"/>
          <c:order val="0"/>
          <c:tx>
            <c:strRef>
              <c:f>'Fig 37 Leading Content Cos'!$C$3</c:f>
              <c:strCache>
                <c:ptCount val="1"/>
                <c:pt idx="0">
                  <c:v>Multichannel Video Distribution (Cable/DBS/IPTV)</c:v>
                </c:pt>
              </c:strCache>
            </c:strRef>
          </c:tx>
          <c:spPr>
            <a:solidFill>
              <a:schemeClr val="accent1"/>
            </a:solidFill>
            <a:ln>
              <a:noFill/>
            </a:ln>
            <a:effectLst/>
          </c:spPr>
          <c:invertIfNegative val="0"/>
          <c:cat>
            <c:strRef>
              <c:f>'Fig 37 Leading Content Cos'!$A$4:$A$14</c:f>
              <c:strCache>
                <c:ptCount val="11"/>
                <c:pt idx="0">
                  <c:v>Google</c:v>
                </c:pt>
                <c:pt idx="1">
                  <c:v>Bell</c:v>
                </c:pt>
                <c:pt idx="2">
                  <c:v>Facebook</c:v>
                </c:pt>
                <c:pt idx="3">
                  <c:v>Shaw</c:v>
                </c:pt>
                <c:pt idx="4">
                  <c:v>Rogers</c:v>
                </c:pt>
                <c:pt idx="5">
                  <c:v>CBC</c:v>
                </c:pt>
                <c:pt idx="6">
                  <c:v>Amazon</c:v>
                </c:pt>
                <c:pt idx="7">
                  <c:v>Quebecor</c:v>
                </c:pt>
                <c:pt idx="8">
                  <c:v>Netflix</c:v>
                </c:pt>
                <c:pt idx="9">
                  <c:v>Apple</c:v>
                </c:pt>
                <c:pt idx="10">
                  <c:v>Microsoft</c:v>
                </c:pt>
              </c:strCache>
            </c:strRef>
          </c:cat>
          <c:val>
            <c:numRef>
              <c:f>'Fig 37 Leading Content Cos'!$C$4:$C$14</c:f>
              <c:numCache>
                <c:formatCode>General</c:formatCode>
                <c:ptCount val="11"/>
                <c:pt idx="1">
                  <c:v>2160.232</c:v>
                </c:pt>
                <c:pt idx="3">
                  <c:v>1522.6179999999999</c:v>
                </c:pt>
                <c:pt idx="4">
                  <c:v>1137.77</c:v>
                </c:pt>
                <c:pt idx="7">
                  <c:v>799.2</c:v>
                </c:pt>
              </c:numCache>
            </c:numRef>
          </c:val>
          <c:extLst>
            <c:ext xmlns:c16="http://schemas.microsoft.com/office/drawing/2014/chart" uri="{C3380CC4-5D6E-409C-BE32-E72D297353CC}">
              <c16:uniqueId val="{00000000-1D7D-4DD1-907E-381FE0985446}"/>
            </c:ext>
          </c:extLst>
        </c:ser>
        <c:ser>
          <c:idx val="1"/>
          <c:order val="1"/>
          <c:tx>
            <c:strRef>
              <c:f>'Fig 37 Leading Content Cos'!$F$3</c:f>
              <c:strCache>
                <c:ptCount val="1"/>
                <c:pt idx="0">
                  <c:v>Online Video Services</c:v>
                </c:pt>
              </c:strCache>
            </c:strRef>
          </c:tx>
          <c:spPr>
            <a:solidFill>
              <a:schemeClr val="accent2"/>
            </a:solidFill>
            <a:ln>
              <a:noFill/>
            </a:ln>
            <a:effectLst/>
          </c:spPr>
          <c:invertIfNegative val="0"/>
          <c:cat>
            <c:strRef>
              <c:f>'Fig 37 Leading Content Cos'!$A$4:$A$14</c:f>
              <c:strCache>
                <c:ptCount val="11"/>
                <c:pt idx="0">
                  <c:v>Google</c:v>
                </c:pt>
                <c:pt idx="1">
                  <c:v>Bell</c:v>
                </c:pt>
                <c:pt idx="2">
                  <c:v>Facebook</c:v>
                </c:pt>
                <c:pt idx="3">
                  <c:v>Shaw</c:v>
                </c:pt>
                <c:pt idx="4">
                  <c:v>Rogers</c:v>
                </c:pt>
                <c:pt idx="5">
                  <c:v>CBC</c:v>
                </c:pt>
                <c:pt idx="6">
                  <c:v>Amazon</c:v>
                </c:pt>
                <c:pt idx="7">
                  <c:v>Quebecor</c:v>
                </c:pt>
                <c:pt idx="8">
                  <c:v>Netflix</c:v>
                </c:pt>
                <c:pt idx="9">
                  <c:v>Apple</c:v>
                </c:pt>
                <c:pt idx="10">
                  <c:v>Microsoft</c:v>
                </c:pt>
              </c:strCache>
            </c:strRef>
          </c:cat>
          <c:val>
            <c:numRef>
              <c:f>'Fig 37 Leading Content Cos'!$F$4:$F$14</c:f>
              <c:numCache>
                <c:formatCode>General</c:formatCode>
                <c:ptCount val="11"/>
                <c:pt idx="0">
                  <c:v>165.61999999999989</c:v>
                </c:pt>
                <c:pt idx="1">
                  <c:v>608.55999999999995</c:v>
                </c:pt>
                <c:pt idx="3">
                  <c:v>103.28800000000001</c:v>
                </c:pt>
                <c:pt idx="4">
                  <c:v>334.95</c:v>
                </c:pt>
                <c:pt idx="5">
                  <c:v>23.84</c:v>
                </c:pt>
                <c:pt idx="6">
                  <c:v>17.95</c:v>
                </c:pt>
                <c:pt idx="7">
                  <c:v>63.31</c:v>
                </c:pt>
                <c:pt idx="8">
                  <c:v>1456.89</c:v>
                </c:pt>
                <c:pt idx="9">
                  <c:v>212.35000000000002</c:v>
                </c:pt>
              </c:numCache>
            </c:numRef>
          </c:val>
          <c:extLst>
            <c:ext xmlns:c16="http://schemas.microsoft.com/office/drawing/2014/chart" uri="{C3380CC4-5D6E-409C-BE32-E72D297353CC}">
              <c16:uniqueId val="{00000001-1D7D-4DD1-907E-381FE0985446}"/>
            </c:ext>
          </c:extLst>
        </c:ser>
        <c:ser>
          <c:idx val="2"/>
          <c:order val="2"/>
          <c:tx>
            <c:strRef>
              <c:f>'Fig 37 Leading Content Cos'!$D$3</c:f>
              <c:strCache>
                <c:ptCount val="1"/>
                <c:pt idx="0">
                  <c:v>Broadcast TV</c:v>
                </c:pt>
              </c:strCache>
            </c:strRef>
          </c:tx>
          <c:spPr>
            <a:solidFill>
              <a:schemeClr val="accent3"/>
            </a:solidFill>
            <a:ln>
              <a:noFill/>
            </a:ln>
            <a:effectLst/>
          </c:spPr>
          <c:invertIfNegative val="0"/>
          <c:cat>
            <c:strRef>
              <c:f>'Fig 37 Leading Content Cos'!$A$4:$A$14</c:f>
              <c:strCache>
                <c:ptCount val="11"/>
                <c:pt idx="0">
                  <c:v>Google</c:v>
                </c:pt>
                <c:pt idx="1">
                  <c:v>Bell</c:v>
                </c:pt>
                <c:pt idx="2">
                  <c:v>Facebook</c:v>
                </c:pt>
                <c:pt idx="3">
                  <c:v>Shaw</c:v>
                </c:pt>
                <c:pt idx="4">
                  <c:v>Rogers</c:v>
                </c:pt>
                <c:pt idx="5">
                  <c:v>CBC</c:v>
                </c:pt>
                <c:pt idx="6">
                  <c:v>Amazon</c:v>
                </c:pt>
                <c:pt idx="7">
                  <c:v>Quebecor</c:v>
                </c:pt>
                <c:pt idx="8">
                  <c:v>Netflix</c:v>
                </c:pt>
                <c:pt idx="9">
                  <c:v>Apple</c:v>
                </c:pt>
                <c:pt idx="10">
                  <c:v>Microsoft</c:v>
                </c:pt>
              </c:strCache>
            </c:strRef>
          </c:cat>
          <c:val>
            <c:numRef>
              <c:f>'Fig 37 Leading Content Cos'!$D$4:$D$14</c:f>
              <c:numCache>
                <c:formatCode>General</c:formatCode>
                <c:ptCount val="11"/>
                <c:pt idx="1">
                  <c:v>612.28</c:v>
                </c:pt>
                <c:pt idx="3">
                  <c:v>324.89999999999998</c:v>
                </c:pt>
                <c:pt idx="4">
                  <c:v>204.99</c:v>
                </c:pt>
                <c:pt idx="5">
                  <c:v>1083.77</c:v>
                </c:pt>
                <c:pt idx="7">
                  <c:v>196.27</c:v>
                </c:pt>
              </c:numCache>
            </c:numRef>
          </c:val>
          <c:extLst>
            <c:ext xmlns:c16="http://schemas.microsoft.com/office/drawing/2014/chart" uri="{C3380CC4-5D6E-409C-BE32-E72D297353CC}">
              <c16:uniqueId val="{00000002-1D7D-4DD1-907E-381FE0985446}"/>
            </c:ext>
          </c:extLst>
        </c:ser>
        <c:ser>
          <c:idx val="3"/>
          <c:order val="3"/>
          <c:tx>
            <c:strRef>
              <c:f>'Fig 37 Leading Content Cos'!$E$3</c:f>
              <c:strCache>
                <c:ptCount val="1"/>
                <c:pt idx="0">
                  <c:v>Pay TV Programming Services</c:v>
                </c:pt>
              </c:strCache>
            </c:strRef>
          </c:tx>
          <c:spPr>
            <a:solidFill>
              <a:schemeClr val="accent4"/>
            </a:solidFill>
            <a:ln>
              <a:noFill/>
            </a:ln>
            <a:effectLst/>
          </c:spPr>
          <c:invertIfNegative val="0"/>
          <c:cat>
            <c:strRef>
              <c:f>'Fig 37 Leading Content Cos'!$A$4:$A$14</c:f>
              <c:strCache>
                <c:ptCount val="11"/>
                <c:pt idx="0">
                  <c:v>Google</c:v>
                </c:pt>
                <c:pt idx="1">
                  <c:v>Bell</c:v>
                </c:pt>
                <c:pt idx="2">
                  <c:v>Facebook</c:v>
                </c:pt>
                <c:pt idx="3">
                  <c:v>Shaw</c:v>
                </c:pt>
                <c:pt idx="4">
                  <c:v>Rogers</c:v>
                </c:pt>
                <c:pt idx="5">
                  <c:v>CBC</c:v>
                </c:pt>
                <c:pt idx="6">
                  <c:v>Amazon</c:v>
                </c:pt>
                <c:pt idx="7">
                  <c:v>Quebecor</c:v>
                </c:pt>
                <c:pt idx="8">
                  <c:v>Netflix</c:v>
                </c:pt>
                <c:pt idx="9">
                  <c:v>Apple</c:v>
                </c:pt>
                <c:pt idx="10">
                  <c:v>Microsoft</c:v>
                </c:pt>
              </c:strCache>
            </c:strRef>
          </c:cat>
          <c:val>
            <c:numRef>
              <c:f>'Fig 37 Leading Content Cos'!$E$4:$E$14</c:f>
              <c:numCache>
                <c:formatCode>General</c:formatCode>
                <c:ptCount val="11"/>
                <c:pt idx="1">
                  <c:v>1462.48</c:v>
                </c:pt>
                <c:pt idx="3">
                  <c:v>671.36</c:v>
                </c:pt>
                <c:pt idx="4">
                  <c:v>890.6</c:v>
                </c:pt>
                <c:pt idx="5">
                  <c:v>158.1</c:v>
                </c:pt>
                <c:pt idx="7">
                  <c:v>214.64</c:v>
                </c:pt>
              </c:numCache>
            </c:numRef>
          </c:val>
          <c:extLst>
            <c:ext xmlns:c16="http://schemas.microsoft.com/office/drawing/2014/chart" uri="{C3380CC4-5D6E-409C-BE32-E72D297353CC}">
              <c16:uniqueId val="{00000003-1D7D-4DD1-907E-381FE0985446}"/>
            </c:ext>
          </c:extLst>
        </c:ser>
        <c:ser>
          <c:idx val="4"/>
          <c:order val="4"/>
          <c:tx>
            <c:strRef>
              <c:f>'Fig 37 Leading Content Cos'!$I$3</c:f>
              <c:strCache>
                <c:ptCount val="1"/>
                <c:pt idx="0">
                  <c:v>Music Services</c:v>
                </c:pt>
              </c:strCache>
            </c:strRef>
          </c:tx>
          <c:spPr>
            <a:solidFill>
              <a:schemeClr val="accent5"/>
            </a:solidFill>
            <a:ln>
              <a:noFill/>
            </a:ln>
            <a:effectLst/>
          </c:spPr>
          <c:invertIfNegative val="0"/>
          <c:cat>
            <c:strRef>
              <c:f>'Fig 37 Leading Content Cos'!$A$4:$A$14</c:f>
              <c:strCache>
                <c:ptCount val="11"/>
                <c:pt idx="0">
                  <c:v>Google</c:v>
                </c:pt>
                <c:pt idx="1">
                  <c:v>Bell</c:v>
                </c:pt>
                <c:pt idx="2">
                  <c:v>Facebook</c:v>
                </c:pt>
                <c:pt idx="3">
                  <c:v>Shaw</c:v>
                </c:pt>
                <c:pt idx="4">
                  <c:v>Rogers</c:v>
                </c:pt>
                <c:pt idx="5">
                  <c:v>CBC</c:v>
                </c:pt>
                <c:pt idx="6">
                  <c:v>Amazon</c:v>
                </c:pt>
                <c:pt idx="7">
                  <c:v>Quebecor</c:v>
                </c:pt>
                <c:pt idx="8">
                  <c:v>Netflix</c:v>
                </c:pt>
                <c:pt idx="9">
                  <c:v>Apple</c:v>
                </c:pt>
                <c:pt idx="10">
                  <c:v>Microsoft</c:v>
                </c:pt>
              </c:strCache>
            </c:strRef>
          </c:cat>
          <c:val>
            <c:numRef>
              <c:f>'Fig 37 Leading Content Cos'!$I$4:$I$14</c:f>
              <c:numCache>
                <c:formatCode>General</c:formatCode>
                <c:ptCount val="11"/>
                <c:pt idx="0">
                  <c:v>247.82</c:v>
                </c:pt>
                <c:pt idx="6">
                  <c:v>147.77000000000001</c:v>
                </c:pt>
                <c:pt idx="9">
                  <c:v>227.79</c:v>
                </c:pt>
              </c:numCache>
            </c:numRef>
          </c:val>
          <c:extLst>
            <c:ext xmlns:c16="http://schemas.microsoft.com/office/drawing/2014/chart" uri="{C3380CC4-5D6E-409C-BE32-E72D297353CC}">
              <c16:uniqueId val="{00000004-1D7D-4DD1-907E-381FE0985446}"/>
            </c:ext>
          </c:extLst>
        </c:ser>
        <c:ser>
          <c:idx val="5"/>
          <c:order val="5"/>
          <c:tx>
            <c:strRef>
              <c:f>'Fig 37 Leading Content Cos'!$J$3</c:f>
              <c:strCache>
                <c:ptCount val="1"/>
                <c:pt idx="0">
                  <c:v>Newspapers</c:v>
                </c:pt>
              </c:strCache>
            </c:strRef>
          </c:tx>
          <c:spPr>
            <a:solidFill>
              <a:schemeClr val="accent6"/>
            </a:solidFill>
            <a:ln>
              <a:noFill/>
            </a:ln>
            <a:effectLst/>
          </c:spPr>
          <c:invertIfNegative val="0"/>
          <c:cat>
            <c:strRef>
              <c:f>'Fig 37 Leading Content Cos'!$A$4:$A$14</c:f>
              <c:strCache>
                <c:ptCount val="11"/>
                <c:pt idx="0">
                  <c:v>Google</c:v>
                </c:pt>
                <c:pt idx="1">
                  <c:v>Bell</c:v>
                </c:pt>
                <c:pt idx="2">
                  <c:v>Facebook</c:v>
                </c:pt>
                <c:pt idx="3">
                  <c:v>Shaw</c:v>
                </c:pt>
                <c:pt idx="4">
                  <c:v>Rogers</c:v>
                </c:pt>
                <c:pt idx="5">
                  <c:v>CBC</c:v>
                </c:pt>
                <c:pt idx="6">
                  <c:v>Amazon</c:v>
                </c:pt>
                <c:pt idx="7">
                  <c:v>Quebecor</c:v>
                </c:pt>
                <c:pt idx="8">
                  <c:v>Netflix</c:v>
                </c:pt>
                <c:pt idx="9">
                  <c:v>Apple</c:v>
                </c:pt>
                <c:pt idx="10">
                  <c:v>Microsoft</c:v>
                </c:pt>
              </c:strCache>
            </c:strRef>
          </c:cat>
          <c:val>
            <c:numRef>
              <c:f>'Fig 37 Leading Content Cos'!$J$4:$J$14</c:f>
              <c:numCache>
                <c:formatCode>General</c:formatCode>
                <c:ptCount val="11"/>
                <c:pt idx="7">
                  <c:v>172.324938</c:v>
                </c:pt>
              </c:numCache>
            </c:numRef>
          </c:val>
          <c:extLst>
            <c:ext xmlns:c16="http://schemas.microsoft.com/office/drawing/2014/chart" uri="{C3380CC4-5D6E-409C-BE32-E72D297353CC}">
              <c16:uniqueId val="{00000005-1D7D-4DD1-907E-381FE0985446}"/>
            </c:ext>
          </c:extLst>
        </c:ser>
        <c:ser>
          <c:idx val="6"/>
          <c:order val="6"/>
          <c:tx>
            <c:strRef>
              <c:f>'Fig 37 Leading Content Cos'!$H$3</c:f>
              <c:strCache>
                <c:ptCount val="1"/>
                <c:pt idx="0">
                  <c:v>Broadcast Radio</c:v>
                </c:pt>
              </c:strCache>
            </c:strRef>
          </c:tx>
          <c:spPr>
            <a:solidFill>
              <a:schemeClr val="accent1">
                <a:lumMod val="60000"/>
              </a:schemeClr>
            </a:solidFill>
            <a:ln>
              <a:noFill/>
            </a:ln>
            <a:effectLst/>
          </c:spPr>
          <c:invertIfNegative val="0"/>
          <c:cat>
            <c:strRef>
              <c:f>'Fig 37 Leading Content Cos'!$A$4:$A$14</c:f>
              <c:strCache>
                <c:ptCount val="11"/>
                <c:pt idx="0">
                  <c:v>Google</c:v>
                </c:pt>
                <c:pt idx="1">
                  <c:v>Bell</c:v>
                </c:pt>
                <c:pt idx="2">
                  <c:v>Facebook</c:v>
                </c:pt>
                <c:pt idx="3">
                  <c:v>Shaw</c:v>
                </c:pt>
                <c:pt idx="4">
                  <c:v>Rogers</c:v>
                </c:pt>
                <c:pt idx="5">
                  <c:v>CBC</c:v>
                </c:pt>
                <c:pt idx="6">
                  <c:v>Amazon</c:v>
                </c:pt>
                <c:pt idx="7">
                  <c:v>Quebecor</c:v>
                </c:pt>
                <c:pt idx="8">
                  <c:v>Netflix</c:v>
                </c:pt>
                <c:pt idx="9">
                  <c:v>Apple</c:v>
                </c:pt>
                <c:pt idx="10">
                  <c:v>Microsoft</c:v>
                </c:pt>
              </c:strCache>
            </c:strRef>
          </c:cat>
          <c:val>
            <c:numRef>
              <c:f>'Fig 37 Leading Content Cos'!$H$4:$H$14</c:f>
              <c:numCache>
                <c:formatCode>General</c:formatCode>
                <c:ptCount val="11"/>
                <c:pt idx="1">
                  <c:v>226.702</c:v>
                </c:pt>
                <c:pt idx="3">
                  <c:v>79.099999999999994</c:v>
                </c:pt>
                <c:pt idx="4">
                  <c:v>136.5</c:v>
                </c:pt>
                <c:pt idx="5">
                  <c:v>358.4</c:v>
                </c:pt>
              </c:numCache>
            </c:numRef>
          </c:val>
          <c:extLst>
            <c:ext xmlns:c16="http://schemas.microsoft.com/office/drawing/2014/chart" uri="{C3380CC4-5D6E-409C-BE32-E72D297353CC}">
              <c16:uniqueId val="{00000006-1D7D-4DD1-907E-381FE0985446}"/>
            </c:ext>
          </c:extLst>
        </c:ser>
        <c:ser>
          <c:idx val="7"/>
          <c:order val="7"/>
          <c:tx>
            <c:strRef>
              <c:f>'Fig 37 Leading Content Cos'!$G$3</c:f>
              <c:strCache>
                <c:ptCount val="1"/>
                <c:pt idx="0">
                  <c:v>Digital Games</c:v>
                </c:pt>
              </c:strCache>
            </c:strRef>
          </c:tx>
          <c:spPr>
            <a:solidFill>
              <a:schemeClr val="accent2">
                <a:lumMod val="60000"/>
              </a:schemeClr>
            </a:solidFill>
            <a:ln>
              <a:noFill/>
            </a:ln>
            <a:effectLst/>
          </c:spPr>
          <c:invertIfNegative val="0"/>
          <c:cat>
            <c:strRef>
              <c:f>'Fig 37 Leading Content Cos'!$A$4:$A$14</c:f>
              <c:strCache>
                <c:ptCount val="11"/>
                <c:pt idx="0">
                  <c:v>Google</c:v>
                </c:pt>
                <c:pt idx="1">
                  <c:v>Bell</c:v>
                </c:pt>
                <c:pt idx="2">
                  <c:v>Facebook</c:v>
                </c:pt>
                <c:pt idx="3">
                  <c:v>Shaw</c:v>
                </c:pt>
                <c:pt idx="4">
                  <c:v>Rogers</c:v>
                </c:pt>
                <c:pt idx="5">
                  <c:v>CBC</c:v>
                </c:pt>
                <c:pt idx="6">
                  <c:v>Amazon</c:v>
                </c:pt>
                <c:pt idx="7">
                  <c:v>Quebecor</c:v>
                </c:pt>
                <c:pt idx="8">
                  <c:v>Netflix</c:v>
                </c:pt>
                <c:pt idx="9">
                  <c:v>Apple</c:v>
                </c:pt>
                <c:pt idx="10">
                  <c:v>Microsoft</c:v>
                </c:pt>
              </c:strCache>
            </c:strRef>
          </c:cat>
          <c:val>
            <c:numRef>
              <c:f>'Fig 37 Leading Content Cos'!$G$4:$G$14</c:f>
              <c:numCache>
                <c:formatCode>General</c:formatCode>
                <c:ptCount val="11"/>
                <c:pt idx="0">
                  <c:v>264.52</c:v>
                </c:pt>
                <c:pt idx="9">
                  <c:v>542.79</c:v>
                </c:pt>
                <c:pt idx="10">
                  <c:v>564.14</c:v>
                </c:pt>
              </c:numCache>
            </c:numRef>
          </c:val>
          <c:extLst>
            <c:ext xmlns:c16="http://schemas.microsoft.com/office/drawing/2014/chart" uri="{C3380CC4-5D6E-409C-BE32-E72D297353CC}">
              <c16:uniqueId val="{00000007-1D7D-4DD1-907E-381FE0985446}"/>
            </c:ext>
          </c:extLst>
        </c:ser>
        <c:ser>
          <c:idx val="8"/>
          <c:order val="8"/>
          <c:tx>
            <c:strRef>
              <c:f>'Fig 37 Leading Content Cos'!$K$3</c:f>
              <c:strCache>
                <c:ptCount val="1"/>
                <c:pt idx="0">
                  <c:v>Magazines</c:v>
                </c:pt>
              </c:strCache>
            </c:strRef>
          </c:tx>
          <c:spPr>
            <a:solidFill>
              <a:schemeClr val="accent3">
                <a:lumMod val="60000"/>
              </a:schemeClr>
            </a:solidFill>
            <a:ln>
              <a:noFill/>
            </a:ln>
            <a:effectLst/>
          </c:spPr>
          <c:invertIfNegative val="0"/>
          <c:cat>
            <c:strRef>
              <c:f>'Fig 37 Leading Content Cos'!$A$4:$A$14</c:f>
              <c:strCache>
                <c:ptCount val="11"/>
                <c:pt idx="0">
                  <c:v>Google</c:v>
                </c:pt>
                <c:pt idx="1">
                  <c:v>Bell</c:v>
                </c:pt>
                <c:pt idx="2">
                  <c:v>Facebook</c:v>
                </c:pt>
                <c:pt idx="3">
                  <c:v>Shaw</c:v>
                </c:pt>
                <c:pt idx="4">
                  <c:v>Rogers</c:v>
                </c:pt>
                <c:pt idx="5">
                  <c:v>CBC</c:v>
                </c:pt>
                <c:pt idx="6">
                  <c:v>Amazon</c:v>
                </c:pt>
                <c:pt idx="7">
                  <c:v>Quebecor</c:v>
                </c:pt>
                <c:pt idx="8">
                  <c:v>Netflix</c:v>
                </c:pt>
                <c:pt idx="9">
                  <c:v>Apple</c:v>
                </c:pt>
                <c:pt idx="10">
                  <c:v>Microsoft</c:v>
                </c:pt>
              </c:strCache>
            </c:strRef>
          </c:cat>
          <c:val>
            <c:numRef>
              <c:f>'Fig 37 Leading Content Cos'!$K$4:$K$14</c:f>
              <c:numCache>
                <c:formatCode>General</c:formatCode>
                <c:ptCount val="11"/>
                <c:pt idx="1">
                  <c:v>4.8644145711540006</c:v>
                </c:pt>
                <c:pt idx="7">
                  <c:v>40.549999999999997</c:v>
                </c:pt>
              </c:numCache>
            </c:numRef>
          </c:val>
          <c:extLst>
            <c:ext xmlns:c16="http://schemas.microsoft.com/office/drawing/2014/chart" uri="{C3380CC4-5D6E-409C-BE32-E72D297353CC}">
              <c16:uniqueId val="{00000008-1D7D-4DD1-907E-381FE0985446}"/>
            </c:ext>
          </c:extLst>
        </c:ser>
        <c:ser>
          <c:idx val="9"/>
          <c:order val="9"/>
          <c:tx>
            <c:strRef>
              <c:f>'Fig 31 GAFAM$'!#REF!</c:f>
              <c:strCache>
                <c:ptCount val="1"/>
                <c:pt idx="0">
                  <c:v>#REF!</c:v>
                </c:pt>
              </c:strCache>
            </c:strRef>
          </c:tx>
          <c:spPr>
            <a:solidFill>
              <a:schemeClr val="accent4">
                <a:lumMod val="60000"/>
              </a:schemeClr>
            </a:solidFill>
            <a:ln>
              <a:noFill/>
            </a:ln>
            <a:effectLst/>
          </c:spPr>
          <c:invertIfNegative val="0"/>
          <c:cat>
            <c:strRef>
              <c:f>'Fig 37 Leading Content Cos'!$A$4:$A$14</c:f>
              <c:strCache>
                <c:ptCount val="11"/>
                <c:pt idx="0">
                  <c:v>Google</c:v>
                </c:pt>
                <c:pt idx="1">
                  <c:v>Bell</c:v>
                </c:pt>
                <c:pt idx="2">
                  <c:v>Facebook</c:v>
                </c:pt>
                <c:pt idx="3">
                  <c:v>Shaw</c:v>
                </c:pt>
                <c:pt idx="4">
                  <c:v>Rogers</c:v>
                </c:pt>
                <c:pt idx="5">
                  <c:v>CBC</c:v>
                </c:pt>
                <c:pt idx="6">
                  <c:v>Amazon</c:v>
                </c:pt>
                <c:pt idx="7">
                  <c:v>Quebecor</c:v>
                </c:pt>
                <c:pt idx="8">
                  <c:v>Netflix</c:v>
                </c:pt>
                <c:pt idx="9">
                  <c:v>Apple</c:v>
                </c:pt>
                <c:pt idx="10">
                  <c:v>Microsoft</c:v>
                </c:pt>
              </c:strCache>
            </c:strRef>
          </c:cat>
          <c:val>
            <c:numRef>
              <c:f>'Fig 31 GAFAM$'!#REF!</c:f>
              <c:numCache>
                <c:formatCode>General</c:formatCode>
                <c:ptCount val="1"/>
                <c:pt idx="0">
                  <c:v>1</c:v>
                </c:pt>
              </c:numCache>
            </c:numRef>
          </c:val>
          <c:extLst>
            <c:ext xmlns:c16="http://schemas.microsoft.com/office/drawing/2014/chart" uri="{C3380CC4-5D6E-409C-BE32-E72D297353CC}">
              <c16:uniqueId val="{00000009-1D7D-4DD1-907E-381FE0985446}"/>
            </c:ext>
          </c:extLst>
        </c:ser>
        <c:dLbls>
          <c:showLegendKey val="0"/>
          <c:showVal val="0"/>
          <c:showCatName val="0"/>
          <c:showSerName val="0"/>
          <c:showPercent val="0"/>
          <c:showBubbleSize val="0"/>
        </c:dLbls>
        <c:gapWidth val="150"/>
        <c:overlap val="100"/>
        <c:axId val="901715408"/>
        <c:axId val="901724560"/>
      </c:barChart>
      <c:catAx>
        <c:axId val="90171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901724560"/>
        <c:crosses val="autoZero"/>
        <c:auto val="1"/>
        <c:lblAlgn val="ctr"/>
        <c:lblOffset val="100"/>
        <c:noMultiLvlLbl val="0"/>
      </c:catAx>
      <c:valAx>
        <c:axId val="901724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901715408"/>
        <c:crosses val="autoZero"/>
        <c:crossBetween val="between"/>
      </c:valAx>
      <c:spPr>
        <a:noFill/>
        <a:ln>
          <a:noFill/>
        </a:ln>
        <a:effectLst/>
      </c:spPr>
    </c:plotArea>
    <c:legend>
      <c:legendPos val="b"/>
      <c:layout>
        <c:manualLayout>
          <c:xMode val="edge"/>
          <c:yMode val="edge"/>
          <c:x val="0"/>
          <c:y val="0.84051267807852026"/>
          <c:w val="1"/>
          <c:h val="0.1429518470734333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15225404900135E-2"/>
          <c:y val="7.9074595196423209E-2"/>
          <c:w val="0.91863933674573905"/>
          <c:h val="0.64305299311526876"/>
        </c:manualLayout>
      </c:layout>
      <c:barChart>
        <c:barDir val="col"/>
        <c:grouping val="stacked"/>
        <c:varyColors val="0"/>
        <c:ser>
          <c:idx val="0"/>
          <c:order val="0"/>
          <c:tx>
            <c:strRef>
              <c:f>'Fig 37 Leading Content Cos'!$B$114</c:f>
              <c:strCache>
                <c:ptCount val="1"/>
                <c:pt idx="0">
                  <c:v>Multichannel Video Distribution (Cable/DBS/IPTV)</c:v>
                </c:pt>
              </c:strCache>
            </c:strRef>
          </c:tx>
          <c:spPr>
            <a:solidFill>
              <a:schemeClr val="accent1"/>
            </a:solidFill>
            <a:ln>
              <a:noFill/>
            </a:ln>
            <a:effectLst/>
          </c:spPr>
          <c:invertIfNegative val="0"/>
          <c:cat>
            <c:strRef>
              <c:f>'Fig 37 Leading Content Cos'!$A$115:$A$134</c:f>
              <c:strCache>
                <c:ptCount val="20"/>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pt idx="19">
                  <c:v>Live Nation</c:v>
                </c:pt>
              </c:strCache>
            </c:strRef>
          </c:cat>
          <c:val>
            <c:numRef>
              <c:f>'Fig 37 Leading Content Cos'!$B$115:$B$134</c:f>
              <c:numCache>
                <c:formatCode>General</c:formatCode>
                <c:ptCount val="20"/>
                <c:pt idx="0">
                  <c:v>2143.0590000000002</c:v>
                </c:pt>
                <c:pt idx="1">
                  <c:v>2124.1</c:v>
                </c:pt>
                <c:pt idx="2">
                  <c:v>1771.6</c:v>
                </c:pt>
                <c:pt idx="3">
                  <c:v>1090</c:v>
                </c:pt>
                <c:pt idx="8">
                  <c:v>631.5</c:v>
                </c:pt>
                <c:pt idx="9">
                  <c:v>496.4</c:v>
                </c:pt>
                <c:pt idx="12">
                  <c:v>332.7</c:v>
                </c:pt>
              </c:numCache>
            </c:numRef>
          </c:val>
          <c:extLst>
            <c:ext xmlns:c16="http://schemas.microsoft.com/office/drawing/2014/chart" uri="{C3380CC4-5D6E-409C-BE32-E72D297353CC}">
              <c16:uniqueId val="{00000000-829D-4DF4-8070-39D67EBA6EEF}"/>
            </c:ext>
          </c:extLst>
        </c:ser>
        <c:ser>
          <c:idx val="1"/>
          <c:order val="1"/>
          <c:tx>
            <c:strRef>
              <c:f>'Fig 37 Leading Content Cos'!$C$114</c:f>
              <c:strCache>
                <c:ptCount val="1"/>
                <c:pt idx="0">
                  <c:v>Broadcast TV</c:v>
                </c:pt>
              </c:strCache>
            </c:strRef>
          </c:tx>
          <c:spPr>
            <a:solidFill>
              <a:schemeClr val="accent2"/>
            </a:solidFill>
            <a:ln>
              <a:noFill/>
            </a:ln>
            <a:effectLst/>
          </c:spPr>
          <c:invertIfNegative val="0"/>
          <c:cat>
            <c:strRef>
              <c:f>'Fig 37 Leading Content Cos'!$A$115:$A$134</c:f>
              <c:strCache>
                <c:ptCount val="20"/>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pt idx="19">
                  <c:v>Live Nation</c:v>
                </c:pt>
              </c:strCache>
            </c:strRef>
          </c:cat>
          <c:val>
            <c:numRef>
              <c:f>'Fig 37 Leading Content Cos'!$C$115:$C$134</c:f>
              <c:numCache>
                <c:formatCode>General</c:formatCode>
                <c:ptCount val="20"/>
                <c:pt idx="0">
                  <c:v>776.1</c:v>
                </c:pt>
                <c:pt idx="1">
                  <c:v>445.57254799999998</c:v>
                </c:pt>
                <c:pt idx="2">
                  <c:v>273.3</c:v>
                </c:pt>
                <c:pt idx="3">
                  <c:v>236.50000000000003</c:v>
                </c:pt>
                <c:pt idx="4">
                  <c:v>1203.8</c:v>
                </c:pt>
              </c:numCache>
            </c:numRef>
          </c:val>
          <c:extLst>
            <c:ext xmlns:c16="http://schemas.microsoft.com/office/drawing/2014/chart" uri="{C3380CC4-5D6E-409C-BE32-E72D297353CC}">
              <c16:uniqueId val="{00000001-829D-4DF4-8070-39D67EBA6EEF}"/>
            </c:ext>
          </c:extLst>
        </c:ser>
        <c:ser>
          <c:idx val="2"/>
          <c:order val="2"/>
          <c:tx>
            <c:strRef>
              <c:f>'Fig 37 Leading Content Cos'!$D$114</c:f>
              <c:strCache>
                <c:ptCount val="1"/>
                <c:pt idx="0">
                  <c:v>Pay TV Programming Services</c:v>
                </c:pt>
              </c:strCache>
            </c:strRef>
          </c:tx>
          <c:spPr>
            <a:solidFill>
              <a:schemeClr val="accent3"/>
            </a:solidFill>
            <a:ln>
              <a:noFill/>
            </a:ln>
            <a:effectLst/>
          </c:spPr>
          <c:invertIfNegative val="0"/>
          <c:cat>
            <c:strRef>
              <c:f>'Fig 37 Leading Content Cos'!$A$115:$A$134</c:f>
              <c:strCache>
                <c:ptCount val="20"/>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pt idx="19">
                  <c:v>Live Nation</c:v>
                </c:pt>
              </c:strCache>
            </c:strRef>
          </c:cat>
          <c:val>
            <c:numRef>
              <c:f>'Fig 37 Leading Content Cos'!$D$115:$D$134</c:f>
              <c:numCache>
                <c:formatCode>General</c:formatCode>
                <c:ptCount val="20"/>
                <c:pt idx="0">
                  <c:v>1412.9</c:v>
                </c:pt>
                <c:pt idx="1">
                  <c:v>1105.8000000000002</c:v>
                </c:pt>
                <c:pt idx="2">
                  <c:v>512.70000000000005</c:v>
                </c:pt>
                <c:pt idx="3">
                  <c:v>158.69999999999999</c:v>
                </c:pt>
                <c:pt idx="4">
                  <c:v>178.2</c:v>
                </c:pt>
                <c:pt idx="8">
                  <c:v>19.7</c:v>
                </c:pt>
              </c:numCache>
            </c:numRef>
          </c:val>
          <c:extLst>
            <c:ext xmlns:c16="http://schemas.microsoft.com/office/drawing/2014/chart" uri="{C3380CC4-5D6E-409C-BE32-E72D297353CC}">
              <c16:uniqueId val="{00000002-829D-4DF4-8070-39D67EBA6EEF}"/>
            </c:ext>
          </c:extLst>
        </c:ser>
        <c:ser>
          <c:idx val="3"/>
          <c:order val="3"/>
          <c:tx>
            <c:strRef>
              <c:f>'Fig 37 Leading Content Cos'!$E$114</c:f>
              <c:strCache>
                <c:ptCount val="1"/>
                <c:pt idx="0">
                  <c:v>Online Video Services</c:v>
                </c:pt>
              </c:strCache>
            </c:strRef>
          </c:tx>
          <c:spPr>
            <a:solidFill>
              <a:schemeClr val="accent4"/>
            </a:solidFill>
            <a:ln>
              <a:noFill/>
            </a:ln>
            <a:effectLst/>
          </c:spPr>
          <c:invertIfNegative val="0"/>
          <c:cat>
            <c:strRef>
              <c:f>'Fig 37 Leading Content Cos'!$A$115:$A$134</c:f>
              <c:strCache>
                <c:ptCount val="20"/>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pt idx="19">
                  <c:v>Live Nation</c:v>
                </c:pt>
              </c:strCache>
            </c:strRef>
          </c:cat>
          <c:val>
            <c:numRef>
              <c:f>'Fig 37 Leading Content Cos'!$E$115:$E$134</c:f>
              <c:numCache>
                <c:formatCode>General</c:formatCode>
                <c:ptCount val="20"/>
                <c:pt idx="5">
                  <c:v>0</c:v>
                </c:pt>
                <c:pt idx="16">
                  <c:v>229.02</c:v>
                </c:pt>
              </c:numCache>
            </c:numRef>
          </c:val>
          <c:extLst>
            <c:ext xmlns:c16="http://schemas.microsoft.com/office/drawing/2014/chart" uri="{C3380CC4-5D6E-409C-BE32-E72D297353CC}">
              <c16:uniqueId val="{00000003-829D-4DF4-8070-39D67EBA6EEF}"/>
            </c:ext>
          </c:extLst>
        </c:ser>
        <c:ser>
          <c:idx val="4"/>
          <c:order val="4"/>
          <c:tx>
            <c:strRef>
              <c:f>'Fig 37 Leading Content Cos'!$F$114</c:f>
              <c:strCache>
                <c:ptCount val="1"/>
                <c:pt idx="0">
                  <c:v>Digital Games</c:v>
                </c:pt>
              </c:strCache>
            </c:strRef>
          </c:tx>
          <c:spPr>
            <a:solidFill>
              <a:schemeClr val="accent5"/>
            </a:solidFill>
            <a:ln>
              <a:noFill/>
            </a:ln>
            <a:effectLst/>
          </c:spPr>
          <c:invertIfNegative val="0"/>
          <c:cat>
            <c:strRef>
              <c:f>'Fig 37 Leading Content Cos'!$A$115:$A$134</c:f>
              <c:strCache>
                <c:ptCount val="20"/>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pt idx="19">
                  <c:v>Live Nation</c:v>
                </c:pt>
              </c:strCache>
            </c:strRef>
          </c:cat>
          <c:val>
            <c:numRef>
              <c:f>'Fig 37 Leading Content Cos'!$F$115:$F$134</c:f>
              <c:numCache>
                <c:formatCode>General</c:formatCode>
                <c:ptCount val="20"/>
                <c:pt idx="5">
                  <c:v>17.739999999999998</c:v>
                </c:pt>
                <c:pt idx="18">
                  <c:v>210.05</c:v>
                </c:pt>
              </c:numCache>
            </c:numRef>
          </c:val>
          <c:extLst>
            <c:ext xmlns:c16="http://schemas.microsoft.com/office/drawing/2014/chart" uri="{C3380CC4-5D6E-409C-BE32-E72D297353CC}">
              <c16:uniqueId val="{00000004-829D-4DF4-8070-39D67EBA6EEF}"/>
            </c:ext>
          </c:extLst>
        </c:ser>
        <c:ser>
          <c:idx val="5"/>
          <c:order val="5"/>
          <c:tx>
            <c:strRef>
              <c:f>'Fig 37 Leading Content Cos'!$G$114</c:f>
              <c:strCache>
                <c:ptCount val="1"/>
                <c:pt idx="0">
                  <c:v>Broadcast Radio</c:v>
                </c:pt>
              </c:strCache>
            </c:strRef>
          </c:tx>
          <c:spPr>
            <a:solidFill>
              <a:schemeClr val="accent6"/>
            </a:solidFill>
            <a:ln>
              <a:noFill/>
            </a:ln>
            <a:effectLst/>
          </c:spPr>
          <c:invertIfNegative val="0"/>
          <c:cat>
            <c:strRef>
              <c:f>'Fig 37 Leading Content Cos'!$A$115:$A$134</c:f>
              <c:strCache>
                <c:ptCount val="20"/>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pt idx="19">
                  <c:v>Live Nation</c:v>
                </c:pt>
              </c:strCache>
            </c:strRef>
          </c:cat>
          <c:val>
            <c:numRef>
              <c:f>'Fig 37 Leading Content Cos'!$G$115:$G$134</c:f>
              <c:numCache>
                <c:formatCode>General</c:formatCode>
                <c:ptCount val="20"/>
                <c:pt idx="0">
                  <c:v>422.7</c:v>
                </c:pt>
                <c:pt idx="1">
                  <c:v>183.7</c:v>
                </c:pt>
                <c:pt idx="2">
                  <c:v>224.5</c:v>
                </c:pt>
                <c:pt idx="4">
                  <c:v>309.5</c:v>
                </c:pt>
                <c:pt idx="8">
                  <c:v>94.7</c:v>
                </c:pt>
                <c:pt idx="15">
                  <c:v>232.35</c:v>
                </c:pt>
              </c:numCache>
            </c:numRef>
          </c:val>
          <c:extLst>
            <c:ext xmlns:c16="http://schemas.microsoft.com/office/drawing/2014/chart" uri="{C3380CC4-5D6E-409C-BE32-E72D297353CC}">
              <c16:uniqueId val="{00000005-829D-4DF4-8070-39D67EBA6EEF}"/>
            </c:ext>
          </c:extLst>
        </c:ser>
        <c:ser>
          <c:idx val="6"/>
          <c:order val="6"/>
          <c:tx>
            <c:strRef>
              <c:f>'Fig 37 Leading Content Cos'!$H$114</c:f>
              <c:strCache>
                <c:ptCount val="1"/>
                <c:pt idx="0">
                  <c:v>Music Services</c:v>
                </c:pt>
              </c:strCache>
            </c:strRef>
          </c:tx>
          <c:spPr>
            <a:solidFill>
              <a:schemeClr val="accent1">
                <a:lumMod val="60000"/>
              </a:schemeClr>
            </a:solidFill>
            <a:ln>
              <a:noFill/>
            </a:ln>
            <a:effectLst/>
          </c:spPr>
          <c:invertIfNegative val="0"/>
          <c:cat>
            <c:strRef>
              <c:f>'Fig 37 Leading Content Cos'!$A$115:$A$134</c:f>
              <c:strCache>
                <c:ptCount val="20"/>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pt idx="19">
                  <c:v>Live Nation</c:v>
                </c:pt>
              </c:strCache>
            </c:strRef>
          </c:cat>
          <c:val>
            <c:numRef>
              <c:f>'Fig 37 Leading Content Cos'!$H$115:$H$134</c:f>
              <c:numCache>
                <c:formatCode>General</c:formatCode>
                <c:ptCount val="20"/>
                <c:pt idx="19">
                  <c:v>188.13</c:v>
                </c:pt>
              </c:numCache>
            </c:numRef>
          </c:val>
          <c:extLst>
            <c:ext xmlns:c16="http://schemas.microsoft.com/office/drawing/2014/chart" uri="{C3380CC4-5D6E-409C-BE32-E72D297353CC}">
              <c16:uniqueId val="{00000006-829D-4DF4-8070-39D67EBA6EEF}"/>
            </c:ext>
          </c:extLst>
        </c:ser>
        <c:ser>
          <c:idx val="7"/>
          <c:order val="7"/>
          <c:tx>
            <c:strRef>
              <c:f>'Fig 37 Leading Content Cos'!$I$114</c:f>
              <c:strCache>
                <c:ptCount val="1"/>
                <c:pt idx="0">
                  <c:v>Newspapers</c:v>
                </c:pt>
              </c:strCache>
            </c:strRef>
          </c:tx>
          <c:spPr>
            <a:solidFill>
              <a:schemeClr val="accent2">
                <a:lumMod val="60000"/>
              </a:schemeClr>
            </a:solidFill>
            <a:ln>
              <a:noFill/>
            </a:ln>
            <a:effectLst/>
          </c:spPr>
          <c:invertIfNegative val="0"/>
          <c:cat>
            <c:strRef>
              <c:f>'Fig 37 Leading Content Cos'!$A$115:$A$134</c:f>
              <c:strCache>
                <c:ptCount val="20"/>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pt idx="19">
                  <c:v>Live Nation</c:v>
                </c:pt>
              </c:strCache>
            </c:strRef>
          </c:cat>
          <c:val>
            <c:numRef>
              <c:f>'Fig 37 Leading Content Cos'!$I$115:$I$134</c:f>
              <c:numCache>
                <c:formatCode>General</c:formatCode>
                <c:ptCount val="20"/>
                <c:pt idx="3">
                  <c:v>859.88806396344955</c:v>
                </c:pt>
                <c:pt idx="6">
                  <c:v>930.47047206032653</c:v>
                </c:pt>
                <c:pt idx="7">
                  <c:v>751.6</c:v>
                </c:pt>
                <c:pt idx="10">
                  <c:v>256.17599999999999</c:v>
                </c:pt>
                <c:pt idx="11">
                  <c:v>368.6</c:v>
                </c:pt>
                <c:pt idx="13">
                  <c:v>272.10000000000002</c:v>
                </c:pt>
                <c:pt idx="17">
                  <c:v>218.73713861469898</c:v>
                </c:pt>
              </c:numCache>
            </c:numRef>
          </c:val>
          <c:extLst>
            <c:ext xmlns:c16="http://schemas.microsoft.com/office/drawing/2014/chart" uri="{C3380CC4-5D6E-409C-BE32-E72D297353CC}">
              <c16:uniqueId val="{00000007-829D-4DF4-8070-39D67EBA6EEF}"/>
            </c:ext>
          </c:extLst>
        </c:ser>
        <c:ser>
          <c:idx val="8"/>
          <c:order val="8"/>
          <c:tx>
            <c:strRef>
              <c:f>'Fig 37 Leading Content Cos'!$J$114</c:f>
              <c:strCache>
                <c:ptCount val="1"/>
                <c:pt idx="0">
                  <c:v>Magazines</c:v>
                </c:pt>
              </c:strCache>
            </c:strRef>
          </c:tx>
          <c:spPr>
            <a:solidFill>
              <a:schemeClr val="accent3">
                <a:lumMod val="60000"/>
              </a:schemeClr>
            </a:solidFill>
            <a:ln>
              <a:noFill/>
            </a:ln>
            <a:effectLst/>
          </c:spPr>
          <c:invertIfNegative val="0"/>
          <c:cat>
            <c:strRef>
              <c:f>'Fig 37 Leading Content Cos'!$A$115:$A$134</c:f>
              <c:strCache>
                <c:ptCount val="20"/>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pt idx="19">
                  <c:v>Live Nation</c:v>
                </c:pt>
              </c:strCache>
            </c:strRef>
          </c:cat>
          <c:val>
            <c:numRef>
              <c:f>'Fig 37 Leading Content Cos'!$J$115:$J$134</c:f>
              <c:numCache>
                <c:formatCode>General</c:formatCode>
                <c:ptCount val="20"/>
                <c:pt idx="2">
                  <c:v>238.6</c:v>
                </c:pt>
                <c:pt idx="3">
                  <c:v>67.900000000000006</c:v>
                </c:pt>
                <c:pt idx="7">
                  <c:v>3.4</c:v>
                </c:pt>
                <c:pt idx="10">
                  <c:v>146.4</c:v>
                </c:pt>
                <c:pt idx="13">
                  <c:v>6.7</c:v>
                </c:pt>
              </c:numCache>
            </c:numRef>
          </c:val>
          <c:extLst>
            <c:ext xmlns:c16="http://schemas.microsoft.com/office/drawing/2014/chart" uri="{C3380CC4-5D6E-409C-BE32-E72D297353CC}">
              <c16:uniqueId val="{00000008-829D-4DF4-8070-39D67EBA6EEF}"/>
            </c:ext>
          </c:extLst>
        </c:ser>
        <c:ser>
          <c:idx val="9"/>
          <c:order val="9"/>
          <c:tx>
            <c:strRef>
              <c:f>'Fig 37 Leading Content Cos'!$K$114</c:f>
              <c:strCache>
                <c:ptCount val="1"/>
                <c:pt idx="0">
                  <c:v>Internet Advertising</c:v>
                </c:pt>
              </c:strCache>
            </c:strRef>
          </c:tx>
          <c:spPr>
            <a:solidFill>
              <a:schemeClr val="accent4">
                <a:lumMod val="60000"/>
              </a:schemeClr>
            </a:solidFill>
            <a:ln>
              <a:noFill/>
            </a:ln>
            <a:effectLst/>
          </c:spPr>
          <c:invertIfNegative val="0"/>
          <c:cat>
            <c:strRef>
              <c:f>'Fig 37 Leading Content Cos'!$A$115:$A$134</c:f>
              <c:strCache>
                <c:ptCount val="20"/>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pt idx="19">
                  <c:v>Live Nation</c:v>
                </c:pt>
              </c:strCache>
            </c:strRef>
          </c:cat>
          <c:val>
            <c:numRef>
              <c:f>'Fig 37 Leading Content Cos'!$K$115:$K$134</c:f>
              <c:numCache>
                <c:formatCode>General</c:formatCode>
                <c:ptCount val="20"/>
                <c:pt idx="5">
                  <c:v>1416.06</c:v>
                </c:pt>
                <c:pt idx="14">
                  <c:v>269.39999999999998</c:v>
                </c:pt>
              </c:numCache>
            </c:numRef>
          </c:val>
          <c:extLst>
            <c:ext xmlns:c16="http://schemas.microsoft.com/office/drawing/2014/chart" uri="{C3380CC4-5D6E-409C-BE32-E72D297353CC}">
              <c16:uniqueId val="{00000009-829D-4DF4-8070-39D67EBA6EEF}"/>
            </c:ext>
          </c:extLst>
        </c:ser>
        <c:dLbls>
          <c:showLegendKey val="0"/>
          <c:showVal val="0"/>
          <c:showCatName val="0"/>
          <c:showSerName val="0"/>
          <c:showPercent val="0"/>
          <c:showBubbleSize val="0"/>
        </c:dLbls>
        <c:gapWidth val="150"/>
        <c:overlap val="100"/>
        <c:axId val="899572383"/>
        <c:axId val="899554911"/>
      </c:barChart>
      <c:catAx>
        <c:axId val="89957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54911"/>
        <c:crosses val="autoZero"/>
        <c:auto val="1"/>
        <c:lblAlgn val="ctr"/>
        <c:lblOffset val="100"/>
        <c:noMultiLvlLbl val="0"/>
      </c:catAx>
      <c:valAx>
        <c:axId val="899554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72383"/>
        <c:crosses val="autoZero"/>
        <c:crossBetween val="between"/>
      </c:valAx>
      <c:spPr>
        <a:noFill/>
        <a:ln>
          <a:noFill/>
        </a:ln>
        <a:effectLst/>
      </c:spPr>
    </c:plotArea>
    <c:legend>
      <c:legendPos val="b"/>
      <c:layout>
        <c:manualLayout>
          <c:xMode val="edge"/>
          <c:yMode val="edge"/>
          <c:x val="1.1887434287681985E-2"/>
          <c:y val="0.90799476421840841"/>
          <c:w val="0.98219313479122328"/>
          <c:h val="7.7971125842485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27644655584804E-2"/>
          <c:y val="3.173961378161793E-2"/>
          <c:w val="0.92526262625504307"/>
          <c:h val="0.7567472325594371"/>
        </c:manualLayout>
      </c:layout>
      <c:barChart>
        <c:barDir val="col"/>
        <c:grouping val="stacked"/>
        <c:varyColors val="0"/>
        <c:ser>
          <c:idx val="0"/>
          <c:order val="0"/>
          <c:tx>
            <c:strRef>
              <c:f>'Fig 37 Leading Content Cos'!$B$114</c:f>
              <c:strCache>
                <c:ptCount val="1"/>
                <c:pt idx="0">
                  <c:v>Multichannel Video Distribution (Cable/DBS/IPTV)</c:v>
                </c:pt>
              </c:strCache>
            </c:strRef>
          </c:tx>
          <c:spPr>
            <a:solidFill>
              <a:schemeClr val="accent1"/>
            </a:solidFill>
            <a:ln>
              <a:noFill/>
            </a:ln>
            <a:effectLst/>
          </c:spPr>
          <c:invertIfNegative val="0"/>
          <c:cat>
            <c:strRef>
              <c:f>'Fig 37 Leading Content Cos'!$A$115:$A$124</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 37 Leading Content Cos'!$B$115:$B$124</c:f>
              <c:numCache>
                <c:formatCode>General</c:formatCode>
                <c:ptCount val="10"/>
                <c:pt idx="0">
                  <c:v>2143.0590000000002</c:v>
                </c:pt>
                <c:pt idx="1">
                  <c:v>2124.1</c:v>
                </c:pt>
                <c:pt idx="2">
                  <c:v>1771.6</c:v>
                </c:pt>
                <c:pt idx="3">
                  <c:v>1090</c:v>
                </c:pt>
                <c:pt idx="8">
                  <c:v>631.5</c:v>
                </c:pt>
                <c:pt idx="9">
                  <c:v>496.4</c:v>
                </c:pt>
              </c:numCache>
            </c:numRef>
          </c:val>
          <c:extLst>
            <c:ext xmlns:c16="http://schemas.microsoft.com/office/drawing/2014/chart" uri="{C3380CC4-5D6E-409C-BE32-E72D297353CC}">
              <c16:uniqueId val="{00000000-679A-439E-8DE2-3CDAB9410070}"/>
            </c:ext>
          </c:extLst>
        </c:ser>
        <c:ser>
          <c:idx val="1"/>
          <c:order val="1"/>
          <c:tx>
            <c:strRef>
              <c:f>'Fig 37 Leading Content Cos'!$C$114</c:f>
              <c:strCache>
                <c:ptCount val="1"/>
                <c:pt idx="0">
                  <c:v>Broadcast TV</c:v>
                </c:pt>
              </c:strCache>
            </c:strRef>
          </c:tx>
          <c:spPr>
            <a:solidFill>
              <a:schemeClr val="accent2"/>
            </a:solidFill>
            <a:ln>
              <a:noFill/>
            </a:ln>
            <a:effectLst/>
          </c:spPr>
          <c:invertIfNegative val="0"/>
          <c:cat>
            <c:strRef>
              <c:f>'Fig 37 Leading Content Cos'!$A$115:$A$124</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 37 Leading Content Cos'!$C$115:$C$124</c:f>
              <c:numCache>
                <c:formatCode>General</c:formatCode>
                <c:ptCount val="10"/>
                <c:pt idx="0">
                  <c:v>776.1</c:v>
                </c:pt>
                <c:pt idx="1">
                  <c:v>445.57254799999998</c:v>
                </c:pt>
                <c:pt idx="2">
                  <c:v>273.3</c:v>
                </c:pt>
                <c:pt idx="3">
                  <c:v>236.50000000000003</c:v>
                </c:pt>
                <c:pt idx="4">
                  <c:v>1203.8</c:v>
                </c:pt>
              </c:numCache>
            </c:numRef>
          </c:val>
          <c:extLst>
            <c:ext xmlns:c16="http://schemas.microsoft.com/office/drawing/2014/chart" uri="{C3380CC4-5D6E-409C-BE32-E72D297353CC}">
              <c16:uniqueId val="{00000001-679A-439E-8DE2-3CDAB9410070}"/>
            </c:ext>
          </c:extLst>
        </c:ser>
        <c:ser>
          <c:idx val="2"/>
          <c:order val="2"/>
          <c:tx>
            <c:strRef>
              <c:f>'Fig 37 Leading Content Cos'!$D$114</c:f>
              <c:strCache>
                <c:ptCount val="1"/>
                <c:pt idx="0">
                  <c:v>Pay TV Programming Services</c:v>
                </c:pt>
              </c:strCache>
            </c:strRef>
          </c:tx>
          <c:spPr>
            <a:solidFill>
              <a:schemeClr val="accent3"/>
            </a:solidFill>
            <a:ln>
              <a:noFill/>
            </a:ln>
            <a:effectLst/>
          </c:spPr>
          <c:invertIfNegative val="0"/>
          <c:cat>
            <c:strRef>
              <c:f>'Fig 37 Leading Content Cos'!$A$115:$A$124</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 37 Leading Content Cos'!$D$115:$D$124</c:f>
              <c:numCache>
                <c:formatCode>General</c:formatCode>
                <c:ptCount val="10"/>
                <c:pt idx="0">
                  <c:v>1412.9</c:v>
                </c:pt>
                <c:pt idx="1">
                  <c:v>1105.8000000000002</c:v>
                </c:pt>
                <c:pt idx="2">
                  <c:v>512.70000000000005</c:v>
                </c:pt>
                <c:pt idx="3">
                  <c:v>158.69999999999999</c:v>
                </c:pt>
                <c:pt idx="4">
                  <c:v>178.2</c:v>
                </c:pt>
                <c:pt idx="8">
                  <c:v>19.7</c:v>
                </c:pt>
              </c:numCache>
            </c:numRef>
          </c:val>
          <c:extLst>
            <c:ext xmlns:c16="http://schemas.microsoft.com/office/drawing/2014/chart" uri="{C3380CC4-5D6E-409C-BE32-E72D297353CC}">
              <c16:uniqueId val="{00000002-679A-439E-8DE2-3CDAB9410070}"/>
            </c:ext>
          </c:extLst>
        </c:ser>
        <c:ser>
          <c:idx val="3"/>
          <c:order val="3"/>
          <c:tx>
            <c:strRef>
              <c:f>'Fig 37 Leading Content Cos'!$E$114</c:f>
              <c:strCache>
                <c:ptCount val="1"/>
                <c:pt idx="0">
                  <c:v>Online Video Services</c:v>
                </c:pt>
              </c:strCache>
            </c:strRef>
          </c:tx>
          <c:spPr>
            <a:solidFill>
              <a:schemeClr val="accent4"/>
            </a:solidFill>
            <a:ln>
              <a:noFill/>
            </a:ln>
            <a:effectLst/>
          </c:spPr>
          <c:invertIfNegative val="0"/>
          <c:cat>
            <c:strRef>
              <c:f>'Fig 37 Leading Content Cos'!$A$115:$A$124</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 37 Leading Content Cos'!$E$115:$E$124</c:f>
              <c:numCache>
                <c:formatCode>General</c:formatCode>
                <c:ptCount val="10"/>
                <c:pt idx="5">
                  <c:v>0</c:v>
                </c:pt>
              </c:numCache>
            </c:numRef>
          </c:val>
          <c:extLst>
            <c:ext xmlns:c16="http://schemas.microsoft.com/office/drawing/2014/chart" uri="{C3380CC4-5D6E-409C-BE32-E72D297353CC}">
              <c16:uniqueId val="{00000003-679A-439E-8DE2-3CDAB9410070}"/>
            </c:ext>
          </c:extLst>
        </c:ser>
        <c:ser>
          <c:idx val="4"/>
          <c:order val="4"/>
          <c:tx>
            <c:strRef>
              <c:f>'Fig 37 Leading Content Cos'!$F$114</c:f>
              <c:strCache>
                <c:ptCount val="1"/>
                <c:pt idx="0">
                  <c:v>Digital Games</c:v>
                </c:pt>
              </c:strCache>
            </c:strRef>
          </c:tx>
          <c:spPr>
            <a:solidFill>
              <a:schemeClr val="accent5"/>
            </a:solidFill>
            <a:ln>
              <a:noFill/>
            </a:ln>
            <a:effectLst/>
          </c:spPr>
          <c:invertIfNegative val="0"/>
          <c:cat>
            <c:strRef>
              <c:f>'Fig 37 Leading Content Cos'!$A$115:$A$124</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 37 Leading Content Cos'!$F$115:$F$124</c:f>
              <c:numCache>
                <c:formatCode>General</c:formatCode>
                <c:ptCount val="10"/>
                <c:pt idx="5">
                  <c:v>17.739999999999998</c:v>
                </c:pt>
              </c:numCache>
            </c:numRef>
          </c:val>
          <c:extLst>
            <c:ext xmlns:c16="http://schemas.microsoft.com/office/drawing/2014/chart" uri="{C3380CC4-5D6E-409C-BE32-E72D297353CC}">
              <c16:uniqueId val="{00000004-679A-439E-8DE2-3CDAB9410070}"/>
            </c:ext>
          </c:extLst>
        </c:ser>
        <c:ser>
          <c:idx val="5"/>
          <c:order val="5"/>
          <c:tx>
            <c:strRef>
              <c:f>'Fig 37 Leading Content Cos'!$G$114</c:f>
              <c:strCache>
                <c:ptCount val="1"/>
                <c:pt idx="0">
                  <c:v>Broadcast Radio</c:v>
                </c:pt>
              </c:strCache>
            </c:strRef>
          </c:tx>
          <c:spPr>
            <a:solidFill>
              <a:schemeClr val="accent6"/>
            </a:solidFill>
            <a:ln>
              <a:noFill/>
            </a:ln>
            <a:effectLst/>
          </c:spPr>
          <c:invertIfNegative val="0"/>
          <c:cat>
            <c:strRef>
              <c:f>'Fig 37 Leading Content Cos'!$A$115:$A$124</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 37 Leading Content Cos'!$G$115:$G$124</c:f>
              <c:numCache>
                <c:formatCode>General</c:formatCode>
                <c:ptCount val="10"/>
                <c:pt idx="0">
                  <c:v>422.7</c:v>
                </c:pt>
                <c:pt idx="1">
                  <c:v>183.7</c:v>
                </c:pt>
                <c:pt idx="2">
                  <c:v>224.5</c:v>
                </c:pt>
                <c:pt idx="4">
                  <c:v>309.5</c:v>
                </c:pt>
                <c:pt idx="8">
                  <c:v>94.7</c:v>
                </c:pt>
              </c:numCache>
            </c:numRef>
          </c:val>
          <c:extLst>
            <c:ext xmlns:c16="http://schemas.microsoft.com/office/drawing/2014/chart" uri="{C3380CC4-5D6E-409C-BE32-E72D297353CC}">
              <c16:uniqueId val="{00000005-679A-439E-8DE2-3CDAB9410070}"/>
            </c:ext>
          </c:extLst>
        </c:ser>
        <c:ser>
          <c:idx val="6"/>
          <c:order val="6"/>
          <c:tx>
            <c:strRef>
              <c:f>'Fig 37 Leading Content Cos'!$H$114</c:f>
              <c:strCache>
                <c:ptCount val="1"/>
                <c:pt idx="0">
                  <c:v>Music Services</c:v>
                </c:pt>
              </c:strCache>
            </c:strRef>
          </c:tx>
          <c:spPr>
            <a:solidFill>
              <a:schemeClr val="accent1">
                <a:lumMod val="60000"/>
              </a:schemeClr>
            </a:solidFill>
            <a:ln>
              <a:noFill/>
            </a:ln>
            <a:effectLst/>
          </c:spPr>
          <c:invertIfNegative val="0"/>
          <c:cat>
            <c:strRef>
              <c:f>'Fig 37 Leading Content Cos'!$A$115:$A$124</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 37 Leading Content Cos'!$H$115:$H$124</c:f>
              <c:numCache>
                <c:formatCode>General</c:formatCode>
                <c:ptCount val="10"/>
              </c:numCache>
            </c:numRef>
          </c:val>
          <c:extLst>
            <c:ext xmlns:c16="http://schemas.microsoft.com/office/drawing/2014/chart" uri="{C3380CC4-5D6E-409C-BE32-E72D297353CC}">
              <c16:uniqueId val="{00000006-679A-439E-8DE2-3CDAB9410070}"/>
            </c:ext>
          </c:extLst>
        </c:ser>
        <c:ser>
          <c:idx val="7"/>
          <c:order val="7"/>
          <c:tx>
            <c:strRef>
              <c:f>'Fig 37 Leading Content Cos'!$I$114</c:f>
              <c:strCache>
                <c:ptCount val="1"/>
                <c:pt idx="0">
                  <c:v>Newspapers</c:v>
                </c:pt>
              </c:strCache>
            </c:strRef>
          </c:tx>
          <c:spPr>
            <a:solidFill>
              <a:schemeClr val="accent2">
                <a:lumMod val="60000"/>
              </a:schemeClr>
            </a:solidFill>
            <a:ln>
              <a:noFill/>
            </a:ln>
            <a:effectLst/>
          </c:spPr>
          <c:invertIfNegative val="0"/>
          <c:cat>
            <c:strRef>
              <c:f>'Fig 37 Leading Content Cos'!$A$115:$A$124</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 37 Leading Content Cos'!$I$115:$I$124</c:f>
              <c:numCache>
                <c:formatCode>General</c:formatCode>
                <c:ptCount val="10"/>
                <c:pt idx="3">
                  <c:v>859.88806396344955</c:v>
                </c:pt>
                <c:pt idx="6">
                  <c:v>930.47047206032653</c:v>
                </c:pt>
                <c:pt idx="7">
                  <c:v>751.6</c:v>
                </c:pt>
              </c:numCache>
            </c:numRef>
          </c:val>
          <c:extLst>
            <c:ext xmlns:c16="http://schemas.microsoft.com/office/drawing/2014/chart" uri="{C3380CC4-5D6E-409C-BE32-E72D297353CC}">
              <c16:uniqueId val="{00000007-679A-439E-8DE2-3CDAB9410070}"/>
            </c:ext>
          </c:extLst>
        </c:ser>
        <c:ser>
          <c:idx val="8"/>
          <c:order val="8"/>
          <c:tx>
            <c:strRef>
              <c:f>'Fig 37 Leading Content Cos'!$J$114</c:f>
              <c:strCache>
                <c:ptCount val="1"/>
                <c:pt idx="0">
                  <c:v>Magazines</c:v>
                </c:pt>
              </c:strCache>
            </c:strRef>
          </c:tx>
          <c:spPr>
            <a:solidFill>
              <a:schemeClr val="accent3">
                <a:lumMod val="60000"/>
              </a:schemeClr>
            </a:solidFill>
            <a:ln>
              <a:noFill/>
            </a:ln>
            <a:effectLst/>
          </c:spPr>
          <c:invertIfNegative val="0"/>
          <c:cat>
            <c:strRef>
              <c:f>'Fig 37 Leading Content Cos'!$A$115:$A$124</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 37 Leading Content Cos'!$J$115:$J$124</c:f>
              <c:numCache>
                <c:formatCode>General</c:formatCode>
                <c:ptCount val="10"/>
                <c:pt idx="2">
                  <c:v>238.6</c:v>
                </c:pt>
                <c:pt idx="3">
                  <c:v>67.900000000000006</c:v>
                </c:pt>
                <c:pt idx="7">
                  <c:v>3.4</c:v>
                </c:pt>
              </c:numCache>
            </c:numRef>
          </c:val>
          <c:extLst>
            <c:ext xmlns:c16="http://schemas.microsoft.com/office/drawing/2014/chart" uri="{C3380CC4-5D6E-409C-BE32-E72D297353CC}">
              <c16:uniqueId val="{00000008-679A-439E-8DE2-3CDAB9410070}"/>
            </c:ext>
          </c:extLst>
        </c:ser>
        <c:ser>
          <c:idx val="9"/>
          <c:order val="9"/>
          <c:tx>
            <c:strRef>
              <c:f>'Fig 37 Leading Content Cos'!$K$114</c:f>
              <c:strCache>
                <c:ptCount val="1"/>
                <c:pt idx="0">
                  <c:v>Internet Advertising</c:v>
                </c:pt>
              </c:strCache>
            </c:strRef>
          </c:tx>
          <c:spPr>
            <a:solidFill>
              <a:schemeClr val="accent4">
                <a:lumMod val="60000"/>
              </a:schemeClr>
            </a:solidFill>
            <a:ln>
              <a:noFill/>
            </a:ln>
            <a:effectLst/>
          </c:spPr>
          <c:invertIfNegative val="0"/>
          <c:cat>
            <c:strRef>
              <c:f>'Fig 37 Leading Content Cos'!$A$115:$A$124</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 37 Leading Content Cos'!$K$115:$K$124</c:f>
              <c:numCache>
                <c:formatCode>General</c:formatCode>
                <c:ptCount val="10"/>
                <c:pt idx="5">
                  <c:v>1416.06</c:v>
                </c:pt>
              </c:numCache>
            </c:numRef>
          </c:val>
          <c:extLst>
            <c:ext xmlns:c16="http://schemas.microsoft.com/office/drawing/2014/chart" uri="{C3380CC4-5D6E-409C-BE32-E72D297353CC}">
              <c16:uniqueId val="{00000009-679A-439E-8DE2-3CDAB9410070}"/>
            </c:ext>
          </c:extLst>
        </c:ser>
        <c:dLbls>
          <c:showLegendKey val="0"/>
          <c:showVal val="0"/>
          <c:showCatName val="0"/>
          <c:showSerName val="0"/>
          <c:showPercent val="0"/>
          <c:showBubbleSize val="0"/>
        </c:dLbls>
        <c:gapWidth val="150"/>
        <c:overlap val="100"/>
        <c:axId val="899544511"/>
        <c:axId val="899535359"/>
      </c:barChart>
      <c:catAx>
        <c:axId val="899544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35359"/>
        <c:crosses val="autoZero"/>
        <c:auto val="1"/>
        <c:lblAlgn val="ctr"/>
        <c:lblOffset val="100"/>
        <c:noMultiLvlLbl val="0"/>
      </c:catAx>
      <c:valAx>
        <c:axId val="899535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44511"/>
        <c:crosses val="autoZero"/>
        <c:crossBetween val="between"/>
      </c:valAx>
      <c:spPr>
        <a:noFill/>
        <a:ln>
          <a:noFill/>
        </a:ln>
        <a:effectLst/>
      </c:spPr>
    </c:plotArea>
    <c:legend>
      <c:legendPos val="b"/>
      <c:layout>
        <c:manualLayout>
          <c:xMode val="edge"/>
          <c:yMode val="edge"/>
          <c:x val="1.6429801332345187E-2"/>
          <c:y val="0.87402349239464316"/>
          <c:w val="0.98223317337647797"/>
          <c:h val="0.1259765076053568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726808055286041E-2"/>
          <c:y val="5.0896462677627562E-2"/>
          <c:w val="0.91468578512778742"/>
          <c:h val="0.63434790345620273"/>
        </c:manualLayout>
      </c:layout>
      <c:barChart>
        <c:barDir val="col"/>
        <c:grouping val="stacked"/>
        <c:varyColors val="0"/>
        <c:ser>
          <c:idx val="0"/>
          <c:order val="0"/>
          <c:tx>
            <c:strRef>
              <c:f>'Fig 37 Leading Content Cos'!$B$59</c:f>
              <c:strCache>
                <c:ptCount val="1"/>
                <c:pt idx="0">
                  <c:v>Multichannel Video Distribution (Cable/DBS/IPTV)</c:v>
                </c:pt>
              </c:strCache>
            </c:strRef>
          </c:tx>
          <c:spPr>
            <a:solidFill>
              <a:schemeClr val="accent1"/>
            </a:solidFill>
            <a:ln>
              <a:noFill/>
            </a:ln>
            <a:effectLst/>
          </c:spPr>
          <c:invertIfNegative val="0"/>
          <c:cat>
            <c:strRef>
              <c:f>'Fig 37 Leading Content Cos'!$A$60:$A$79</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 37 Leading Content Cos'!$B$60:$B$79</c:f>
              <c:numCache>
                <c:formatCode>General</c:formatCode>
                <c:ptCount val="20"/>
                <c:pt idx="0">
                  <c:v>2492.5</c:v>
                </c:pt>
                <c:pt idx="2">
                  <c:v>1921.5</c:v>
                </c:pt>
                <c:pt idx="3">
                  <c:v>1501</c:v>
                </c:pt>
                <c:pt idx="4">
                  <c:v>1010</c:v>
                </c:pt>
                <c:pt idx="8">
                  <c:v>769.3</c:v>
                </c:pt>
                <c:pt idx="11">
                  <c:v>495.8</c:v>
                </c:pt>
                <c:pt idx="18">
                  <c:v>283.7</c:v>
                </c:pt>
              </c:numCache>
            </c:numRef>
          </c:val>
          <c:extLst>
            <c:ext xmlns:c16="http://schemas.microsoft.com/office/drawing/2014/chart" uri="{C3380CC4-5D6E-409C-BE32-E72D297353CC}">
              <c16:uniqueId val="{00000000-C4C0-473F-B68E-579C12B913D2}"/>
            </c:ext>
          </c:extLst>
        </c:ser>
        <c:ser>
          <c:idx val="1"/>
          <c:order val="1"/>
          <c:tx>
            <c:strRef>
              <c:f>'Fig 37 Leading Content Cos'!$C$59</c:f>
              <c:strCache>
                <c:ptCount val="1"/>
                <c:pt idx="0">
                  <c:v>Broadcast TV</c:v>
                </c:pt>
              </c:strCache>
            </c:strRef>
          </c:tx>
          <c:spPr>
            <a:solidFill>
              <a:schemeClr val="accent2"/>
            </a:solidFill>
            <a:ln>
              <a:noFill/>
            </a:ln>
            <a:effectLst/>
          </c:spPr>
          <c:invertIfNegative val="0"/>
          <c:cat>
            <c:strRef>
              <c:f>'Fig 37 Leading Content Cos'!$A$60:$A$79</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 37 Leading Content Cos'!$C$60:$C$79</c:f>
              <c:numCache>
                <c:formatCode>General</c:formatCode>
                <c:ptCount val="20"/>
                <c:pt idx="0">
                  <c:v>675.4</c:v>
                </c:pt>
                <c:pt idx="2">
                  <c:v>345.6</c:v>
                </c:pt>
                <c:pt idx="3">
                  <c:v>205.5</c:v>
                </c:pt>
                <c:pt idx="4">
                  <c:v>219.2</c:v>
                </c:pt>
                <c:pt idx="6">
                  <c:v>996.2</c:v>
                </c:pt>
              </c:numCache>
            </c:numRef>
          </c:val>
          <c:extLst>
            <c:ext xmlns:c16="http://schemas.microsoft.com/office/drawing/2014/chart" uri="{C3380CC4-5D6E-409C-BE32-E72D297353CC}">
              <c16:uniqueId val="{00000001-C4C0-473F-B68E-579C12B913D2}"/>
            </c:ext>
          </c:extLst>
        </c:ser>
        <c:ser>
          <c:idx val="2"/>
          <c:order val="2"/>
          <c:tx>
            <c:strRef>
              <c:f>'Fig 37 Leading Content Cos'!$D$59</c:f>
              <c:strCache>
                <c:ptCount val="1"/>
                <c:pt idx="0">
                  <c:v>Pay TV Programming Services</c:v>
                </c:pt>
              </c:strCache>
            </c:strRef>
          </c:tx>
          <c:spPr>
            <a:solidFill>
              <a:schemeClr val="accent3"/>
            </a:solidFill>
            <a:ln>
              <a:noFill/>
            </a:ln>
            <a:effectLst/>
          </c:spPr>
          <c:invertIfNegative val="0"/>
          <c:cat>
            <c:strRef>
              <c:f>'Fig 37 Leading Content Cos'!$A$60:$A$79</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 37 Leading Content Cos'!$D$60:$D$79</c:f>
              <c:numCache>
                <c:formatCode>General</c:formatCode>
                <c:ptCount val="20"/>
                <c:pt idx="0">
                  <c:v>1508</c:v>
                </c:pt>
                <c:pt idx="2">
                  <c:v>858.29</c:v>
                </c:pt>
                <c:pt idx="3">
                  <c:v>818.2</c:v>
                </c:pt>
                <c:pt idx="4">
                  <c:v>234.42</c:v>
                </c:pt>
                <c:pt idx="6">
                  <c:v>176.6</c:v>
                </c:pt>
                <c:pt idx="11">
                  <c:v>11</c:v>
                </c:pt>
              </c:numCache>
            </c:numRef>
          </c:val>
          <c:extLst>
            <c:ext xmlns:c16="http://schemas.microsoft.com/office/drawing/2014/chart" uri="{C3380CC4-5D6E-409C-BE32-E72D297353CC}">
              <c16:uniqueId val="{00000002-C4C0-473F-B68E-579C12B913D2}"/>
            </c:ext>
          </c:extLst>
        </c:ser>
        <c:ser>
          <c:idx val="3"/>
          <c:order val="3"/>
          <c:tx>
            <c:strRef>
              <c:f>'Fig 37 Leading Content Cos'!$E$59</c:f>
              <c:strCache>
                <c:ptCount val="1"/>
                <c:pt idx="0">
                  <c:v>Online Video Services</c:v>
                </c:pt>
              </c:strCache>
            </c:strRef>
          </c:tx>
          <c:spPr>
            <a:solidFill>
              <a:schemeClr val="accent4"/>
            </a:solidFill>
            <a:ln>
              <a:noFill/>
            </a:ln>
            <a:effectLst/>
          </c:spPr>
          <c:invertIfNegative val="0"/>
          <c:cat>
            <c:strRef>
              <c:f>'Fig 37 Leading Content Cos'!$A$60:$A$79</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 37 Leading Content Cos'!$E$60:$E$79</c:f>
              <c:numCache>
                <c:formatCode>General</c:formatCode>
                <c:ptCount val="20"/>
                <c:pt idx="0">
                  <c:v>167.26</c:v>
                </c:pt>
                <c:pt idx="1">
                  <c:v>0</c:v>
                </c:pt>
                <c:pt idx="3">
                  <c:v>81.650000000000006</c:v>
                </c:pt>
                <c:pt idx="4">
                  <c:v>39.700000000000003</c:v>
                </c:pt>
                <c:pt idx="10">
                  <c:v>631.49</c:v>
                </c:pt>
                <c:pt idx="13">
                  <c:v>82.91</c:v>
                </c:pt>
              </c:numCache>
            </c:numRef>
          </c:val>
          <c:extLst>
            <c:ext xmlns:c16="http://schemas.microsoft.com/office/drawing/2014/chart" uri="{C3380CC4-5D6E-409C-BE32-E72D297353CC}">
              <c16:uniqueId val="{00000003-C4C0-473F-B68E-579C12B913D2}"/>
            </c:ext>
          </c:extLst>
        </c:ser>
        <c:ser>
          <c:idx val="4"/>
          <c:order val="4"/>
          <c:tx>
            <c:strRef>
              <c:f>'Fig 37 Leading Content Cos'!$F$59</c:f>
              <c:strCache>
                <c:ptCount val="1"/>
                <c:pt idx="0">
                  <c:v>Digital Games</c:v>
                </c:pt>
              </c:strCache>
            </c:strRef>
          </c:tx>
          <c:spPr>
            <a:solidFill>
              <a:schemeClr val="accent5"/>
            </a:solidFill>
            <a:ln>
              <a:noFill/>
            </a:ln>
            <a:effectLst/>
          </c:spPr>
          <c:invertIfNegative val="0"/>
          <c:cat>
            <c:strRef>
              <c:f>'Fig 37 Leading Content Cos'!$A$60:$A$79</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 37 Leading Content Cos'!$F$60:$F$79</c:f>
              <c:numCache>
                <c:formatCode>General</c:formatCode>
                <c:ptCount val="20"/>
                <c:pt idx="1">
                  <c:v>127.99</c:v>
                </c:pt>
                <c:pt idx="12">
                  <c:v>331.1</c:v>
                </c:pt>
                <c:pt idx="13">
                  <c:v>232.43</c:v>
                </c:pt>
                <c:pt idx="17">
                  <c:v>293.02999999999997</c:v>
                </c:pt>
                <c:pt idx="19">
                  <c:v>184.69</c:v>
                </c:pt>
              </c:numCache>
            </c:numRef>
          </c:val>
          <c:extLst>
            <c:ext xmlns:c16="http://schemas.microsoft.com/office/drawing/2014/chart" uri="{C3380CC4-5D6E-409C-BE32-E72D297353CC}">
              <c16:uniqueId val="{00000004-C4C0-473F-B68E-579C12B913D2}"/>
            </c:ext>
          </c:extLst>
        </c:ser>
        <c:ser>
          <c:idx val="5"/>
          <c:order val="5"/>
          <c:tx>
            <c:strRef>
              <c:f>'Fig 37 Leading Content Cos'!$G$59</c:f>
              <c:strCache>
                <c:ptCount val="1"/>
                <c:pt idx="0">
                  <c:v>Broadcast Radio</c:v>
                </c:pt>
              </c:strCache>
            </c:strRef>
          </c:tx>
          <c:spPr>
            <a:solidFill>
              <a:schemeClr val="accent6"/>
            </a:solidFill>
            <a:ln>
              <a:noFill/>
            </a:ln>
            <a:effectLst/>
          </c:spPr>
          <c:invertIfNegative val="0"/>
          <c:cat>
            <c:strRef>
              <c:f>'Fig 37 Leading Content Cos'!$A$60:$A$79</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 37 Leading Content Cos'!$G$60:$G$79</c:f>
              <c:numCache>
                <c:formatCode>General</c:formatCode>
                <c:ptCount val="20"/>
                <c:pt idx="0">
                  <c:v>372.6</c:v>
                </c:pt>
                <c:pt idx="2">
                  <c:v>149.19999999999999</c:v>
                </c:pt>
                <c:pt idx="3">
                  <c:v>219.6</c:v>
                </c:pt>
                <c:pt idx="6">
                  <c:v>314.8</c:v>
                </c:pt>
                <c:pt idx="11">
                  <c:v>104.7</c:v>
                </c:pt>
                <c:pt idx="15">
                  <c:v>370.83</c:v>
                </c:pt>
              </c:numCache>
            </c:numRef>
          </c:val>
          <c:extLst>
            <c:ext xmlns:c16="http://schemas.microsoft.com/office/drawing/2014/chart" uri="{C3380CC4-5D6E-409C-BE32-E72D297353CC}">
              <c16:uniqueId val="{00000005-C4C0-473F-B68E-579C12B913D2}"/>
            </c:ext>
          </c:extLst>
        </c:ser>
        <c:ser>
          <c:idx val="6"/>
          <c:order val="6"/>
          <c:tx>
            <c:strRef>
              <c:f>'Fig 37 Leading Content Cos'!$H$59</c:f>
              <c:strCache>
                <c:ptCount val="1"/>
                <c:pt idx="0">
                  <c:v>Music Services</c:v>
                </c:pt>
              </c:strCache>
            </c:strRef>
          </c:tx>
          <c:spPr>
            <a:solidFill>
              <a:schemeClr val="accent1">
                <a:lumMod val="60000"/>
              </a:schemeClr>
            </a:solidFill>
            <a:ln>
              <a:noFill/>
            </a:ln>
            <a:effectLst/>
          </c:spPr>
          <c:invertIfNegative val="0"/>
          <c:cat>
            <c:strRef>
              <c:f>'Fig 37 Leading Content Cos'!$A$60:$A$79</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 37 Leading Content Cos'!$H$60:$H$79</c:f>
              <c:numCache>
                <c:formatCode>General</c:formatCode>
                <c:ptCount val="20"/>
                <c:pt idx="13">
                  <c:v>65.400000000000006</c:v>
                </c:pt>
                <c:pt idx="16">
                  <c:v>346.03</c:v>
                </c:pt>
                <c:pt idx="19">
                  <c:v>73.649999999999991</c:v>
                </c:pt>
              </c:numCache>
            </c:numRef>
          </c:val>
          <c:extLst>
            <c:ext xmlns:c16="http://schemas.microsoft.com/office/drawing/2014/chart" uri="{C3380CC4-5D6E-409C-BE32-E72D297353CC}">
              <c16:uniqueId val="{00000006-C4C0-473F-B68E-579C12B913D2}"/>
            </c:ext>
          </c:extLst>
        </c:ser>
        <c:ser>
          <c:idx val="7"/>
          <c:order val="7"/>
          <c:tx>
            <c:strRef>
              <c:f>'Fig 37 Leading Content Cos'!$I$59</c:f>
              <c:strCache>
                <c:ptCount val="1"/>
                <c:pt idx="0">
                  <c:v>Newspapers</c:v>
                </c:pt>
              </c:strCache>
            </c:strRef>
          </c:tx>
          <c:spPr>
            <a:solidFill>
              <a:schemeClr val="accent2">
                <a:lumMod val="60000"/>
              </a:schemeClr>
            </a:solidFill>
            <a:ln>
              <a:noFill/>
            </a:ln>
            <a:effectLst/>
          </c:spPr>
          <c:invertIfNegative val="0"/>
          <c:cat>
            <c:strRef>
              <c:f>'Fig 37 Leading Content Cos'!$A$60:$A$79</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 37 Leading Content Cos'!$I$60:$I$79</c:f>
              <c:numCache>
                <c:formatCode>General</c:formatCode>
                <c:ptCount val="20"/>
                <c:pt idx="4">
                  <c:v>159.80000000000001</c:v>
                </c:pt>
                <c:pt idx="7">
                  <c:v>754.3</c:v>
                </c:pt>
                <c:pt idx="9">
                  <c:v>619.29999999999995</c:v>
                </c:pt>
                <c:pt idx="14">
                  <c:v>240.86</c:v>
                </c:pt>
              </c:numCache>
            </c:numRef>
          </c:val>
          <c:extLst>
            <c:ext xmlns:c16="http://schemas.microsoft.com/office/drawing/2014/chart" uri="{C3380CC4-5D6E-409C-BE32-E72D297353CC}">
              <c16:uniqueId val="{00000007-C4C0-473F-B68E-579C12B913D2}"/>
            </c:ext>
          </c:extLst>
        </c:ser>
        <c:ser>
          <c:idx val="8"/>
          <c:order val="8"/>
          <c:tx>
            <c:strRef>
              <c:f>'Fig 37 Leading Content Cos'!$J$59</c:f>
              <c:strCache>
                <c:ptCount val="1"/>
                <c:pt idx="0">
                  <c:v>Magazines</c:v>
                </c:pt>
              </c:strCache>
            </c:strRef>
          </c:tx>
          <c:spPr>
            <a:solidFill>
              <a:schemeClr val="accent3">
                <a:lumMod val="60000"/>
              </a:schemeClr>
            </a:solidFill>
            <a:ln>
              <a:noFill/>
            </a:ln>
            <a:effectLst/>
          </c:spPr>
          <c:invertIfNegative val="0"/>
          <c:cat>
            <c:strRef>
              <c:f>'Fig 37 Leading Content Cos'!$A$60:$A$79</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 37 Leading Content Cos'!$J$60:$J$79</c:f>
              <c:numCache>
                <c:formatCode>General</c:formatCode>
                <c:ptCount val="20"/>
                <c:pt idx="0">
                  <c:v>6.6235211058263994</c:v>
                </c:pt>
                <c:pt idx="3">
                  <c:v>110</c:v>
                </c:pt>
                <c:pt idx="4">
                  <c:v>94.6</c:v>
                </c:pt>
                <c:pt idx="7">
                  <c:v>2.6071306480380505</c:v>
                </c:pt>
                <c:pt idx="14">
                  <c:v>135.19999999999999</c:v>
                </c:pt>
              </c:numCache>
            </c:numRef>
          </c:val>
          <c:extLst>
            <c:ext xmlns:c16="http://schemas.microsoft.com/office/drawing/2014/chart" uri="{C3380CC4-5D6E-409C-BE32-E72D297353CC}">
              <c16:uniqueId val="{00000008-C4C0-473F-B68E-579C12B913D2}"/>
            </c:ext>
          </c:extLst>
        </c:ser>
        <c:ser>
          <c:idx val="9"/>
          <c:order val="9"/>
          <c:tx>
            <c:strRef>
              <c:f>'Fig 37 Leading Content Cos'!$K$59</c:f>
              <c:strCache>
                <c:ptCount val="1"/>
                <c:pt idx="0">
                  <c:v>Internet Advertising</c:v>
                </c:pt>
              </c:strCache>
            </c:strRef>
          </c:tx>
          <c:spPr>
            <a:solidFill>
              <a:schemeClr val="accent4">
                <a:lumMod val="60000"/>
              </a:schemeClr>
            </a:solidFill>
            <a:ln>
              <a:noFill/>
            </a:ln>
            <a:effectLst/>
          </c:spPr>
          <c:invertIfNegative val="0"/>
          <c:cat>
            <c:strRef>
              <c:f>'Fig 37 Leading Content Cos'!$A$60:$A$79</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 37 Leading Content Cos'!$K$60:$K$79</c:f>
              <c:numCache>
                <c:formatCode>General</c:formatCode>
                <c:ptCount val="20"/>
                <c:pt idx="0">
                  <c:v>57.06</c:v>
                </c:pt>
                <c:pt idx="1">
                  <c:v>3438.89</c:v>
                </c:pt>
                <c:pt idx="2">
                  <c:v>31.96</c:v>
                </c:pt>
                <c:pt idx="3">
                  <c:v>45.7</c:v>
                </c:pt>
                <c:pt idx="4">
                  <c:v>46.16</c:v>
                </c:pt>
                <c:pt idx="5">
                  <c:v>1750.1</c:v>
                </c:pt>
                <c:pt idx="6">
                  <c:v>36.6</c:v>
                </c:pt>
                <c:pt idx="7">
                  <c:v>105.5</c:v>
                </c:pt>
                <c:pt idx="9">
                  <c:v>128.5</c:v>
                </c:pt>
                <c:pt idx="12">
                  <c:v>153.41424000000001</c:v>
                </c:pt>
                <c:pt idx="14">
                  <c:v>26.5</c:v>
                </c:pt>
              </c:numCache>
            </c:numRef>
          </c:val>
          <c:extLst>
            <c:ext xmlns:c16="http://schemas.microsoft.com/office/drawing/2014/chart" uri="{C3380CC4-5D6E-409C-BE32-E72D297353CC}">
              <c16:uniqueId val="{00000009-C4C0-473F-B68E-579C12B913D2}"/>
            </c:ext>
          </c:extLst>
        </c:ser>
        <c:dLbls>
          <c:showLegendKey val="0"/>
          <c:showVal val="0"/>
          <c:showCatName val="0"/>
          <c:showSerName val="0"/>
          <c:showPercent val="0"/>
          <c:showBubbleSize val="0"/>
        </c:dLbls>
        <c:gapWidth val="150"/>
        <c:overlap val="100"/>
        <c:axId val="1018403327"/>
        <c:axId val="1018394175"/>
      </c:barChart>
      <c:catAx>
        <c:axId val="101840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018394175"/>
        <c:crosses val="autoZero"/>
        <c:auto val="1"/>
        <c:lblAlgn val="ctr"/>
        <c:lblOffset val="100"/>
        <c:noMultiLvlLbl val="0"/>
      </c:catAx>
      <c:valAx>
        <c:axId val="10183941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403327"/>
        <c:crosses val="autoZero"/>
        <c:crossBetween val="between"/>
      </c:valAx>
      <c:spPr>
        <a:noFill/>
        <a:ln>
          <a:noFill/>
        </a:ln>
        <a:effectLst/>
      </c:spPr>
    </c:plotArea>
    <c:legend>
      <c:legendPos val="b"/>
      <c:layout>
        <c:manualLayout>
          <c:xMode val="edge"/>
          <c:yMode val="edge"/>
          <c:x val="9.9625423592953413E-3"/>
          <c:y val="0.86784748483784735"/>
          <c:w val="0.97729418828746739"/>
          <c:h val="0.1216799577589283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9971077513102E-2"/>
          <c:y val="2.7106717809171812E-2"/>
          <c:w val="0.93711282151578124"/>
          <c:h val="0.73868891189715191"/>
        </c:manualLayout>
      </c:layout>
      <c:barChart>
        <c:barDir val="col"/>
        <c:grouping val="stacked"/>
        <c:varyColors val="0"/>
        <c:ser>
          <c:idx val="0"/>
          <c:order val="0"/>
          <c:tx>
            <c:strRef>
              <c:f>'Fig 37 Leading Content Cos'!$B$59</c:f>
              <c:strCache>
                <c:ptCount val="1"/>
                <c:pt idx="0">
                  <c:v>Multichannel Video Distribution (Cable/DBS/IPTV)</c:v>
                </c:pt>
              </c:strCache>
            </c:strRef>
          </c:tx>
          <c:spPr>
            <a:solidFill>
              <a:schemeClr val="accent1"/>
            </a:solidFill>
            <a:ln>
              <a:noFill/>
            </a:ln>
            <a:effectLst/>
          </c:spPr>
          <c:invertIfNegative val="0"/>
          <c:cat>
            <c:strRef>
              <c:f>'Fig 37 Leading Content Cos'!$A$60:$A$72</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 37 Leading Content Cos'!$B$60:$B$72</c:f>
              <c:numCache>
                <c:formatCode>General</c:formatCode>
                <c:ptCount val="13"/>
                <c:pt idx="0">
                  <c:v>2492.5</c:v>
                </c:pt>
                <c:pt idx="2">
                  <c:v>1921.5</c:v>
                </c:pt>
                <c:pt idx="3">
                  <c:v>1501</c:v>
                </c:pt>
                <c:pt idx="4">
                  <c:v>1010</c:v>
                </c:pt>
                <c:pt idx="8">
                  <c:v>769.3</c:v>
                </c:pt>
                <c:pt idx="11">
                  <c:v>495.8</c:v>
                </c:pt>
              </c:numCache>
            </c:numRef>
          </c:val>
          <c:extLst>
            <c:ext xmlns:c16="http://schemas.microsoft.com/office/drawing/2014/chart" uri="{C3380CC4-5D6E-409C-BE32-E72D297353CC}">
              <c16:uniqueId val="{00000000-C32C-4A9C-952F-E11F133EBC32}"/>
            </c:ext>
          </c:extLst>
        </c:ser>
        <c:ser>
          <c:idx val="1"/>
          <c:order val="1"/>
          <c:tx>
            <c:strRef>
              <c:f>'Fig 37 Leading Content Cos'!$C$59</c:f>
              <c:strCache>
                <c:ptCount val="1"/>
                <c:pt idx="0">
                  <c:v>Broadcast TV</c:v>
                </c:pt>
              </c:strCache>
            </c:strRef>
          </c:tx>
          <c:spPr>
            <a:solidFill>
              <a:schemeClr val="accent2"/>
            </a:solidFill>
            <a:ln>
              <a:noFill/>
            </a:ln>
            <a:effectLst/>
          </c:spPr>
          <c:invertIfNegative val="0"/>
          <c:cat>
            <c:strRef>
              <c:f>'Fig 37 Leading Content Cos'!$A$60:$A$72</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 37 Leading Content Cos'!$C$60:$C$72</c:f>
              <c:numCache>
                <c:formatCode>General</c:formatCode>
                <c:ptCount val="13"/>
                <c:pt idx="0">
                  <c:v>675.4</c:v>
                </c:pt>
                <c:pt idx="2">
                  <c:v>345.6</c:v>
                </c:pt>
                <c:pt idx="3">
                  <c:v>205.5</c:v>
                </c:pt>
                <c:pt idx="4">
                  <c:v>219.2</c:v>
                </c:pt>
                <c:pt idx="6">
                  <c:v>996.2</c:v>
                </c:pt>
              </c:numCache>
            </c:numRef>
          </c:val>
          <c:extLst>
            <c:ext xmlns:c16="http://schemas.microsoft.com/office/drawing/2014/chart" uri="{C3380CC4-5D6E-409C-BE32-E72D297353CC}">
              <c16:uniqueId val="{00000001-C32C-4A9C-952F-E11F133EBC32}"/>
            </c:ext>
          </c:extLst>
        </c:ser>
        <c:ser>
          <c:idx val="2"/>
          <c:order val="2"/>
          <c:tx>
            <c:strRef>
              <c:f>'Fig 37 Leading Content Cos'!$D$59</c:f>
              <c:strCache>
                <c:ptCount val="1"/>
                <c:pt idx="0">
                  <c:v>Pay TV Programming Services</c:v>
                </c:pt>
              </c:strCache>
            </c:strRef>
          </c:tx>
          <c:spPr>
            <a:solidFill>
              <a:schemeClr val="accent3"/>
            </a:solidFill>
            <a:ln>
              <a:noFill/>
            </a:ln>
            <a:effectLst/>
          </c:spPr>
          <c:invertIfNegative val="0"/>
          <c:cat>
            <c:strRef>
              <c:f>'Fig 37 Leading Content Cos'!$A$60:$A$72</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 37 Leading Content Cos'!$D$60:$D$72</c:f>
              <c:numCache>
                <c:formatCode>General</c:formatCode>
                <c:ptCount val="13"/>
                <c:pt idx="0">
                  <c:v>1508</c:v>
                </c:pt>
                <c:pt idx="2">
                  <c:v>858.29</c:v>
                </c:pt>
                <c:pt idx="3">
                  <c:v>818.2</c:v>
                </c:pt>
                <c:pt idx="4">
                  <c:v>234.42</c:v>
                </c:pt>
                <c:pt idx="6">
                  <c:v>176.6</c:v>
                </c:pt>
                <c:pt idx="11">
                  <c:v>11</c:v>
                </c:pt>
              </c:numCache>
            </c:numRef>
          </c:val>
          <c:extLst>
            <c:ext xmlns:c16="http://schemas.microsoft.com/office/drawing/2014/chart" uri="{C3380CC4-5D6E-409C-BE32-E72D297353CC}">
              <c16:uniqueId val="{00000002-C32C-4A9C-952F-E11F133EBC32}"/>
            </c:ext>
          </c:extLst>
        </c:ser>
        <c:ser>
          <c:idx val="3"/>
          <c:order val="3"/>
          <c:tx>
            <c:strRef>
              <c:f>'Fig 37 Leading Content Cos'!$E$59</c:f>
              <c:strCache>
                <c:ptCount val="1"/>
                <c:pt idx="0">
                  <c:v>Online Video Services</c:v>
                </c:pt>
              </c:strCache>
            </c:strRef>
          </c:tx>
          <c:spPr>
            <a:solidFill>
              <a:schemeClr val="accent4"/>
            </a:solidFill>
            <a:ln>
              <a:noFill/>
            </a:ln>
            <a:effectLst/>
          </c:spPr>
          <c:invertIfNegative val="0"/>
          <c:cat>
            <c:strRef>
              <c:f>'Fig 37 Leading Content Cos'!$A$60:$A$72</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 37 Leading Content Cos'!$E$60:$E$72</c:f>
              <c:numCache>
                <c:formatCode>General</c:formatCode>
                <c:ptCount val="13"/>
                <c:pt idx="0">
                  <c:v>167.26</c:v>
                </c:pt>
                <c:pt idx="1">
                  <c:v>0</c:v>
                </c:pt>
                <c:pt idx="3">
                  <c:v>81.650000000000006</c:v>
                </c:pt>
                <c:pt idx="4">
                  <c:v>39.700000000000003</c:v>
                </c:pt>
                <c:pt idx="10">
                  <c:v>631.49</c:v>
                </c:pt>
              </c:numCache>
            </c:numRef>
          </c:val>
          <c:extLst>
            <c:ext xmlns:c16="http://schemas.microsoft.com/office/drawing/2014/chart" uri="{C3380CC4-5D6E-409C-BE32-E72D297353CC}">
              <c16:uniqueId val="{00000003-C32C-4A9C-952F-E11F133EBC32}"/>
            </c:ext>
          </c:extLst>
        </c:ser>
        <c:ser>
          <c:idx val="4"/>
          <c:order val="4"/>
          <c:tx>
            <c:strRef>
              <c:f>'Fig 37 Leading Content Cos'!$F$59</c:f>
              <c:strCache>
                <c:ptCount val="1"/>
                <c:pt idx="0">
                  <c:v>Digital Games</c:v>
                </c:pt>
              </c:strCache>
            </c:strRef>
          </c:tx>
          <c:spPr>
            <a:solidFill>
              <a:schemeClr val="accent5"/>
            </a:solidFill>
            <a:ln>
              <a:noFill/>
            </a:ln>
            <a:effectLst/>
          </c:spPr>
          <c:invertIfNegative val="0"/>
          <c:cat>
            <c:strRef>
              <c:f>'Fig 37 Leading Content Cos'!$A$60:$A$72</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 37 Leading Content Cos'!$F$60:$F$72</c:f>
              <c:numCache>
                <c:formatCode>General</c:formatCode>
                <c:ptCount val="13"/>
                <c:pt idx="1">
                  <c:v>127.99</c:v>
                </c:pt>
                <c:pt idx="12">
                  <c:v>331.1</c:v>
                </c:pt>
              </c:numCache>
            </c:numRef>
          </c:val>
          <c:extLst>
            <c:ext xmlns:c16="http://schemas.microsoft.com/office/drawing/2014/chart" uri="{C3380CC4-5D6E-409C-BE32-E72D297353CC}">
              <c16:uniqueId val="{00000004-C32C-4A9C-952F-E11F133EBC32}"/>
            </c:ext>
          </c:extLst>
        </c:ser>
        <c:ser>
          <c:idx val="5"/>
          <c:order val="5"/>
          <c:tx>
            <c:strRef>
              <c:f>'Fig 37 Leading Content Cos'!$G$59</c:f>
              <c:strCache>
                <c:ptCount val="1"/>
                <c:pt idx="0">
                  <c:v>Broadcast Radio</c:v>
                </c:pt>
              </c:strCache>
            </c:strRef>
          </c:tx>
          <c:spPr>
            <a:solidFill>
              <a:schemeClr val="accent6"/>
            </a:solidFill>
            <a:ln>
              <a:noFill/>
            </a:ln>
            <a:effectLst/>
          </c:spPr>
          <c:invertIfNegative val="0"/>
          <c:cat>
            <c:strRef>
              <c:f>'Fig 37 Leading Content Cos'!$A$60:$A$72</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 37 Leading Content Cos'!$G$60:$G$72</c:f>
              <c:numCache>
                <c:formatCode>General</c:formatCode>
                <c:ptCount val="13"/>
                <c:pt idx="0">
                  <c:v>372.6</c:v>
                </c:pt>
                <c:pt idx="2">
                  <c:v>149.19999999999999</c:v>
                </c:pt>
                <c:pt idx="3">
                  <c:v>219.6</c:v>
                </c:pt>
                <c:pt idx="6">
                  <c:v>314.8</c:v>
                </c:pt>
                <c:pt idx="11">
                  <c:v>104.7</c:v>
                </c:pt>
              </c:numCache>
            </c:numRef>
          </c:val>
          <c:extLst>
            <c:ext xmlns:c16="http://schemas.microsoft.com/office/drawing/2014/chart" uri="{C3380CC4-5D6E-409C-BE32-E72D297353CC}">
              <c16:uniqueId val="{00000005-C32C-4A9C-952F-E11F133EBC32}"/>
            </c:ext>
          </c:extLst>
        </c:ser>
        <c:ser>
          <c:idx val="6"/>
          <c:order val="6"/>
          <c:tx>
            <c:strRef>
              <c:f>'Fig 37 Leading Content Cos'!$H$59</c:f>
              <c:strCache>
                <c:ptCount val="1"/>
                <c:pt idx="0">
                  <c:v>Music Services</c:v>
                </c:pt>
              </c:strCache>
            </c:strRef>
          </c:tx>
          <c:spPr>
            <a:solidFill>
              <a:schemeClr val="accent1">
                <a:lumMod val="60000"/>
              </a:schemeClr>
            </a:solidFill>
            <a:ln>
              <a:noFill/>
            </a:ln>
            <a:effectLst/>
          </c:spPr>
          <c:invertIfNegative val="0"/>
          <c:cat>
            <c:strRef>
              <c:f>'Fig 37 Leading Content Cos'!$A$60:$A$72</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 37 Leading Content Cos'!$H$60:$H$72</c:f>
              <c:numCache>
                <c:formatCode>General</c:formatCode>
                <c:ptCount val="13"/>
              </c:numCache>
            </c:numRef>
          </c:val>
          <c:extLst>
            <c:ext xmlns:c16="http://schemas.microsoft.com/office/drawing/2014/chart" uri="{C3380CC4-5D6E-409C-BE32-E72D297353CC}">
              <c16:uniqueId val="{00000006-C32C-4A9C-952F-E11F133EBC32}"/>
            </c:ext>
          </c:extLst>
        </c:ser>
        <c:ser>
          <c:idx val="7"/>
          <c:order val="7"/>
          <c:tx>
            <c:strRef>
              <c:f>'Fig 37 Leading Content Cos'!$I$59</c:f>
              <c:strCache>
                <c:ptCount val="1"/>
                <c:pt idx="0">
                  <c:v>Newspapers</c:v>
                </c:pt>
              </c:strCache>
            </c:strRef>
          </c:tx>
          <c:spPr>
            <a:solidFill>
              <a:schemeClr val="accent2">
                <a:lumMod val="60000"/>
              </a:schemeClr>
            </a:solidFill>
            <a:ln>
              <a:noFill/>
            </a:ln>
            <a:effectLst/>
          </c:spPr>
          <c:invertIfNegative val="0"/>
          <c:cat>
            <c:strRef>
              <c:f>'Fig 37 Leading Content Cos'!$A$60:$A$72</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 37 Leading Content Cos'!$I$60:$I$72</c:f>
              <c:numCache>
                <c:formatCode>General</c:formatCode>
                <c:ptCount val="13"/>
                <c:pt idx="4">
                  <c:v>159.80000000000001</c:v>
                </c:pt>
                <c:pt idx="7">
                  <c:v>754.3</c:v>
                </c:pt>
                <c:pt idx="9">
                  <c:v>619.29999999999995</c:v>
                </c:pt>
              </c:numCache>
            </c:numRef>
          </c:val>
          <c:extLst>
            <c:ext xmlns:c16="http://schemas.microsoft.com/office/drawing/2014/chart" uri="{C3380CC4-5D6E-409C-BE32-E72D297353CC}">
              <c16:uniqueId val="{00000007-C32C-4A9C-952F-E11F133EBC32}"/>
            </c:ext>
          </c:extLst>
        </c:ser>
        <c:ser>
          <c:idx val="8"/>
          <c:order val="8"/>
          <c:tx>
            <c:strRef>
              <c:f>'Fig 37 Leading Content Cos'!$J$59</c:f>
              <c:strCache>
                <c:ptCount val="1"/>
                <c:pt idx="0">
                  <c:v>Magazines</c:v>
                </c:pt>
              </c:strCache>
            </c:strRef>
          </c:tx>
          <c:spPr>
            <a:solidFill>
              <a:schemeClr val="accent3">
                <a:lumMod val="60000"/>
              </a:schemeClr>
            </a:solidFill>
            <a:ln>
              <a:noFill/>
            </a:ln>
            <a:effectLst/>
          </c:spPr>
          <c:invertIfNegative val="0"/>
          <c:cat>
            <c:strRef>
              <c:f>'Fig 37 Leading Content Cos'!$A$60:$A$72</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 37 Leading Content Cos'!$J$60:$J$72</c:f>
              <c:numCache>
                <c:formatCode>General</c:formatCode>
                <c:ptCount val="13"/>
                <c:pt idx="0">
                  <c:v>6.6235211058263994</c:v>
                </c:pt>
                <c:pt idx="3">
                  <c:v>110</c:v>
                </c:pt>
                <c:pt idx="4">
                  <c:v>94.6</c:v>
                </c:pt>
                <c:pt idx="7">
                  <c:v>2.6071306480380505</c:v>
                </c:pt>
              </c:numCache>
            </c:numRef>
          </c:val>
          <c:extLst>
            <c:ext xmlns:c16="http://schemas.microsoft.com/office/drawing/2014/chart" uri="{C3380CC4-5D6E-409C-BE32-E72D297353CC}">
              <c16:uniqueId val="{00000008-C32C-4A9C-952F-E11F133EBC32}"/>
            </c:ext>
          </c:extLst>
        </c:ser>
        <c:ser>
          <c:idx val="9"/>
          <c:order val="9"/>
          <c:tx>
            <c:strRef>
              <c:f>'Fig 37 Leading Content Cos'!$K$59</c:f>
              <c:strCache>
                <c:ptCount val="1"/>
                <c:pt idx="0">
                  <c:v>Internet Advertising</c:v>
                </c:pt>
              </c:strCache>
            </c:strRef>
          </c:tx>
          <c:spPr>
            <a:solidFill>
              <a:schemeClr val="accent4">
                <a:lumMod val="60000"/>
              </a:schemeClr>
            </a:solidFill>
            <a:ln>
              <a:noFill/>
            </a:ln>
            <a:effectLst/>
          </c:spPr>
          <c:invertIfNegative val="0"/>
          <c:cat>
            <c:strRef>
              <c:f>'Fig 37 Leading Content Cos'!$A$60:$A$72</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 37 Leading Content Cos'!$K$60:$K$72</c:f>
              <c:numCache>
                <c:formatCode>General</c:formatCode>
                <c:ptCount val="13"/>
                <c:pt idx="0">
                  <c:v>57.06</c:v>
                </c:pt>
                <c:pt idx="1">
                  <c:v>3438.89</c:v>
                </c:pt>
                <c:pt idx="2">
                  <c:v>31.96</c:v>
                </c:pt>
                <c:pt idx="3">
                  <c:v>45.7</c:v>
                </c:pt>
                <c:pt idx="4">
                  <c:v>46.16</c:v>
                </c:pt>
                <c:pt idx="5">
                  <c:v>1750.1</c:v>
                </c:pt>
                <c:pt idx="6">
                  <c:v>36.6</c:v>
                </c:pt>
                <c:pt idx="7">
                  <c:v>105.5</c:v>
                </c:pt>
                <c:pt idx="9">
                  <c:v>128.5</c:v>
                </c:pt>
                <c:pt idx="12">
                  <c:v>153.41424000000001</c:v>
                </c:pt>
              </c:numCache>
            </c:numRef>
          </c:val>
          <c:extLst>
            <c:ext xmlns:c16="http://schemas.microsoft.com/office/drawing/2014/chart" uri="{C3380CC4-5D6E-409C-BE32-E72D297353CC}">
              <c16:uniqueId val="{00000009-C32C-4A9C-952F-E11F133EBC32}"/>
            </c:ext>
          </c:extLst>
        </c:ser>
        <c:dLbls>
          <c:showLegendKey val="0"/>
          <c:showVal val="0"/>
          <c:showCatName val="0"/>
          <c:showSerName val="0"/>
          <c:showPercent val="0"/>
          <c:showBubbleSize val="0"/>
        </c:dLbls>
        <c:gapWidth val="150"/>
        <c:overlap val="100"/>
        <c:axId val="1018421631"/>
        <c:axId val="1018409567"/>
      </c:barChart>
      <c:catAx>
        <c:axId val="1018421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018409567"/>
        <c:crosses val="autoZero"/>
        <c:auto val="1"/>
        <c:lblAlgn val="ctr"/>
        <c:lblOffset val="100"/>
        <c:noMultiLvlLbl val="0"/>
      </c:catAx>
      <c:valAx>
        <c:axId val="10184095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018421631"/>
        <c:crosses val="autoZero"/>
        <c:crossBetween val="between"/>
      </c:valAx>
      <c:spPr>
        <a:noFill/>
        <a:ln>
          <a:noFill/>
        </a:ln>
        <a:effectLst/>
      </c:spPr>
    </c:plotArea>
    <c:legend>
      <c:legendPos val="b"/>
      <c:layout>
        <c:manualLayout>
          <c:xMode val="edge"/>
          <c:yMode val="edge"/>
          <c:x val="2.8584330146556407E-2"/>
          <c:y val="0.86200099966936405"/>
          <c:w val="0.95373131622258744"/>
          <c:h val="0.123213517889269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403174</xdr:colOff>
      <xdr:row>3</xdr:row>
      <xdr:rowOff>58259</xdr:rowOff>
    </xdr:from>
    <xdr:to>
      <xdr:col>9</xdr:col>
      <xdr:colOff>630185</xdr:colOff>
      <xdr:row>33</xdr:row>
      <xdr:rowOff>51961</xdr:rowOff>
    </xdr:to>
    <xdr:pic>
      <xdr:nvPicPr>
        <xdr:cNvPr id="2" name="Picture 1">
          <a:extLst>
            <a:ext uri="{FF2B5EF4-FFF2-40B4-BE49-F238E27FC236}">
              <a16:creationId xmlns:a16="http://schemas.microsoft.com/office/drawing/2014/main" id="{E4920D75-98B7-4136-1C17-E2142916FC15}"/>
            </a:ext>
          </a:extLst>
        </xdr:cNvPr>
        <xdr:cNvPicPr>
          <a:picLocks noChangeAspect="1"/>
        </xdr:cNvPicPr>
      </xdr:nvPicPr>
      <xdr:blipFill>
        <a:blip xmlns:r="http://schemas.openxmlformats.org/officeDocument/2006/relationships" r:embed="rId1"/>
        <a:stretch>
          <a:fillRect/>
        </a:stretch>
      </xdr:blipFill>
      <xdr:spPr>
        <a:xfrm>
          <a:off x="403174" y="723497"/>
          <a:ext cx="7847011" cy="6041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89</xdr:col>
      <xdr:colOff>459508</xdr:colOff>
      <xdr:row>106</xdr:row>
      <xdr:rowOff>114298</xdr:rowOff>
    </xdr:from>
    <xdr:to>
      <xdr:col>107</xdr:col>
      <xdr:colOff>243607</xdr:colOff>
      <xdr:row>155</xdr:row>
      <xdr:rowOff>76199</xdr:rowOff>
    </xdr:to>
    <xdr:graphicFrame macro="">
      <xdr:nvGraphicFramePr>
        <xdr:cNvPr id="3" name="Chart 2">
          <a:extLst>
            <a:ext uri="{FF2B5EF4-FFF2-40B4-BE49-F238E27FC236}">
              <a16:creationId xmlns:a16="http://schemas.microsoft.com/office/drawing/2014/main" id="{EFC6503C-6DF9-C45F-C5F8-4638559A60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115</xdr:col>
      <xdr:colOff>55562</xdr:colOff>
      <xdr:row>111</xdr:row>
      <xdr:rowOff>49212</xdr:rowOff>
    </xdr:from>
    <xdr:to>
      <xdr:col>128</xdr:col>
      <xdr:colOff>303212</xdr:colOff>
      <xdr:row>148</xdr:row>
      <xdr:rowOff>125412</xdr:rowOff>
    </xdr:to>
    <xdr:graphicFrame macro="">
      <xdr:nvGraphicFramePr>
        <xdr:cNvPr id="2" name="Chart 1">
          <a:extLst>
            <a:ext uri="{FF2B5EF4-FFF2-40B4-BE49-F238E27FC236}">
              <a16:creationId xmlns:a16="http://schemas.microsoft.com/office/drawing/2014/main" id="{C33FCA6A-F2D8-E56C-B9BA-7B48653987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34018</xdr:colOff>
      <xdr:row>29</xdr:row>
      <xdr:rowOff>19276</xdr:rowOff>
    </xdr:from>
    <xdr:to>
      <xdr:col>6</xdr:col>
      <xdr:colOff>489856</xdr:colOff>
      <xdr:row>55</xdr:row>
      <xdr:rowOff>188686</xdr:rowOff>
    </xdr:to>
    <xdr:graphicFrame macro="">
      <xdr:nvGraphicFramePr>
        <xdr:cNvPr id="2" name="Chart 1">
          <a:extLst>
            <a:ext uri="{FF2B5EF4-FFF2-40B4-BE49-F238E27FC236}">
              <a16:creationId xmlns:a16="http://schemas.microsoft.com/office/drawing/2014/main" id="{4A195EB6-63DD-2344-B3CC-C4ADAFEDF1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521640</xdr:colOff>
      <xdr:row>34</xdr:row>
      <xdr:rowOff>118312</xdr:rowOff>
    </xdr:from>
    <xdr:to>
      <xdr:col>19</xdr:col>
      <xdr:colOff>166077</xdr:colOff>
      <xdr:row>58</xdr:row>
      <xdr:rowOff>730598</xdr:rowOff>
    </xdr:to>
    <xdr:graphicFrame macro="">
      <xdr:nvGraphicFramePr>
        <xdr:cNvPr id="3" name="Chart 2">
          <a:extLst>
            <a:ext uri="{FF2B5EF4-FFF2-40B4-BE49-F238E27FC236}">
              <a16:creationId xmlns:a16="http://schemas.microsoft.com/office/drawing/2014/main" id="{047670B7-B4C4-7024-9F1E-8C9521713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107494</xdr:colOff>
      <xdr:row>138</xdr:row>
      <xdr:rowOff>1588</xdr:rowOff>
    </xdr:from>
    <xdr:to>
      <xdr:col>8</xdr:col>
      <xdr:colOff>181428</xdr:colOff>
      <xdr:row>166</xdr:row>
      <xdr:rowOff>99786</xdr:rowOff>
    </xdr:to>
    <xdr:graphicFrame macro="">
      <xdr:nvGraphicFramePr>
        <xdr:cNvPr id="4" name="Chart 3">
          <a:extLst>
            <a:ext uri="{FF2B5EF4-FFF2-40B4-BE49-F238E27FC236}">
              <a16:creationId xmlns:a16="http://schemas.microsoft.com/office/drawing/2014/main" id="{0F4F8968-97F7-9963-A39A-C6A95C89CA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399143</xdr:colOff>
      <xdr:row>138</xdr:row>
      <xdr:rowOff>90714</xdr:rowOff>
    </xdr:from>
    <xdr:to>
      <xdr:col>22</xdr:col>
      <xdr:colOff>172357</xdr:colOff>
      <xdr:row>166</xdr:row>
      <xdr:rowOff>121103</xdr:rowOff>
    </xdr:to>
    <xdr:graphicFrame macro="">
      <xdr:nvGraphicFramePr>
        <xdr:cNvPr id="5" name="Chart 4">
          <a:extLst>
            <a:ext uri="{FF2B5EF4-FFF2-40B4-BE49-F238E27FC236}">
              <a16:creationId xmlns:a16="http://schemas.microsoft.com/office/drawing/2014/main" id="{53BA51A2-921F-4C20-FB65-E1C4821B62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19730</xdr:colOff>
      <xdr:row>83</xdr:row>
      <xdr:rowOff>19728</xdr:rowOff>
    </xdr:from>
    <xdr:to>
      <xdr:col>8</xdr:col>
      <xdr:colOff>589644</xdr:colOff>
      <xdr:row>108</xdr:row>
      <xdr:rowOff>172358</xdr:rowOff>
    </xdr:to>
    <xdr:graphicFrame macro="">
      <xdr:nvGraphicFramePr>
        <xdr:cNvPr id="6" name="Chart 5">
          <a:extLst>
            <a:ext uri="{FF2B5EF4-FFF2-40B4-BE49-F238E27FC236}">
              <a16:creationId xmlns:a16="http://schemas.microsoft.com/office/drawing/2014/main" id="{7361CDC2-21FA-9E0F-8A9C-39D906165B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761773</xdr:colOff>
      <xdr:row>86</xdr:row>
      <xdr:rowOff>79828</xdr:rowOff>
    </xdr:from>
    <xdr:to>
      <xdr:col>21</xdr:col>
      <xdr:colOff>46719</xdr:colOff>
      <xdr:row>112</xdr:row>
      <xdr:rowOff>44675</xdr:rowOff>
    </xdr:to>
    <xdr:graphicFrame macro="">
      <xdr:nvGraphicFramePr>
        <xdr:cNvPr id="7" name="Chart 6">
          <a:extLst>
            <a:ext uri="{FF2B5EF4-FFF2-40B4-BE49-F238E27FC236}">
              <a16:creationId xmlns:a16="http://schemas.microsoft.com/office/drawing/2014/main" id="{2085F28E-94FC-046F-1148-F6956869AF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71827-8ED1-4C2C-8E8E-7902FD6A7094}">
  <dimension ref="A1:BI45"/>
  <sheetViews>
    <sheetView zoomScale="93" zoomScaleNormal="160" workbookViewId="0">
      <selection activeCell="D18" sqref="D18"/>
    </sheetView>
  </sheetViews>
  <sheetFormatPr baseColWidth="10" defaultColWidth="9" defaultRowHeight="16" x14ac:dyDescent="0.2"/>
  <cols>
    <col min="1" max="1" width="150.1640625" style="1" customWidth="1"/>
    <col min="2" max="16384" width="9" style="1"/>
  </cols>
  <sheetData>
    <row r="1" spans="1:61" x14ac:dyDescent="0.2">
      <c r="A1" s="17" t="s">
        <v>0</v>
      </c>
      <c r="B1"/>
      <c r="C1"/>
      <c r="D1"/>
      <c r="E1"/>
      <c r="F1"/>
      <c r="G1"/>
      <c r="H1"/>
      <c r="I1"/>
      <c r="J1"/>
      <c r="K1"/>
      <c r="L1"/>
      <c r="M1"/>
    </row>
    <row r="2" spans="1:61" x14ac:dyDescent="0.2">
      <c r="A2" s="15" t="s">
        <v>466</v>
      </c>
      <c r="B2"/>
      <c r="C2"/>
      <c r="D2"/>
      <c r="E2"/>
      <c r="F2"/>
      <c r="G2"/>
      <c r="H2"/>
      <c r="I2"/>
      <c r="J2"/>
      <c r="K2"/>
      <c r="L2"/>
      <c r="M2"/>
    </row>
    <row r="3" spans="1:61" x14ac:dyDescent="0.2">
      <c r="A3" s="15" t="s">
        <v>1</v>
      </c>
      <c r="B3"/>
      <c r="C3"/>
      <c r="D3"/>
      <c r="E3"/>
      <c r="F3"/>
      <c r="G3"/>
      <c r="H3"/>
      <c r="I3"/>
      <c r="J3"/>
      <c r="K3"/>
      <c r="L3"/>
      <c r="M3"/>
    </row>
    <row r="4" spans="1:61" x14ac:dyDescent="0.2">
      <c r="A4" s="15" t="s">
        <v>467</v>
      </c>
      <c r="B4"/>
      <c r="C4"/>
      <c r="D4"/>
      <c r="E4"/>
      <c r="F4"/>
      <c r="G4"/>
      <c r="H4"/>
      <c r="I4"/>
      <c r="J4"/>
      <c r="K4"/>
      <c r="L4"/>
      <c r="M4"/>
    </row>
    <row r="5" spans="1:61" x14ac:dyDescent="0.2">
      <c r="A5" s="15" t="s">
        <v>468</v>
      </c>
      <c r="B5"/>
      <c r="C5"/>
      <c r="D5"/>
      <c r="E5"/>
      <c r="F5"/>
      <c r="G5"/>
      <c r="H5"/>
      <c r="I5"/>
      <c r="J5"/>
      <c r="K5"/>
      <c r="L5"/>
      <c r="M5"/>
    </row>
    <row r="6" spans="1:61" ht="18" customHeight="1" x14ac:dyDescent="0.2">
      <c r="A6" s="15" t="s">
        <v>469</v>
      </c>
      <c r="B6"/>
      <c r="C6"/>
      <c r="D6"/>
      <c r="E6"/>
      <c r="F6"/>
      <c r="G6"/>
      <c r="H6"/>
      <c r="I6"/>
      <c r="J6"/>
      <c r="K6"/>
      <c r="L6"/>
      <c r="M6"/>
    </row>
    <row r="7" spans="1:61" s="18" customFormat="1" ht="18" customHeight="1" x14ac:dyDescent="0.2">
      <c r="A7" s="16" t="s">
        <v>470</v>
      </c>
      <c r="B7"/>
      <c r="C7"/>
      <c r="D7"/>
      <c r="E7"/>
      <c r="F7"/>
      <c r="G7"/>
      <c r="H7"/>
      <c r="I7"/>
      <c r="J7"/>
      <c r="K7"/>
      <c r="L7"/>
      <c r="M7"/>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row>
    <row r="8" spans="1:61" x14ac:dyDescent="0.2">
      <c r="A8" s="15" t="s">
        <v>586</v>
      </c>
      <c r="B8"/>
      <c r="C8"/>
      <c r="D8"/>
      <c r="E8"/>
      <c r="F8"/>
      <c r="G8"/>
      <c r="H8"/>
      <c r="I8"/>
      <c r="J8"/>
      <c r="K8"/>
      <c r="L8"/>
      <c r="M8"/>
    </row>
    <row r="9" spans="1:61" x14ac:dyDescent="0.2">
      <c r="A9" s="15" t="s">
        <v>587</v>
      </c>
      <c r="B9"/>
      <c r="C9"/>
      <c r="D9"/>
      <c r="E9"/>
      <c r="F9"/>
      <c r="G9"/>
      <c r="H9"/>
      <c r="I9"/>
      <c r="J9"/>
      <c r="K9"/>
      <c r="L9"/>
      <c r="M9"/>
    </row>
    <row r="10" spans="1:61" ht="19.5" customHeight="1" x14ac:dyDescent="0.2">
      <c r="A10" s="15" t="s">
        <v>588</v>
      </c>
      <c r="B10"/>
      <c r="C10"/>
      <c r="D10"/>
      <c r="E10"/>
      <c r="F10"/>
      <c r="G10"/>
      <c r="H10"/>
      <c r="I10"/>
      <c r="J10"/>
      <c r="K10"/>
      <c r="L10"/>
      <c r="M10"/>
    </row>
    <row r="11" spans="1:61" x14ac:dyDescent="0.2">
      <c r="A11" s="15" t="s">
        <v>589</v>
      </c>
      <c r="B11"/>
      <c r="C11"/>
      <c r="D11"/>
      <c r="E11"/>
      <c r="F11"/>
      <c r="G11"/>
      <c r="H11"/>
      <c r="I11"/>
      <c r="J11"/>
      <c r="K11"/>
      <c r="L11"/>
      <c r="M11"/>
    </row>
    <row r="12" spans="1:61" x14ac:dyDescent="0.2">
      <c r="A12" s="15" t="s">
        <v>590</v>
      </c>
      <c r="B12"/>
      <c r="C12"/>
      <c r="D12"/>
      <c r="E12"/>
      <c r="F12"/>
      <c r="G12"/>
      <c r="H12"/>
      <c r="I12"/>
      <c r="J12"/>
      <c r="K12"/>
      <c r="L12"/>
      <c r="M12"/>
    </row>
    <row r="13" spans="1:61" x14ac:dyDescent="0.2">
      <c r="A13" s="15" t="s">
        <v>591</v>
      </c>
      <c r="B13"/>
      <c r="C13"/>
      <c r="D13"/>
      <c r="E13"/>
      <c r="F13"/>
      <c r="G13"/>
      <c r="H13"/>
      <c r="I13"/>
      <c r="J13"/>
      <c r="K13"/>
      <c r="L13"/>
      <c r="M13"/>
    </row>
    <row r="14" spans="1:61" ht="24" customHeight="1" x14ac:dyDescent="0.2">
      <c r="A14" s="22" t="s">
        <v>592</v>
      </c>
      <c r="B14" s="22"/>
      <c r="C14" s="22"/>
      <c r="D14" s="22"/>
      <c r="E14" s="22"/>
      <c r="F14" s="22"/>
      <c r="G14" s="22"/>
      <c r="H14" s="22"/>
      <c r="I14" s="22"/>
      <c r="J14" s="22"/>
      <c r="K14" s="22"/>
      <c r="L14" s="22"/>
      <c r="M14"/>
    </row>
    <row r="15" spans="1:61" customFormat="1" ht="18" customHeight="1" x14ac:dyDescent="0.2">
      <c r="A15" s="19" t="s">
        <v>607</v>
      </c>
      <c r="B15" s="20"/>
      <c r="C15" s="20"/>
      <c r="D15" s="20"/>
      <c r="E15" s="20"/>
      <c r="F15" s="20"/>
      <c r="G15" s="20"/>
      <c r="H15" s="20"/>
      <c r="I15" s="20"/>
      <c r="J15" s="20"/>
    </row>
    <row r="16" spans="1:61" x14ac:dyDescent="0.2">
      <c r="A16" s="15" t="s">
        <v>618</v>
      </c>
      <c r="B16"/>
      <c r="C16"/>
      <c r="D16"/>
      <c r="E16"/>
      <c r="F16"/>
      <c r="G16"/>
      <c r="H16"/>
      <c r="I16"/>
      <c r="J16"/>
      <c r="K16"/>
      <c r="L16"/>
      <c r="M16"/>
    </row>
    <row r="17" spans="1:13" x14ac:dyDescent="0.2">
      <c r="A17" s="15" t="s">
        <v>617</v>
      </c>
      <c r="B17"/>
      <c r="C17"/>
      <c r="D17"/>
      <c r="E17"/>
      <c r="F17"/>
      <c r="G17"/>
      <c r="H17"/>
      <c r="I17"/>
      <c r="J17"/>
      <c r="K17"/>
      <c r="L17"/>
      <c r="M17"/>
    </row>
    <row r="18" spans="1:13" customFormat="1" ht="22" customHeight="1" x14ac:dyDescent="0.2">
      <c r="A18" s="19" t="s">
        <v>613</v>
      </c>
      <c r="B18" s="19"/>
      <c r="C18" s="19"/>
    </row>
    <row r="19" spans="1:13" ht="15.5" customHeight="1" x14ac:dyDescent="0.2">
      <c r="A19" s="15" t="s">
        <v>614</v>
      </c>
      <c r="B19"/>
      <c r="C19"/>
      <c r="D19"/>
      <c r="E19"/>
      <c r="F19"/>
      <c r="G19"/>
      <c r="H19"/>
      <c r="I19"/>
      <c r="J19"/>
      <c r="K19"/>
      <c r="L19"/>
      <c r="M19"/>
    </row>
    <row r="20" spans="1:13" x14ac:dyDescent="0.2">
      <c r="A20" s="15" t="s">
        <v>615</v>
      </c>
      <c r="B20"/>
      <c r="C20"/>
      <c r="D20"/>
      <c r="E20"/>
      <c r="F20"/>
      <c r="G20"/>
      <c r="H20"/>
      <c r="I20"/>
      <c r="J20"/>
      <c r="K20"/>
      <c r="L20"/>
      <c r="M20"/>
    </row>
    <row r="21" spans="1:13" x14ac:dyDescent="0.2">
      <c r="A21" s="15" t="s">
        <v>616</v>
      </c>
      <c r="B21"/>
      <c r="C21"/>
      <c r="D21"/>
      <c r="E21"/>
      <c r="F21"/>
      <c r="G21"/>
      <c r="H21"/>
      <c r="I21"/>
      <c r="J21"/>
      <c r="K21"/>
      <c r="L21"/>
      <c r="M21"/>
    </row>
    <row r="22" spans="1:13" x14ac:dyDescent="0.2">
      <c r="A22" s="15" t="s">
        <v>628</v>
      </c>
      <c r="B22"/>
      <c r="C22"/>
      <c r="D22"/>
      <c r="E22"/>
      <c r="F22"/>
      <c r="G22"/>
      <c r="H22"/>
      <c r="I22"/>
      <c r="J22"/>
      <c r="K22"/>
      <c r="L22"/>
      <c r="M22"/>
    </row>
    <row r="23" spans="1:13" x14ac:dyDescent="0.2">
      <c r="A23" s="15" t="s">
        <v>621</v>
      </c>
      <c r="B23"/>
      <c r="C23"/>
      <c r="D23"/>
      <c r="E23"/>
      <c r="F23"/>
      <c r="G23"/>
      <c r="H23"/>
      <c r="I23"/>
      <c r="J23"/>
      <c r="K23"/>
      <c r="L23"/>
      <c r="M23"/>
    </row>
    <row r="24" spans="1:13" x14ac:dyDescent="0.2">
      <c r="A24" s="15" t="s">
        <v>629</v>
      </c>
      <c r="B24"/>
      <c r="C24"/>
      <c r="D24"/>
      <c r="E24"/>
      <c r="F24"/>
      <c r="G24"/>
      <c r="H24"/>
      <c r="I24"/>
      <c r="J24"/>
      <c r="K24"/>
      <c r="L24"/>
      <c r="M24"/>
    </row>
    <row r="25" spans="1:13" x14ac:dyDescent="0.2">
      <c r="A25" s="15" t="s">
        <v>630</v>
      </c>
      <c r="B25"/>
      <c r="C25"/>
      <c r="D25"/>
      <c r="E25"/>
      <c r="F25"/>
      <c r="G25"/>
      <c r="H25"/>
      <c r="I25"/>
      <c r="J25"/>
      <c r="K25"/>
      <c r="L25"/>
      <c r="M25"/>
    </row>
    <row r="26" spans="1:13" x14ac:dyDescent="0.2">
      <c r="A26" s="15" t="s">
        <v>631</v>
      </c>
      <c r="B26"/>
      <c r="C26"/>
      <c r="D26"/>
      <c r="E26"/>
      <c r="F26"/>
      <c r="G26"/>
      <c r="H26"/>
      <c r="I26"/>
      <c r="J26"/>
      <c r="K26"/>
      <c r="L26"/>
      <c r="M26"/>
    </row>
    <row r="27" spans="1:13" x14ac:dyDescent="0.2">
      <c r="A27" s="15" t="s">
        <v>651</v>
      </c>
      <c r="B27"/>
      <c r="C27"/>
      <c r="D27"/>
      <c r="E27"/>
      <c r="F27"/>
      <c r="G27"/>
      <c r="H27"/>
      <c r="I27"/>
      <c r="J27"/>
      <c r="K27"/>
      <c r="L27"/>
      <c r="M27"/>
    </row>
    <row r="28" spans="1:13" x14ac:dyDescent="0.2">
      <c r="A28" s="15" t="s">
        <v>650</v>
      </c>
      <c r="B28"/>
      <c r="C28"/>
      <c r="D28"/>
      <c r="E28"/>
      <c r="F28"/>
      <c r="G28"/>
      <c r="H28"/>
      <c r="I28"/>
      <c r="J28"/>
      <c r="K28"/>
      <c r="L28"/>
      <c r="M28"/>
    </row>
    <row r="29" spans="1:13" customFormat="1" ht="16" customHeight="1" x14ac:dyDescent="0.2">
      <c r="A29" s="19" t="s">
        <v>648</v>
      </c>
      <c r="B29" s="19"/>
      <c r="C29" s="20"/>
    </row>
    <row r="30" spans="1:13" ht="16" customHeight="1" x14ac:dyDescent="0.2">
      <c r="A30" s="19" t="s">
        <v>652</v>
      </c>
      <c r="B30" s="19"/>
      <c r="C30" s="19"/>
      <c r="D30" s="19"/>
      <c r="E30" s="19"/>
      <c r="F30" s="19"/>
      <c r="G30" s="19"/>
      <c r="H30" s="19"/>
      <c r="I30" s="19"/>
      <c r="J30" s="19"/>
      <c r="K30" s="19"/>
      <c r="L30" s="19"/>
      <c r="M30" s="19"/>
    </row>
    <row r="31" spans="1:13" ht="16" customHeight="1" x14ac:dyDescent="0.2">
      <c r="A31" s="19" t="s">
        <v>653</v>
      </c>
      <c r="B31" s="19"/>
      <c r="C31" s="19"/>
      <c r="D31" s="19"/>
      <c r="E31" s="19"/>
      <c r="F31" s="19"/>
      <c r="G31"/>
      <c r="H31"/>
      <c r="I31"/>
      <c r="J31"/>
      <c r="K31"/>
      <c r="L31"/>
      <c r="M31"/>
    </row>
    <row r="32" spans="1:13" x14ac:dyDescent="0.2">
      <c r="A32" s="15" t="s">
        <v>646</v>
      </c>
      <c r="B32"/>
      <c r="C32"/>
      <c r="D32"/>
      <c r="E32"/>
      <c r="F32"/>
      <c r="G32"/>
      <c r="H32"/>
      <c r="I32"/>
      <c r="J32"/>
      <c r="K32"/>
      <c r="L32"/>
      <c r="M32"/>
    </row>
    <row r="33" spans="1:13" x14ac:dyDescent="0.2">
      <c r="A33" s="15" t="s">
        <v>645</v>
      </c>
      <c r="B33"/>
      <c r="C33"/>
      <c r="D33"/>
      <c r="E33"/>
      <c r="F33"/>
      <c r="G33"/>
      <c r="H33"/>
      <c r="I33"/>
      <c r="J33"/>
      <c r="K33"/>
      <c r="L33"/>
      <c r="M33"/>
    </row>
    <row r="34" spans="1:13" x14ac:dyDescent="0.2">
      <c r="A34" s="15" t="s">
        <v>644</v>
      </c>
      <c r="B34"/>
      <c r="C34"/>
      <c r="D34"/>
      <c r="E34"/>
      <c r="F34"/>
      <c r="G34"/>
      <c r="H34"/>
      <c r="I34"/>
      <c r="J34"/>
      <c r="K34"/>
      <c r="L34"/>
      <c r="M34"/>
    </row>
    <row r="35" spans="1:13" x14ac:dyDescent="0.2">
      <c r="A35" s="15" t="s">
        <v>654</v>
      </c>
      <c r="B35"/>
      <c r="C35"/>
      <c r="D35"/>
      <c r="E35"/>
      <c r="F35"/>
      <c r="G35"/>
      <c r="H35"/>
      <c r="I35"/>
      <c r="J35"/>
      <c r="K35"/>
      <c r="L35"/>
      <c r="M35"/>
    </row>
    <row r="36" spans="1:13" x14ac:dyDescent="0.2">
      <c r="A36" s="15" t="s">
        <v>635</v>
      </c>
      <c r="B36"/>
      <c r="C36"/>
      <c r="D36"/>
      <c r="E36"/>
      <c r="F36"/>
      <c r="G36"/>
      <c r="H36"/>
      <c r="I36"/>
      <c r="J36"/>
      <c r="K36"/>
      <c r="L36"/>
      <c r="M36"/>
    </row>
    <row r="37" spans="1:13" x14ac:dyDescent="0.2">
      <c r="A37" s="15" t="s">
        <v>636</v>
      </c>
      <c r="B37"/>
      <c r="C37"/>
      <c r="D37"/>
      <c r="E37"/>
      <c r="F37"/>
      <c r="G37"/>
      <c r="H37"/>
      <c r="I37"/>
      <c r="J37"/>
      <c r="K37"/>
      <c r="L37"/>
      <c r="M37"/>
    </row>
    <row r="38" spans="1:13" ht="15.5" customHeight="1" x14ac:dyDescent="0.2">
      <c r="A38" s="15" t="s">
        <v>637</v>
      </c>
      <c r="B38"/>
      <c r="C38"/>
      <c r="D38"/>
      <c r="E38"/>
      <c r="F38"/>
      <c r="G38"/>
      <c r="H38"/>
      <c r="I38"/>
      <c r="J38"/>
      <c r="K38"/>
      <c r="L38"/>
      <c r="M38"/>
    </row>
    <row r="39" spans="1:13" ht="15.5" customHeight="1" x14ac:dyDescent="0.2">
      <c r="A39" s="15" t="s">
        <v>638</v>
      </c>
      <c r="B39"/>
      <c r="C39"/>
      <c r="D39"/>
      <c r="E39"/>
      <c r="F39"/>
      <c r="G39"/>
      <c r="H39"/>
      <c r="I39"/>
      <c r="J39"/>
      <c r="K39"/>
      <c r="L39"/>
      <c r="M39"/>
    </row>
    <row r="40" spans="1:13" ht="17" customHeight="1" x14ac:dyDescent="0.2">
      <c r="A40" s="15" t="s">
        <v>639</v>
      </c>
      <c r="B40"/>
      <c r="C40"/>
      <c r="D40"/>
      <c r="E40"/>
      <c r="F40"/>
      <c r="G40"/>
      <c r="H40"/>
      <c r="I40"/>
      <c r="J40"/>
      <c r="K40"/>
      <c r="L40"/>
      <c r="M40"/>
    </row>
    <row r="41" spans="1:13" ht="18" customHeight="1" x14ac:dyDescent="0.2">
      <c r="A41" s="19" t="s">
        <v>627</v>
      </c>
      <c r="B41" s="19"/>
      <c r="C41" s="19"/>
      <c r="D41" s="21"/>
      <c r="E41" s="21"/>
      <c r="F41" s="21"/>
      <c r="G41" s="21"/>
      <c r="H41" s="21"/>
      <c r="I41" s="21"/>
      <c r="J41" s="21"/>
      <c r="K41"/>
      <c r="L41"/>
      <c r="M41"/>
    </row>
    <row r="42" spans="1:13" x14ac:dyDescent="0.2">
      <c r="A42" s="15" t="s">
        <v>673</v>
      </c>
      <c r="B42"/>
      <c r="C42"/>
      <c r="D42"/>
      <c r="E42"/>
      <c r="F42"/>
      <c r="G42"/>
      <c r="H42"/>
      <c r="I42"/>
      <c r="J42"/>
      <c r="K42"/>
      <c r="L42"/>
      <c r="M42"/>
    </row>
    <row r="43" spans="1:13" x14ac:dyDescent="0.2">
      <c r="A43" s="3"/>
    </row>
    <row r="44" spans="1:13" x14ac:dyDescent="0.2">
      <c r="A44" s="3"/>
    </row>
    <row r="45" spans="1:13" x14ac:dyDescent="0.2">
      <c r="A45" s="3"/>
    </row>
  </sheetData>
  <hyperlinks>
    <hyperlink ref="A4" location="'Fig 3 Major Comms+Media Ownersh'!A1" display="Figure 3: Major Communications &amp; Media Ownership Changes in Canada, 1994-2022" xr:uid="{0EFF7EE4-D72D-4E72-956E-1F906EEA1FC5}"/>
    <hyperlink ref="A5" location="'Fig 4 M&amp;As $'!A1" display="Figure 4: Mergers and Acquisitions in Telecoms &amp; Media, 1985-2022 (Millions CDN$)" xr:uid="{3B56DA5C-AE10-40D9-9E0E-E988A72DDFA5}"/>
    <hyperlink ref="A11" location="'Figs 9 &amp; 10 CR+HHI'!A1" display="Figure 10: HHI Scores for the Telecom &amp; Internet Access Sectors, 1984 – 2022  (Based on Revenue)" xr:uid="{0652B5E1-EC9D-4714-813E-DC84F60F438C}"/>
    <hyperlink ref="A12" location="'Fig11 Mobile Wireless MrktShare'!A1" display="Figure 11: Mobile Wireless Operators’ National Market Share, 1985-2022 (based on revenue)" xr:uid="{115659EE-460A-4B53-8373-69317F1E595A}"/>
    <hyperlink ref="A13" location="'Fig 12+13 WirelessMSbyProvince'!A1" display="Figure 12: Province mobile wireless market shares, by subscriber, 2022" xr:uid="{30F2EE26-03B9-46E6-9361-9A4BF4B73DBC}"/>
    <hyperlink ref="A16" location="'Figs 11+12 Res Internet '!A1" display="Figure 11: Residential Internet Access Services by Type of ISP: Market Share based on Revenue, 2000-2022" xr:uid="{1A078C40-B595-4263-AE57-E677F0D06B2A}"/>
    <hyperlink ref="A17" location="'Figs 11+12 Res Internet '!A1" display="Figure 12: Residential Internet Access Services HHI Scores based on Revenue, 2000-2022" xr:uid="{16FCA492-3AC8-4418-B3FA-0FCB26434FAD}"/>
    <hyperlink ref="A19" location="'Fig 18 Cable vs Telcos'!A1" display="Figure 18: The Decline of Monopoly Cable TV: Cable Companies vs Telephone Companies Market Share Based on Revenue, 1996-2022" xr:uid="{A325FA17-C739-4362-B77B-EA993951E6BF}"/>
    <hyperlink ref="A20" location="'Fig 19 ICTS vs CPI '!A1" display="Figure 19: Communication Services &amp; Devices vs the CPI, 2002-2022" xr:uid="{EEE2BD95-2C6A-4FED-9651-80521099CF1A}"/>
    <hyperlink ref="A8" location="'Figs 7-8 Network Connection $'!A1" display="Figure 7: Market share by Subscriber Lines and Type of Service, 2022" xr:uid="{09C1272D-7507-45CC-B82C-347B22DF4773}"/>
    <hyperlink ref="A9" location="'Figs 7-8 Network Connection $'!A1" display="Figure 8: Market share by Type of Service and Revenue, 2022" xr:uid="{3CC600DA-1CD8-419C-BCC6-37453E925529}"/>
    <hyperlink ref="A21" location="'Fig 20 Internet v TV ad$ '!A1" display="Figure 20: Internet Advertising Outstrips Advertising on Television and Other Media by a Widening Margin, 2004-2022" xr:uid="{7ADB3F18-45F8-431D-B1A0-98F80320B954}"/>
    <hyperlink ref="A24" location="'Fig 23 Internet Ad$ '!A1" display="Figure 23: Internet Advertising: Revenue, Market Shares and Concentration Scores (based on $), 2014-2022" xr:uid="{DD776F5F-3A5A-4803-B401-5D110339DF50}"/>
    <hyperlink ref="A25" location="'Fig 24 Google Ad Tech Stack'!A1" display="Figure 24: Google’s Vertically-Integrated Ad-Tech Stack" xr:uid="{4E8D7E17-D231-4EEC-A36A-EB6366BF0155}"/>
    <hyperlink ref="A26" location="'Fig 25 Total Ad$ '!A1" display="Figure 25: Total Advertising Revenue Across All Media, Market Shares and Concentration Scores, 2017, 2018, 2019 vs 2022" xr:uid="{FF20BC94-9AEF-4E75-88B9-8712BDC6D6A2}"/>
    <hyperlink ref="A7" location="'Fig 6 Conn vs Content'!A1" display="Figure 6: Connectivity vs Content within Canada’s Vertically-Integrated Telecoms and Media Companies, 2022 (Ratio by Revenue)" xr:uid="{A4588E8E-31AD-4DF6-8086-1184DD9D4F88}"/>
    <hyperlink ref="A2" location="'Fig 1 Conc Rankings by HHI'!A1" display="Figure 1: Concentration Rankings on the basis of HHI Scores, 2022" xr:uid="{7E4648AF-29DB-4037-A994-6C4DEDAE25B8}"/>
    <hyperlink ref="A6" location="'Fig 5 VI US vs Canada, 2022'!A1" display="Figure 5: Vertical Integration and the Network Media Ecology in the United States vs Canada, 2022 (Market share based on revenue)" xr:uid="{0CD32931-63AE-4409-9493-4A11F98FE517}"/>
    <hyperlink ref="A3" location="'Fig 2 Sectors Covered'!A1" display="Figure 2: The Network Media Economy in Canada--What the CMCR Project Covers" xr:uid="{F1E2005C-E7B8-4C90-828C-B1C454497CE2}"/>
    <hyperlink ref="A10" location="'Figs 9 &amp; 10 CR+HHI'!A1" display="Figure 9: CR Scores for the Telecom &amp; Internet Access Sectors, 1984 – 2022 (Based on Revenue)" xr:uid="{0F6104FF-768B-473B-AC13-179AC58DD349}"/>
    <hyperlink ref="A23" location="'Fig 22 Social Media '!A1" display="Figure 22: Social Media Sites, 2012 - 2022" xr:uid="{357B8640-E3FE-4C3C-9294-70B4D1B5CEAD}"/>
    <hyperlink ref="A22" location="'Fig 21 Search Engines'!A1" display="Figure 21: Search Engines, Market Shares, and Concentration Levels, 2009- 2022" xr:uid="{F8A581C4-EDEC-481C-8CAC-4E401FD8DE59}"/>
    <hyperlink ref="A14:L14" location="'Fig 12+13 WirelessMSbyProvince'!A1" display="Figure 13: Province mobile wireless market shares, by revenue, 2022" xr:uid="{9679675F-C9AF-415F-A59B-86922F7ED2FC}"/>
    <hyperlink ref="A30:M30" location="'Fig 29 OVD MrktShare w YT'!A1" display="Figure 29: Online Video Distributors, 2012, 2017 vs 2022 (Market Share based on revenue)" xr:uid="{0E1A18B0-C61A-4037-9C3B-2CD928D4F0A2}"/>
    <hyperlink ref="A31:F31" location="'Fig 30 TV + Video Landscape'!A1" display="Figure 30: The Television and Video Landscape Remade, 1984-2022" xr:uid="{41EF5DD0-D729-43DF-8625-55F06F195E33}"/>
    <hyperlink ref="A32" location="'Fig 31 CR ScoresTV'!A1" display="Figure 31: CR Scores for Television, 1984-2022" xr:uid="{645E999C-514B-4E38-9FFD-2CD4305D2990}"/>
    <hyperlink ref="A33" location="'Fig 32 HHI Scores TV'!A1" display="Figure 32: HHI Scores for Television, 1984-2022" xr:uid="{A3EFC54C-E5BB-4CBB-9046-E18E6379BE06}"/>
    <hyperlink ref="A34" location="'Fig 33 Digital Games  '!A1" display="Figure 33: Gaming Publishers and Platforms, 2022 (Market Share based on $)" xr:uid="{4D6D31AC-6515-49EA-87D5-AD3E2D175D8E}"/>
    <hyperlink ref="A35" location="'Fig 34 Streaming Music+Publish'!A1" display="Figure 34: Streaming Music+Publish" xr:uid="{5ECC09EA-9E0A-49E0-8819-2FE2901C8969}"/>
    <hyperlink ref="A27" location="'Figure Internet News'!A1" display="Figure 26: Online News Sources--Share of Average Monthly Users, 2022" xr:uid="{3418C428-3E03-4682-88CC-66EF5C260861}"/>
    <hyperlink ref="A36" location="'Fig 35 Major InternetCos'!A1" display="Figure 35: Total Revenues of the Leading International Internet Companies in Canada, 2022 (millions$)" xr:uid="{06D1EC2A-C785-43E9-BB02-A51EF9E80215}"/>
    <hyperlink ref="A37" location="'Fig 36 Internet Content Aggs'!A1" display="Figure 36: Internet content aggregators &amp; distributors share of traditional and online media services revenue in Canada, 2012-2022" xr:uid="{0FD2E062-9958-4A82-91EA-FBA694958DD6}"/>
    <hyperlink ref="A38" location="'Fig 37 Leading Content Cos'!A1" display="Figure 37: Leading Companies in Traditional and Online Media Sectors in Canada, 2022" xr:uid="{6BA77EDB-03C1-484C-8F44-E85740A4F87F}"/>
    <hyperlink ref="A39" location="'Fig 38 CR1, 4 &amp; 10'!A1" display="Figure 38: CR  1, 4 and 10 Scores and Vertically Integrated Company Market Share for the Network Media Economy, 1984-2022" xr:uid="{36C8C132-966B-4B57-8018-0F4917B276DA}"/>
    <hyperlink ref="A40" location="'Fig 39 HHI Scores for NME'!A1" display="Figure 39: HHI Scores for the Network Media Economy, 1984-2022" xr:uid="{317FF6A0-3FE3-403C-A13F-5B0DCD2B1E04}"/>
    <hyperlink ref="A42" location="'Fig 41 LeadingTelecomInternet'!A1" display="Figure 41a: Leading communications-internet and Media Companies in Canada, 2022" xr:uid="{8D05A59E-16DE-F44F-9136-E59870279260}"/>
    <hyperlink ref="A15" location="'Fig14 RS Before-After'!A1" display="Figure 14: National retail internet access market: &quot;Before&quot; vs &quot;after&quot; Rogers-Shaw Deal (based on 2022 revenue)" xr:uid="{63B4B471-968A-8E44-A4D4-B4FD09D99F2A}"/>
    <hyperlink ref="A18:C18" location="'Fig 17 BDU RS BeforeAfter'!A1" display="Figure 17: National BDU market: &quot;Before&quot; vs &quot;after&quot; Rogers-Shaw Deal (based on 2022 revenue)" xr:uid="{CF095D73-C3E4-A842-A845-0A93EB7D3826}"/>
    <hyperlink ref="A28" location="'Figure 27 OVD MrktShare No  YT'!A1" display="Figure 27 Online Video Distributors, 2012, 2017 vs 2022 (Market Share based on revenue)" xr:uid="{485A62D0-6A3A-A84B-AE73-F6EF060738BF}"/>
    <hyperlink ref="A29:B29" location="'Fig 28 OVS Subs MS'!A1" display="Figure 28: Online Video Distributors--Market Share based on subscribers, 2022" xr:uid="{6E3CCB52-308E-5145-A7E0-07DEEA4E3853}"/>
    <hyperlink ref="A41:C41" location="'Fig 40 Conc RankingsHHI'!A1" display="Figure 40: Concentration Rankings on the basis of HHI Scores, 2022" xr:uid="{2C838496-8323-5E42-B54A-2FAA293B54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6"/>
  <sheetViews>
    <sheetView zoomScaleNormal="100" workbookViewId="0">
      <selection activeCell="C16" sqref="A1:F16"/>
    </sheetView>
  </sheetViews>
  <sheetFormatPr baseColWidth="10" defaultColWidth="44.33203125" defaultRowHeight="16" x14ac:dyDescent="0.2"/>
  <cols>
    <col min="1" max="16384" width="44.33203125" style="4"/>
  </cols>
  <sheetData>
    <row r="1" spans="1:6" x14ac:dyDescent="0.2">
      <c r="A1" s="29" t="s">
        <v>466</v>
      </c>
      <c r="B1" s="29"/>
      <c r="C1" s="29"/>
      <c r="D1" s="29"/>
      <c r="E1" s="29"/>
      <c r="F1" s="29"/>
    </row>
    <row r="2" spans="1:6" ht="17" x14ac:dyDescent="0.2">
      <c r="A2" s="12" t="s">
        <v>2</v>
      </c>
      <c r="B2" s="13" t="s">
        <v>3</v>
      </c>
      <c r="C2" s="14" t="s">
        <v>4</v>
      </c>
    </row>
    <row r="3" spans="1:6" ht="17" x14ac:dyDescent="0.2">
      <c r="A3" s="4" t="s">
        <v>513</v>
      </c>
      <c r="B3" s="4" t="s">
        <v>556</v>
      </c>
      <c r="C3" s="4" t="s">
        <v>514</v>
      </c>
    </row>
    <row r="4" spans="1:6" ht="17" x14ac:dyDescent="0.2">
      <c r="A4" s="4" t="s">
        <v>557</v>
      </c>
      <c r="B4" s="4" t="s">
        <v>655</v>
      </c>
      <c r="C4" s="4" t="s">
        <v>559</v>
      </c>
    </row>
    <row r="5" spans="1:6" ht="17" x14ac:dyDescent="0.2">
      <c r="A5" s="4" t="s">
        <v>560</v>
      </c>
      <c r="B5" s="4" t="s">
        <v>558</v>
      </c>
      <c r="C5" s="4" t="s">
        <v>571</v>
      </c>
    </row>
    <row r="6" spans="1:6" ht="17" x14ac:dyDescent="0.2">
      <c r="A6" s="4" t="s">
        <v>561</v>
      </c>
      <c r="B6" s="4" t="s">
        <v>672</v>
      </c>
      <c r="C6" s="4" t="s">
        <v>476</v>
      </c>
    </row>
    <row r="7" spans="1:6" ht="17" x14ac:dyDescent="0.2">
      <c r="A7" s="4" t="s">
        <v>562</v>
      </c>
      <c r="C7" s="4" t="s">
        <v>674</v>
      </c>
    </row>
    <row r="8" spans="1:6" ht="17" x14ac:dyDescent="0.2">
      <c r="A8" s="4" t="s">
        <v>563</v>
      </c>
      <c r="C8" s="4" t="s">
        <v>564</v>
      </c>
    </row>
    <row r="9" spans="1:6" ht="17" x14ac:dyDescent="0.2">
      <c r="A9" s="4" t="s">
        <v>515</v>
      </c>
      <c r="C9" s="4" t="s">
        <v>565</v>
      </c>
    </row>
    <row r="10" spans="1:6" ht="17" x14ac:dyDescent="0.2">
      <c r="A10" s="4" t="s">
        <v>566</v>
      </c>
      <c r="C10" s="4" t="s">
        <v>567</v>
      </c>
    </row>
    <row r="11" spans="1:6" ht="17" x14ac:dyDescent="0.2">
      <c r="A11" s="4" t="s">
        <v>675</v>
      </c>
      <c r="C11" s="4" t="s">
        <v>475</v>
      </c>
    </row>
    <row r="12" spans="1:6" ht="17" x14ac:dyDescent="0.2">
      <c r="C12" s="4" t="s">
        <v>474</v>
      </c>
    </row>
    <row r="13" spans="1:6" ht="17" x14ac:dyDescent="0.2">
      <c r="C13" s="4" t="s">
        <v>568</v>
      </c>
    </row>
    <row r="14" spans="1:6" ht="17" x14ac:dyDescent="0.2">
      <c r="C14" s="4" t="s">
        <v>569</v>
      </c>
    </row>
    <row r="15" spans="1:6" ht="17" x14ac:dyDescent="0.2">
      <c r="C15" s="4" t="s">
        <v>570</v>
      </c>
    </row>
    <row r="16" spans="1:6" ht="17" x14ac:dyDescent="0.2">
      <c r="C16" s="4" t="s">
        <v>473</v>
      </c>
    </row>
  </sheetData>
  <mergeCells count="1">
    <mergeCell ref="A1:F1"/>
  </mergeCells>
  <phoneticPr fontId="4" type="noConversion"/>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B6FBB-5075-5F49-A5EF-F8C48B226728}">
  <dimension ref="A1:A4"/>
  <sheetViews>
    <sheetView workbookViewId="0"/>
  </sheetViews>
  <sheetFormatPr baseColWidth="10" defaultColWidth="11" defaultRowHeight="16" x14ac:dyDescent="0.2"/>
  <cols>
    <col min="1" max="1" width="116.6640625" style="7" customWidth="1"/>
    <col min="2" max="16384" width="11" style="7"/>
  </cols>
  <sheetData>
    <row r="1" spans="1:1" ht="28" customHeight="1" x14ac:dyDescent="0.2">
      <c r="A1" s="6" t="s">
        <v>1</v>
      </c>
    </row>
    <row r="2" spans="1:1" ht="17" x14ac:dyDescent="0.2">
      <c r="A2" s="7" t="s">
        <v>670</v>
      </c>
    </row>
    <row r="3" spans="1:1" ht="68" x14ac:dyDescent="0.2">
      <c r="A3" s="7" t="s">
        <v>669</v>
      </c>
    </row>
    <row r="4" spans="1:1" ht="34" x14ac:dyDescent="0.2">
      <c r="A4" s="7" t="s">
        <v>671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7D0A-F9CF-624B-9091-E148D8FA760F}">
  <dimension ref="A1:B30"/>
  <sheetViews>
    <sheetView zoomScale="63" zoomScaleNormal="120" workbookViewId="0">
      <selection sqref="A1:B1"/>
    </sheetView>
  </sheetViews>
  <sheetFormatPr baseColWidth="10" defaultColWidth="11" defaultRowHeight="16" x14ac:dyDescent="0.2"/>
  <cols>
    <col min="1" max="1" width="104.6640625" customWidth="1"/>
    <col min="2" max="2" width="15.83203125" customWidth="1"/>
  </cols>
  <sheetData>
    <row r="1" spans="1:2" x14ac:dyDescent="0.2">
      <c r="A1" s="29" t="s">
        <v>535</v>
      </c>
      <c r="B1" s="29"/>
    </row>
    <row r="2" spans="1:2" ht="17" x14ac:dyDescent="0.2">
      <c r="A2" s="4" t="s">
        <v>663</v>
      </c>
      <c r="B2" s="4"/>
    </row>
    <row r="3" spans="1:2" ht="17" x14ac:dyDescent="0.2">
      <c r="A3" s="4" t="s">
        <v>5</v>
      </c>
      <c r="B3" s="4"/>
    </row>
    <row r="4" spans="1:2" ht="17" x14ac:dyDescent="0.2">
      <c r="A4" s="4" t="s">
        <v>6</v>
      </c>
      <c r="B4" s="4"/>
    </row>
    <row r="5" spans="1:2" ht="17" x14ac:dyDescent="0.2">
      <c r="A5" s="4" t="s">
        <v>7</v>
      </c>
      <c r="B5" s="4"/>
    </row>
    <row r="6" spans="1:2" ht="34" x14ac:dyDescent="0.2">
      <c r="A6" s="4" t="s">
        <v>575</v>
      </c>
      <c r="B6" s="4"/>
    </row>
    <row r="7" spans="1:2" ht="17" x14ac:dyDescent="0.2">
      <c r="A7" s="4" t="s">
        <v>8</v>
      </c>
      <c r="B7" s="4"/>
    </row>
    <row r="8" spans="1:2" ht="17" x14ac:dyDescent="0.2">
      <c r="A8" s="4" t="s">
        <v>9</v>
      </c>
      <c r="B8" s="4"/>
    </row>
    <row r="9" spans="1:2" ht="17" x14ac:dyDescent="0.2">
      <c r="A9" s="4" t="s">
        <v>10</v>
      </c>
      <c r="B9" s="4"/>
    </row>
    <row r="10" spans="1:2" ht="17" x14ac:dyDescent="0.2">
      <c r="A10" s="4" t="s">
        <v>576</v>
      </c>
      <c r="B10" s="4"/>
    </row>
    <row r="11" spans="1:2" ht="17" x14ac:dyDescent="0.2">
      <c r="A11" s="4" t="s">
        <v>577</v>
      </c>
      <c r="B11" s="4"/>
    </row>
    <row r="12" spans="1:2" ht="17" x14ac:dyDescent="0.2">
      <c r="A12" s="4" t="s">
        <v>11</v>
      </c>
      <c r="B12" s="4"/>
    </row>
    <row r="13" spans="1:2" ht="17" x14ac:dyDescent="0.2">
      <c r="A13" s="4" t="s">
        <v>12</v>
      </c>
      <c r="B13" s="4"/>
    </row>
    <row r="14" spans="1:2" ht="17" x14ac:dyDescent="0.2">
      <c r="A14" s="4" t="s">
        <v>578</v>
      </c>
      <c r="B14" s="4"/>
    </row>
    <row r="15" spans="1:2" ht="34" x14ac:dyDescent="0.2">
      <c r="A15" s="4" t="s">
        <v>579</v>
      </c>
      <c r="B15" s="4"/>
    </row>
    <row r="16" spans="1:2" ht="17" x14ac:dyDescent="0.2">
      <c r="A16" s="4" t="s">
        <v>580</v>
      </c>
      <c r="B16" s="4"/>
    </row>
    <row r="17" spans="1:2" ht="17" x14ac:dyDescent="0.2">
      <c r="A17" s="4" t="s">
        <v>581</v>
      </c>
      <c r="B17" s="4"/>
    </row>
    <row r="18" spans="1:2" ht="17" x14ac:dyDescent="0.2">
      <c r="A18" s="4" t="s">
        <v>13</v>
      </c>
      <c r="B18" s="4"/>
    </row>
    <row r="19" spans="1:2" ht="17" x14ac:dyDescent="0.2">
      <c r="A19" s="4" t="s">
        <v>664</v>
      </c>
      <c r="B19" s="4"/>
    </row>
    <row r="20" spans="1:2" ht="17" x14ac:dyDescent="0.2">
      <c r="A20" s="4" t="s">
        <v>665</v>
      </c>
      <c r="B20" s="4"/>
    </row>
    <row r="21" spans="1:2" ht="51" x14ac:dyDescent="0.2">
      <c r="A21" s="4" t="s">
        <v>666</v>
      </c>
      <c r="B21" s="4"/>
    </row>
    <row r="22" spans="1:2" ht="17" x14ac:dyDescent="0.2">
      <c r="A22" s="4" t="s">
        <v>667</v>
      </c>
      <c r="B22" s="4"/>
    </row>
    <row r="23" spans="1:2" ht="17" x14ac:dyDescent="0.2">
      <c r="A23" s="4" t="s">
        <v>668</v>
      </c>
      <c r="B23" s="4"/>
    </row>
    <row r="24" spans="1:2" ht="17" x14ac:dyDescent="0.2">
      <c r="A24" s="4" t="s">
        <v>582</v>
      </c>
      <c r="B24" s="4"/>
    </row>
    <row r="25" spans="1:2" ht="17" x14ac:dyDescent="0.2">
      <c r="A25" s="4" t="s">
        <v>534</v>
      </c>
      <c r="B25" s="4"/>
    </row>
    <row r="26" spans="1:2" ht="17" x14ac:dyDescent="0.2">
      <c r="A26" s="4" t="s">
        <v>531</v>
      </c>
      <c r="B26" s="4"/>
    </row>
    <row r="27" spans="1:2" ht="17" x14ac:dyDescent="0.2">
      <c r="A27" s="4" t="s">
        <v>532</v>
      </c>
      <c r="B27" s="4"/>
    </row>
    <row r="28" spans="1:2" ht="17" x14ac:dyDescent="0.2">
      <c r="A28" s="4" t="s">
        <v>533</v>
      </c>
      <c r="B28" s="4"/>
    </row>
    <row r="29" spans="1:2" ht="17" x14ac:dyDescent="0.2">
      <c r="A29" s="4" t="s">
        <v>583</v>
      </c>
      <c r="B29" s="4"/>
    </row>
    <row r="30" spans="1:2" ht="17" x14ac:dyDescent="0.2">
      <c r="A30" s="4" t="s">
        <v>584</v>
      </c>
      <c r="B30" s="4"/>
    </row>
  </sheetData>
  <mergeCells count="1">
    <mergeCell ref="A1:B1"/>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zoomScale="75" workbookViewId="0">
      <selection sqref="A1:E2"/>
    </sheetView>
  </sheetViews>
  <sheetFormatPr baseColWidth="10" defaultColWidth="11" defaultRowHeight="16" x14ac:dyDescent="0.2"/>
  <cols>
    <col min="1" max="1" width="11" style="7"/>
    <col min="2" max="2" width="12.6640625" style="7" bestFit="1" customWidth="1"/>
    <col min="3" max="3" width="11.6640625" style="7" bestFit="1" customWidth="1"/>
    <col min="4" max="16384" width="11" style="7"/>
  </cols>
  <sheetData>
    <row r="1" spans="1:5" ht="16" customHeight="1" x14ac:dyDescent="0.2">
      <c r="A1" s="30" t="s">
        <v>468</v>
      </c>
      <c r="B1" s="30"/>
      <c r="C1" s="30"/>
      <c r="D1" s="30"/>
      <c r="E1" s="30"/>
    </row>
    <row r="2" spans="1:5" ht="30" customHeight="1" x14ac:dyDescent="0.2">
      <c r="A2" s="30"/>
      <c r="B2" s="30"/>
      <c r="C2" s="30"/>
      <c r="D2" s="30"/>
      <c r="E2" s="30"/>
    </row>
    <row r="3" spans="1:5" ht="30" customHeight="1" x14ac:dyDescent="0.2">
      <c r="B3" s="7" t="s">
        <v>14</v>
      </c>
      <c r="C3" s="7" t="s">
        <v>15</v>
      </c>
    </row>
    <row r="4" spans="1:5" x14ac:dyDescent="0.2">
      <c r="A4" s="7">
        <v>1985</v>
      </c>
      <c r="B4" s="7">
        <v>11.2</v>
      </c>
      <c r="C4" s="7">
        <v>431.7</v>
      </c>
    </row>
    <row r="5" spans="1:5" x14ac:dyDescent="0.2">
      <c r="A5" s="7">
        <v>1986</v>
      </c>
      <c r="B5" s="7">
        <v>76.3</v>
      </c>
      <c r="C5" s="7">
        <v>40.6</v>
      </c>
    </row>
    <row r="6" spans="1:5" x14ac:dyDescent="0.2">
      <c r="A6" s="7">
        <v>1987</v>
      </c>
      <c r="B6" s="7">
        <v>953.1</v>
      </c>
      <c r="C6" s="7">
        <v>701.4</v>
      </c>
    </row>
    <row r="7" spans="1:5" x14ac:dyDescent="0.2">
      <c r="A7" s="7">
        <v>1988</v>
      </c>
      <c r="B7" s="7">
        <v>440.9</v>
      </c>
      <c r="C7" s="7">
        <v>833.6</v>
      </c>
    </row>
    <row r="8" spans="1:5" x14ac:dyDescent="0.2">
      <c r="A8" s="7">
        <v>1989</v>
      </c>
      <c r="B8" s="7">
        <v>248.6</v>
      </c>
      <c r="C8" s="7">
        <v>4037.1</v>
      </c>
    </row>
    <row r="9" spans="1:5" x14ac:dyDescent="0.2">
      <c r="A9" s="7">
        <v>1990</v>
      </c>
      <c r="B9" s="7">
        <v>111.6</v>
      </c>
      <c r="C9" s="7">
        <v>172</v>
      </c>
    </row>
    <row r="10" spans="1:5" x14ac:dyDescent="0.2">
      <c r="A10" s="7">
        <v>1991</v>
      </c>
      <c r="B10" s="7">
        <v>321.60000000000002</v>
      </c>
      <c r="C10" s="7">
        <v>120.3</v>
      </c>
    </row>
    <row r="11" spans="1:5" x14ac:dyDescent="0.2">
      <c r="A11" s="7">
        <v>1992</v>
      </c>
      <c r="B11" s="7">
        <v>471.7</v>
      </c>
      <c r="C11" s="7">
        <v>760.5</v>
      </c>
    </row>
    <row r="12" spans="1:5" x14ac:dyDescent="0.2">
      <c r="A12" s="7">
        <v>1993</v>
      </c>
      <c r="B12" s="7">
        <v>289.8</v>
      </c>
      <c r="C12" s="7">
        <v>295.3</v>
      </c>
    </row>
    <row r="13" spans="1:5" x14ac:dyDescent="0.2">
      <c r="A13" s="7">
        <v>1994</v>
      </c>
      <c r="B13" s="7">
        <v>337.1</v>
      </c>
      <c r="C13" s="7">
        <v>2675.6</v>
      </c>
    </row>
    <row r="14" spans="1:5" x14ac:dyDescent="0.2">
      <c r="A14" s="7">
        <v>1995</v>
      </c>
      <c r="B14" s="7">
        <v>730.3</v>
      </c>
      <c r="C14" s="7">
        <v>466.9</v>
      </c>
    </row>
    <row r="15" spans="1:5" x14ac:dyDescent="0.2">
      <c r="A15" s="7">
        <v>1996</v>
      </c>
      <c r="B15" s="7">
        <v>1239.5</v>
      </c>
      <c r="C15" s="7">
        <v>1787.6</v>
      </c>
    </row>
    <row r="16" spans="1:5" x14ac:dyDescent="0.2">
      <c r="A16" s="7">
        <v>1997</v>
      </c>
      <c r="B16" s="7">
        <v>1181.7</v>
      </c>
      <c r="C16" s="7">
        <v>746.5</v>
      </c>
    </row>
    <row r="17" spans="1:3" x14ac:dyDescent="0.2">
      <c r="A17" s="7">
        <v>1998</v>
      </c>
      <c r="B17" s="7">
        <v>8084.2</v>
      </c>
      <c r="C17" s="7">
        <v>3675.7</v>
      </c>
    </row>
    <row r="18" spans="1:3" x14ac:dyDescent="0.2">
      <c r="A18" s="7">
        <v>1999</v>
      </c>
      <c r="B18" s="7">
        <v>19333.599999999999</v>
      </c>
      <c r="C18" s="7">
        <v>6296.6</v>
      </c>
    </row>
    <row r="19" spans="1:3" x14ac:dyDescent="0.2">
      <c r="A19" s="7">
        <v>2000</v>
      </c>
      <c r="B19" s="7">
        <v>81637.7</v>
      </c>
      <c r="C19" s="7">
        <v>10655.5</v>
      </c>
    </row>
    <row r="20" spans="1:3" x14ac:dyDescent="0.2">
      <c r="A20" s="7">
        <v>2001</v>
      </c>
      <c r="B20" s="7">
        <v>2440.4</v>
      </c>
      <c r="C20" s="7">
        <v>2896.9</v>
      </c>
    </row>
    <row r="21" spans="1:3" x14ac:dyDescent="0.2">
      <c r="A21" s="7">
        <v>2002</v>
      </c>
      <c r="B21" s="7">
        <v>22310.5</v>
      </c>
      <c r="C21" s="7">
        <v>4339.5</v>
      </c>
    </row>
    <row r="22" spans="1:3" x14ac:dyDescent="0.2">
      <c r="A22" s="7">
        <v>2003</v>
      </c>
      <c r="B22" s="7">
        <v>959</v>
      </c>
      <c r="C22" s="7">
        <v>1028.8</v>
      </c>
    </row>
    <row r="23" spans="1:3" x14ac:dyDescent="0.2">
      <c r="A23" s="7">
        <v>2004</v>
      </c>
      <c r="B23" s="7">
        <v>6913.5</v>
      </c>
      <c r="C23" s="7">
        <v>1058.2</v>
      </c>
    </row>
    <row r="24" spans="1:3" x14ac:dyDescent="0.2">
      <c r="A24" s="7">
        <v>2005</v>
      </c>
      <c r="B24" s="7">
        <v>1722.1</v>
      </c>
      <c r="C24" s="7">
        <v>1984.8</v>
      </c>
    </row>
    <row r="25" spans="1:3" x14ac:dyDescent="0.2">
      <c r="A25" s="7">
        <v>2006</v>
      </c>
      <c r="B25" s="7">
        <v>9365.4</v>
      </c>
      <c r="C25" s="7">
        <v>3413.3</v>
      </c>
    </row>
    <row r="26" spans="1:3" x14ac:dyDescent="0.2">
      <c r="A26" s="7">
        <v>2007</v>
      </c>
      <c r="B26" s="7">
        <v>14278.7</v>
      </c>
      <c r="C26" s="7">
        <v>5051.6000000000004</v>
      </c>
    </row>
    <row r="27" spans="1:3" x14ac:dyDescent="0.2">
      <c r="A27" s="7">
        <v>2008</v>
      </c>
      <c r="B27" s="7">
        <v>3413.2</v>
      </c>
      <c r="C27" s="7">
        <v>210</v>
      </c>
    </row>
    <row r="28" spans="1:3" x14ac:dyDescent="0.2">
      <c r="A28" s="7">
        <v>2009</v>
      </c>
      <c r="B28" s="7">
        <v>3212</v>
      </c>
      <c r="C28" s="7">
        <v>934.9</v>
      </c>
    </row>
    <row r="29" spans="1:3" x14ac:dyDescent="0.2">
      <c r="A29" s="7">
        <v>2010</v>
      </c>
      <c r="B29" s="7">
        <v>4723.8</v>
      </c>
      <c r="C29" s="7">
        <v>12378.4</v>
      </c>
    </row>
    <row r="30" spans="1:3" x14ac:dyDescent="0.2">
      <c r="A30" s="7">
        <v>2011</v>
      </c>
      <c r="B30" s="7">
        <v>4003.4</v>
      </c>
      <c r="C30" s="7">
        <v>2104.6</v>
      </c>
    </row>
    <row r="31" spans="1:3" x14ac:dyDescent="0.2">
      <c r="A31" s="7">
        <v>2012</v>
      </c>
      <c r="B31" s="7">
        <v>7303.7</v>
      </c>
      <c r="C31" s="7">
        <v>17419.099999999999</v>
      </c>
    </row>
    <row r="32" spans="1:3" x14ac:dyDescent="0.2">
      <c r="A32" s="7">
        <v>2013</v>
      </c>
      <c r="B32" s="7">
        <v>2079.1999999999998</v>
      </c>
      <c r="C32" s="7">
        <v>1824.3</v>
      </c>
    </row>
    <row r="33" spans="1:3" x14ac:dyDescent="0.2">
      <c r="A33" s="7">
        <v>2014</v>
      </c>
      <c r="B33" s="7">
        <v>21378</v>
      </c>
      <c r="C33" s="7">
        <v>888.8</v>
      </c>
    </row>
    <row r="34" spans="1:3" x14ac:dyDescent="0.2">
      <c r="A34" s="7">
        <v>2015</v>
      </c>
      <c r="B34" s="7">
        <v>7100.9</v>
      </c>
      <c r="C34" s="7">
        <v>2346.8000000000002</v>
      </c>
    </row>
    <row r="35" spans="1:3" x14ac:dyDescent="0.2">
      <c r="A35" s="7">
        <v>2016</v>
      </c>
      <c r="B35" s="7">
        <v>8610.7999999999993</v>
      </c>
      <c r="C35" s="7">
        <v>7183</v>
      </c>
    </row>
    <row r="36" spans="1:3" x14ac:dyDescent="0.2">
      <c r="A36" s="7">
        <v>2017</v>
      </c>
      <c r="B36" s="7">
        <v>431.3</v>
      </c>
      <c r="C36" s="7">
        <v>165.6</v>
      </c>
    </row>
    <row r="37" spans="1:3" x14ac:dyDescent="0.2">
      <c r="A37" s="7">
        <v>2018</v>
      </c>
      <c r="B37" s="7">
        <v>6703.1</v>
      </c>
      <c r="C37" s="7">
        <v>4768.5</v>
      </c>
    </row>
    <row r="38" spans="1:3" x14ac:dyDescent="0.2">
      <c r="A38" s="7">
        <v>2019</v>
      </c>
      <c r="B38" s="7">
        <v>204.8</v>
      </c>
      <c r="C38" s="7">
        <v>16.2</v>
      </c>
    </row>
    <row r="39" spans="1:3" x14ac:dyDescent="0.2">
      <c r="A39" s="7">
        <v>2020</v>
      </c>
      <c r="B39" s="7">
        <v>4758.2</v>
      </c>
      <c r="C39" s="7">
        <v>4347.8</v>
      </c>
    </row>
    <row r="40" spans="1:3" x14ac:dyDescent="0.2">
      <c r="A40" s="7">
        <v>2021</v>
      </c>
      <c r="B40" s="7">
        <v>28006.073049999999</v>
      </c>
      <c r="C40" s="7">
        <v>1820.7588900000001</v>
      </c>
    </row>
    <row r="41" spans="1:3" x14ac:dyDescent="0.2">
      <c r="A41" s="7">
        <v>2022</v>
      </c>
      <c r="B41" s="7">
        <v>8550.8423000000003</v>
      </c>
      <c r="C41" s="7">
        <v>1072.2711999999999</v>
      </c>
    </row>
  </sheetData>
  <mergeCells count="1">
    <mergeCell ref="A1:E2"/>
  </mergeCells>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topLeftCell="A2" zoomScale="125" zoomScaleNormal="120" zoomScalePageLayoutView="140" workbookViewId="0">
      <selection sqref="A1:H1"/>
    </sheetView>
  </sheetViews>
  <sheetFormatPr baseColWidth="10" defaultColWidth="11" defaultRowHeight="16" x14ac:dyDescent="0.2"/>
  <cols>
    <col min="1" max="1" width="23" style="8" customWidth="1"/>
    <col min="2" max="2" width="13" style="8" customWidth="1"/>
    <col min="3" max="3" width="6.33203125" style="8" customWidth="1"/>
    <col min="4" max="4" width="17.5" style="8" customWidth="1"/>
    <col min="5" max="5" width="14.33203125" style="8" customWidth="1"/>
    <col min="6" max="6" width="12" style="8" customWidth="1"/>
    <col min="7" max="7" width="12.33203125" style="8" customWidth="1"/>
    <col min="8" max="8" width="10.5" style="8" customWidth="1"/>
    <col min="9" max="9" width="13.5" style="8" customWidth="1"/>
    <col min="10" max="10" width="10.1640625" style="8" customWidth="1"/>
    <col min="11" max="11" width="9" style="8" customWidth="1"/>
    <col min="12" max="12" width="11.33203125" style="8" customWidth="1"/>
    <col min="13" max="13" width="10" style="8" customWidth="1"/>
    <col min="14" max="14" width="15.1640625" style="8" customWidth="1"/>
    <col min="15" max="15" width="13" style="8" customWidth="1"/>
    <col min="16" max="16" width="13.33203125" style="8" customWidth="1"/>
    <col min="17" max="17" width="13" style="8" customWidth="1"/>
    <col min="18" max="18" width="14.1640625" style="8" customWidth="1"/>
    <col min="19" max="37" width="10.83203125" style="8"/>
    <col min="38" max="16384" width="11" style="8"/>
  </cols>
  <sheetData>
    <row r="1" spans="1:14" hidden="1" x14ac:dyDescent="0.2">
      <c r="A1" s="31" t="s">
        <v>16</v>
      </c>
      <c r="B1" s="31"/>
      <c r="C1" s="31"/>
      <c r="D1" s="31"/>
      <c r="E1" s="31"/>
      <c r="F1" s="31"/>
      <c r="G1" s="31"/>
      <c r="H1" s="31"/>
    </row>
    <row r="2" spans="1:14" ht="21" customHeight="1" x14ac:dyDescent="0.2">
      <c r="A2" s="32" t="s">
        <v>469</v>
      </c>
      <c r="B2" s="32"/>
      <c r="C2" s="32"/>
      <c r="D2" s="32"/>
      <c r="E2" s="32"/>
      <c r="F2" s="32"/>
      <c r="G2" s="32"/>
      <c r="H2" s="32"/>
      <c r="I2" s="32"/>
      <c r="J2" s="32"/>
      <c r="K2" s="32"/>
      <c r="L2" s="32"/>
      <c r="M2" s="32"/>
      <c r="N2" s="32"/>
    </row>
    <row r="3" spans="1:14" ht="34.25" customHeight="1" x14ac:dyDescent="0.2">
      <c r="B3" s="8" t="s">
        <v>17</v>
      </c>
      <c r="E3" s="8" t="s">
        <v>17</v>
      </c>
    </row>
    <row r="4" spans="1:14" ht="19.25" customHeight="1" x14ac:dyDescent="0.2">
      <c r="A4" s="11" t="s">
        <v>18</v>
      </c>
      <c r="B4" s="11">
        <v>23.68777527205539</v>
      </c>
      <c r="D4" s="8" t="s">
        <v>25</v>
      </c>
      <c r="E4" s="8">
        <v>11.25458706779003</v>
      </c>
    </row>
    <row r="5" spans="1:14" x14ac:dyDescent="0.2">
      <c r="A5" s="8" t="s">
        <v>26</v>
      </c>
      <c r="B5" s="8">
        <v>14.98589466983038</v>
      </c>
      <c r="D5" s="8" t="s">
        <v>19</v>
      </c>
      <c r="E5" s="8">
        <v>10.227139200622876</v>
      </c>
    </row>
    <row r="6" spans="1:14" x14ac:dyDescent="0.2">
      <c r="A6" s="11" t="s">
        <v>20</v>
      </c>
      <c r="B6" s="11">
        <v>14.249203532090421</v>
      </c>
      <c r="D6" s="8" t="s">
        <v>27</v>
      </c>
      <c r="E6" s="8">
        <v>8.7553586547314897</v>
      </c>
    </row>
    <row r="7" spans="1:14" x14ac:dyDescent="0.2">
      <c r="A7" s="8" t="s">
        <v>27</v>
      </c>
      <c r="B7" s="8">
        <v>7.6864657340530869</v>
      </c>
      <c r="D7" s="8" t="s">
        <v>29</v>
      </c>
      <c r="E7" s="8">
        <v>5.8780191118299863</v>
      </c>
    </row>
    <row r="8" spans="1:14" x14ac:dyDescent="0.2">
      <c r="A8" s="11" t="s">
        <v>22</v>
      </c>
      <c r="B8" s="11">
        <v>6.401770122770138</v>
      </c>
      <c r="D8" s="11" t="s">
        <v>21</v>
      </c>
      <c r="E8" s="11">
        <v>5.7695665011666089</v>
      </c>
    </row>
    <row r="9" spans="1:14" x14ac:dyDescent="0.2">
      <c r="A9" s="11" t="s">
        <v>24</v>
      </c>
      <c r="B9" s="11">
        <v>4.0017333514071147</v>
      </c>
      <c r="D9" s="8" t="s">
        <v>517</v>
      </c>
      <c r="E9" s="8">
        <v>3.5364167345847233</v>
      </c>
    </row>
    <row r="10" spans="1:14" x14ac:dyDescent="0.2">
      <c r="A10" s="8" t="s">
        <v>28</v>
      </c>
      <c r="B10" s="8">
        <v>3.678349778031647</v>
      </c>
      <c r="D10" s="8" t="s">
        <v>31</v>
      </c>
      <c r="E10" s="8">
        <v>3.3656280358067892</v>
      </c>
    </row>
    <row r="11" spans="1:14" x14ac:dyDescent="0.2">
      <c r="A11" s="8" t="s">
        <v>30</v>
      </c>
      <c r="B11" s="8">
        <v>1.6383280454450537</v>
      </c>
      <c r="D11" s="11" t="s">
        <v>23</v>
      </c>
      <c r="E11" s="11">
        <v>3.3178631834240533</v>
      </c>
    </row>
    <row r="12" spans="1:14" x14ac:dyDescent="0.2">
      <c r="A12" s="8" t="s">
        <v>34</v>
      </c>
      <c r="B12" s="8">
        <v>1.6241372064904089</v>
      </c>
      <c r="D12" s="8" t="s">
        <v>34</v>
      </c>
      <c r="E12" s="8">
        <v>2.1829633678249598</v>
      </c>
    </row>
    <row r="13" spans="1:14" x14ac:dyDescent="0.2">
      <c r="A13" s="11" t="s">
        <v>32</v>
      </c>
      <c r="B13" s="11">
        <v>1.463503302587807</v>
      </c>
      <c r="D13" s="8" t="s">
        <v>40</v>
      </c>
      <c r="E13" s="8">
        <v>2.0760197282004502</v>
      </c>
    </row>
    <row r="14" spans="1:14" x14ac:dyDescent="0.2">
      <c r="A14" s="8" t="s">
        <v>33</v>
      </c>
      <c r="B14" s="8">
        <v>1.3959818612175883</v>
      </c>
      <c r="D14" s="8" t="s">
        <v>42</v>
      </c>
      <c r="E14" s="8">
        <v>1.9395814739205037</v>
      </c>
    </row>
    <row r="15" spans="1:14" x14ac:dyDescent="0.2">
      <c r="A15" s="8" t="s">
        <v>37</v>
      </c>
      <c r="B15" s="8">
        <v>1.2476248324972872</v>
      </c>
      <c r="D15" s="8" t="s">
        <v>536</v>
      </c>
      <c r="E15" s="8">
        <v>1.6253940735184924</v>
      </c>
    </row>
    <row r="16" spans="1:14" x14ac:dyDescent="0.2">
      <c r="A16" s="8" t="s">
        <v>35</v>
      </c>
      <c r="B16" s="8">
        <v>1.2185340917367866</v>
      </c>
      <c r="D16" s="8" t="s">
        <v>537</v>
      </c>
      <c r="E16" s="8">
        <v>1.2364189515883506</v>
      </c>
    </row>
    <row r="17" spans="1:5" x14ac:dyDescent="0.2">
      <c r="A17" s="8" t="s">
        <v>36</v>
      </c>
      <c r="B17" s="8">
        <v>1.1377469199647394</v>
      </c>
      <c r="D17" s="8" t="s">
        <v>539</v>
      </c>
      <c r="E17" s="8">
        <v>1.0916319066996163</v>
      </c>
    </row>
    <row r="18" spans="1:5" ht="16.25" customHeight="1" x14ac:dyDescent="0.2">
      <c r="A18" s="8" t="s">
        <v>40</v>
      </c>
      <c r="B18" s="8">
        <v>0.8916450889098072</v>
      </c>
      <c r="D18" s="8" t="s">
        <v>33</v>
      </c>
      <c r="E18" s="8">
        <v>0.97944133351741658</v>
      </c>
    </row>
    <row r="19" spans="1:5" ht="21" customHeight="1" x14ac:dyDescent="0.2">
      <c r="A19" s="8" t="s">
        <v>459</v>
      </c>
      <c r="B19" s="8">
        <v>0.56182690835019855</v>
      </c>
      <c r="D19" s="8" t="s">
        <v>538</v>
      </c>
      <c r="E19" s="8">
        <v>0.91040253690548678</v>
      </c>
    </row>
    <row r="20" spans="1:5" x14ac:dyDescent="0.2">
      <c r="A20" s="8" t="s">
        <v>516</v>
      </c>
      <c r="B20" s="8">
        <v>0.55539848602274067</v>
      </c>
      <c r="D20" s="8" t="s">
        <v>39</v>
      </c>
      <c r="E20" s="8">
        <v>0.61924754896912593</v>
      </c>
    </row>
    <row r="21" spans="1:5" x14ac:dyDescent="0.2">
      <c r="A21" s="8" t="s">
        <v>472</v>
      </c>
      <c r="B21" s="8">
        <v>0.511052259045227</v>
      </c>
      <c r="D21" s="8" t="s">
        <v>540</v>
      </c>
      <c r="E21" s="8">
        <v>0.57257434048094347</v>
      </c>
    </row>
    <row r="22" spans="1:5" x14ac:dyDescent="0.2">
      <c r="A22" s="8" t="s">
        <v>471</v>
      </c>
      <c r="B22" s="8">
        <v>0.46139869559960267</v>
      </c>
      <c r="D22" s="8" t="s">
        <v>37</v>
      </c>
      <c r="E22" s="8">
        <v>0.56605144978363531</v>
      </c>
    </row>
    <row r="23" spans="1:5" x14ac:dyDescent="0.2">
      <c r="A23" s="8" t="s">
        <v>31</v>
      </c>
      <c r="B23" s="8">
        <v>0.45375231512302844</v>
      </c>
      <c r="D23" s="8" t="s">
        <v>541</v>
      </c>
      <c r="E23" s="8">
        <v>0.28995620260260341</v>
      </c>
    </row>
    <row r="24" spans="1:5" x14ac:dyDescent="0.2">
      <c r="A24" s="8" t="s">
        <v>315</v>
      </c>
      <c r="B24" s="8">
        <v>0.44460157157023589</v>
      </c>
      <c r="D24" s="8" t="s">
        <v>46</v>
      </c>
      <c r="E24" s="8">
        <v>0.16402754949554249</v>
      </c>
    </row>
    <row r="25" spans="1:5" ht="19.25" customHeight="1" x14ac:dyDescent="0.2">
      <c r="A25" s="8" t="s">
        <v>450</v>
      </c>
      <c r="B25" s="8">
        <v>0.44110886860874443</v>
      </c>
      <c r="D25" s="8" t="s">
        <v>45</v>
      </c>
      <c r="E25" s="8">
        <v>0.15413532276954206</v>
      </c>
    </row>
    <row r="26" spans="1:5" x14ac:dyDescent="0.2">
      <c r="A26" s="8" t="s">
        <v>458</v>
      </c>
      <c r="B26" s="8">
        <v>0.33185099629724085</v>
      </c>
      <c r="D26" s="8" t="s">
        <v>48</v>
      </c>
      <c r="E26" s="8">
        <v>0.10481879262042434</v>
      </c>
    </row>
    <row r="27" spans="1:5" x14ac:dyDescent="0.2">
      <c r="A27" s="8" t="s">
        <v>340</v>
      </c>
      <c r="B27" s="8">
        <v>0.32528768460451113</v>
      </c>
      <c r="D27" s="8" t="s">
        <v>49</v>
      </c>
      <c r="E27" s="8">
        <v>7.5715281680125812E-2</v>
      </c>
    </row>
    <row r="28" spans="1:5" x14ac:dyDescent="0.2">
      <c r="A28" s="8" t="s">
        <v>216</v>
      </c>
      <c r="B28" s="8">
        <v>0.31709572495405336</v>
      </c>
      <c r="D28" s="8" t="s">
        <v>459</v>
      </c>
      <c r="E28" s="8">
        <v>0.59064453090567115</v>
      </c>
    </row>
    <row r="29" spans="1:5" ht="20" customHeight="1" x14ac:dyDescent="0.2">
      <c r="D29" s="8" t="s">
        <v>450</v>
      </c>
      <c r="E29" s="8">
        <v>0.3768688885408582</v>
      </c>
    </row>
    <row r="31" spans="1:5" ht="40" customHeight="1" x14ac:dyDescent="0.2">
      <c r="A31" s="8" t="s">
        <v>50</v>
      </c>
      <c r="B31" s="8">
        <v>104363.1038822587</v>
      </c>
      <c r="D31" s="8" t="s">
        <v>51</v>
      </c>
      <c r="E31" s="8">
        <v>1131626.33</v>
      </c>
    </row>
    <row r="32" spans="1:5" x14ac:dyDescent="0.2">
      <c r="A32" s="8" t="s">
        <v>59</v>
      </c>
      <c r="B32" s="8">
        <f>B4</f>
        <v>23.68777527205539</v>
      </c>
      <c r="D32" s="8" t="s">
        <v>52</v>
      </c>
      <c r="E32" s="8">
        <f>E4</f>
        <v>11.25458706779003</v>
      </c>
    </row>
    <row r="33" spans="1:5" x14ac:dyDescent="0.2">
      <c r="A33" s="8" t="s">
        <v>60</v>
      </c>
      <c r="B33" s="8">
        <f>B4+B5+B6+B7</f>
        <v>60.609339208029276</v>
      </c>
      <c r="D33" s="8" t="s">
        <v>53</v>
      </c>
      <c r="E33" s="8">
        <f>E4+E5+E6+E7</f>
        <v>36.115104034974379</v>
      </c>
    </row>
    <row r="34" spans="1:5" x14ac:dyDescent="0.2">
      <c r="A34" s="8" t="s">
        <v>61</v>
      </c>
      <c r="B34" s="8">
        <f>B33+B8+B9+B10+B11+B12+B13</f>
        <v>79.417161014761433</v>
      </c>
      <c r="D34" s="8" t="s">
        <v>54</v>
      </c>
      <c r="E34" s="8">
        <f>E33+E8+E9+E10+E11+E12+E13</f>
        <v>56.363561585981962</v>
      </c>
    </row>
    <row r="35" spans="1:5" x14ac:dyDescent="0.2">
      <c r="A35" s="8" t="s">
        <v>62</v>
      </c>
      <c r="B35" s="8">
        <f>B4+B6+B8+B9+B13</f>
        <v>49.803985580910876</v>
      </c>
      <c r="D35" s="8" t="s">
        <v>55</v>
      </c>
      <c r="E35" s="8">
        <f>E8+E11</f>
        <v>9.0874296845906617</v>
      </c>
    </row>
    <row r="36" spans="1:5" x14ac:dyDescent="0.2">
      <c r="A36" s="8" t="s">
        <v>542</v>
      </c>
      <c r="B36" s="8">
        <f>B7+B10+B12+B14+B15+B18+B19+B21+B23+B25+B26+B27</f>
        <v>19.149083533228776</v>
      </c>
      <c r="D36" s="8" t="s">
        <v>542</v>
      </c>
      <c r="E36" s="8">
        <f>E28+E29</f>
        <v>0.96751341944652935</v>
      </c>
    </row>
    <row r="37" spans="1:5" x14ac:dyDescent="0.2">
      <c r="A37" s="8" t="s">
        <v>63</v>
      </c>
      <c r="B37" s="8">
        <f>SUMSQ(B4:B28)</f>
        <v>1134.8923263180181</v>
      </c>
      <c r="D37" s="8" t="s">
        <v>56</v>
      </c>
      <c r="E37" s="8">
        <f>SUMSQ(E4:E29)</f>
        <v>432.25899995712894</v>
      </c>
    </row>
  </sheetData>
  <mergeCells count="2">
    <mergeCell ref="A1:H1"/>
    <mergeCell ref="A2:N2"/>
  </mergeCells>
  <phoneticPr fontId="4"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
  <sheetViews>
    <sheetView zoomScale="130" zoomScaleNormal="130" workbookViewId="0">
      <selection sqref="A1:F1"/>
    </sheetView>
  </sheetViews>
  <sheetFormatPr baseColWidth="10" defaultColWidth="11" defaultRowHeight="16" x14ac:dyDescent="0.2"/>
  <cols>
    <col min="1" max="1" width="13.33203125" style="8" customWidth="1"/>
    <col min="2" max="2" width="14.5" style="8" customWidth="1"/>
    <col min="3" max="3" width="15.1640625" style="8" customWidth="1"/>
    <col min="4" max="4" width="14.1640625" style="8" customWidth="1"/>
    <col min="5" max="5" width="21.83203125" style="8" customWidth="1"/>
    <col min="6" max="8" width="21.1640625" style="8" customWidth="1"/>
    <col min="9" max="9" width="16.6640625" style="8" customWidth="1"/>
    <col min="10" max="11" width="19.83203125" style="8" customWidth="1"/>
    <col min="12" max="12" width="11" style="8"/>
    <col min="13" max="13" width="23.5" style="8" customWidth="1"/>
    <col min="14" max="14" width="17.83203125" style="8" customWidth="1"/>
    <col min="15" max="16384" width="11" style="8"/>
  </cols>
  <sheetData>
    <row r="1" spans="1:6" ht="31" customHeight="1" x14ac:dyDescent="0.2">
      <c r="A1" s="32" t="s">
        <v>470</v>
      </c>
      <c r="B1" s="32"/>
      <c r="C1" s="32"/>
      <c r="D1" s="32"/>
      <c r="E1" s="32"/>
      <c r="F1" s="32"/>
    </row>
    <row r="2" spans="1:6" x14ac:dyDescent="0.2">
      <c r="B2" s="8" t="s">
        <v>64</v>
      </c>
      <c r="C2" s="8" t="s">
        <v>65</v>
      </c>
    </row>
    <row r="3" spans="1:6" x14ac:dyDescent="0.2">
      <c r="A3" s="8" t="s">
        <v>18</v>
      </c>
      <c r="B3" s="8">
        <v>87.924151583016368</v>
      </c>
      <c r="C3" s="8">
        <v>12.07584841698363</v>
      </c>
      <c r="D3" s="8">
        <f>C3*100</f>
        <v>1207.5848416983631</v>
      </c>
    </row>
    <row r="4" spans="1:6" x14ac:dyDescent="0.2">
      <c r="A4" s="8" t="s">
        <v>20</v>
      </c>
      <c r="B4" s="8">
        <v>89.221078416298027</v>
      </c>
      <c r="C4" s="8">
        <v>10.778921583701969</v>
      </c>
      <c r="D4" s="8">
        <f>C4*100</f>
        <v>1077.892158370197</v>
      </c>
    </row>
    <row r="5" spans="1:6" x14ac:dyDescent="0.2">
      <c r="A5" s="8" t="s">
        <v>24</v>
      </c>
      <c r="B5" s="8">
        <v>82.230030251465408</v>
      </c>
      <c r="C5" s="8">
        <v>17.769969748534578</v>
      </c>
      <c r="D5" s="8">
        <f>C5*100</f>
        <v>1776.9969748534577</v>
      </c>
    </row>
    <row r="6" spans="1:6" x14ac:dyDescent="0.2">
      <c r="A6" s="8" t="s">
        <v>66</v>
      </c>
      <c r="B6" s="8">
        <v>81.738687349850395</v>
      </c>
      <c r="C6" s="8">
        <v>18.261312650149623</v>
      </c>
      <c r="D6" s="8">
        <f>C6*100</f>
        <v>1826.1312650149623</v>
      </c>
    </row>
  </sheetData>
  <mergeCells count="1">
    <mergeCell ref="A1:F1"/>
  </mergeCells>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8367-13F4-BF4E-8257-E39D4CF1ADE1}">
  <dimension ref="A1:K24"/>
  <sheetViews>
    <sheetView zoomScale="85" zoomScaleNormal="120" workbookViewId="0">
      <selection activeCell="P2" sqref="P2:X17"/>
    </sheetView>
  </sheetViews>
  <sheetFormatPr baseColWidth="10" defaultColWidth="11" defaultRowHeight="16" x14ac:dyDescent="0.2"/>
  <cols>
    <col min="1" max="1" width="22.6640625" style="7" customWidth="1"/>
    <col min="2" max="2" width="14.5" style="7" customWidth="1"/>
    <col min="3" max="3" width="15.1640625" style="7" customWidth="1"/>
    <col min="4" max="4" width="12.83203125" style="7" customWidth="1"/>
    <col min="5" max="5" width="17.1640625" style="7" customWidth="1"/>
    <col min="6" max="6" width="13.33203125" style="7" customWidth="1"/>
    <col min="7" max="7" width="16.6640625" style="7" customWidth="1"/>
    <col min="8" max="8" width="15.6640625" style="7" customWidth="1"/>
    <col min="9" max="9" width="13.33203125" style="7" customWidth="1"/>
    <col min="10" max="10" width="9.6640625" style="7" customWidth="1"/>
    <col min="11" max="11" width="13" style="7" customWidth="1"/>
    <col min="12" max="12" width="11" style="7"/>
    <col min="13" max="13" width="12.6640625" style="7" bestFit="1" customWidth="1"/>
    <col min="14" max="19" width="11" style="7"/>
    <col min="20" max="20" width="11.5" style="7" bestFit="1" customWidth="1"/>
    <col min="21" max="16384" width="11" style="7"/>
  </cols>
  <sheetData>
    <row r="1" spans="1:11" ht="20.25" customHeight="1" x14ac:dyDescent="0.2">
      <c r="A1" s="30" t="s">
        <v>586</v>
      </c>
      <c r="B1" s="30"/>
      <c r="C1" s="30"/>
      <c r="D1" s="30"/>
      <c r="E1" s="30"/>
      <c r="F1" s="30"/>
      <c r="G1" s="30"/>
    </row>
    <row r="2" spans="1:11" ht="35" customHeight="1" x14ac:dyDescent="0.2">
      <c r="B2" s="7" t="s">
        <v>585</v>
      </c>
      <c r="C2" s="7" t="s">
        <v>118</v>
      </c>
      <c r="D2" s="7" t="s">
        <v>119</v>
      </c>
      <c r="E2" s="7" t="s">
        <v>120</v>
      </c>
      <c r="F2" s="7" t="s">
        <v>121</v>
      </c>
      <c r="G2" s="7" t="s">
        <v>125</v>
      </c>
      <c r="H2" s="7" t="s">
        <v>122</v>
      </c>
      <c r="I2" s="7" t="s">
        <v>123</v>
      </c>
      <c r="J2" s="7" t="s">
        <v>124</v>
      </c>
      <c r="K2" s="7" t="s">
        <v>126</v>
      </c>
    </row>
    <row r="3" spans="1:11" ht="17" x14ac:dyDescent="0.2">
      <c r="A3" s="7" t="s">
        <v>18</v>
      </c>
      <c r="B3" s="7">
        <v>2190771</v>
      </c>
      <c r="C3" s="7">
        <v>9949086</v>
      </c>
      <c r="D3" s="7">
        <v>4258570</v>
      </c>
      <c r="E3" s="7">
        <v>2751498</v>
      </c>
      <c r="F3" s="7">
        <f t="shared" ref="F3:F8" si="0">D3+C3+E3+B3</f>
        <v>19149925</v>
      </c>
      <c r="G3" s="7">
        <f>B3/B10</f>
        <v>0.19615966791737868</v>
      </c>
      <c r="H3" s="7">
        <f>C3/C10</f>
        <v>0.28297204888038935</v>
      </c>
      <c r="I3" s="7">
        <f>D3/D10</f>
        <v>0.29563784282683031</v>
      </c>
      <c r="J3" s="7">
        <f>E3/E10</f>
        <v>0.28090727551903821</v>
      </c>
      <c r="K3" s="7">
        <f>F3/F10</f>
        <v>0.27152506164511497</v>
      </c>
    </row>
    <row r="4" spans="1:11" ht="17" x14ac:dyDescent="0.2">
      <c r="A4" s="7" t="s">
        <v>20</v>
      </c>
      <c r="B4" s="7">
        <v>836000</v>
      </c>
      <c r="C4" s="7">
        <v>10647000</v>
      </c>
      <c r="D4" s="7">
        <v>2284000</v>
      </c>
      <c r="E4" s="7">
        <v>1525000</v>
      </c>
      <c r="F4" s="7">
        <f t="shared" si="0"/>
        <v>15292000</v>
      </c>
      <c r="G4" s="7">
        <f>B4/B10</f>
        <v>7.485468922992343E-2</v>
      </c>
      <c r="H4" s="7">
        <f>C4/C10</f>
        <v>0.30282212903069744</v>
      </c>
      <c r="I4" s="7">
        <f>D4/D10</f>
        <v>0.15855952421035241</v>
      </c>
      <c r="J4" s="7">
        <f>E4/E10</f>
        <v>0.15569104363024552</v>
      </c>
      <c r="K4" s="7">
        <f>F4/F10</f>
        <v>0.21682389057278806</v>
      </c>
    </row>
    <row r="5" spans="1:11" ht="17" x14ac:dyDescent="0.2">
      <c r="A5" s="7" t="s">
        <v>26</v>
      </c>
      <c r="B5" s="7">
        <v>1164000</v>
      </c>
      <c r="C5" s="7">
        <v>9691000</v>
      </c>
      <c r="D5" s="7">
        <v>2413000</v>
      </c>
      <c r="E5" s="7">
        <v>1325000</v>
      </c>
      <c r="F5" s="7">
        <f t="shared" si="0"/>
        <v>14593000</v>
      </c>
      <c r="G5" s="7">
        <f>B5/B10</f>
        <v>0.10422351466941492</v>
      </c>
      <c r="H5" s="7">
        <f>C5/C10</f>
        <v>0.27563156311040565</v>
      </c>
      <c r="I5" s="7">
        <f>D5/D10</f>
        <v>0.16751494392275845</v>
      </c>
      <c r="J5" s="7">
        <f>E5/E10</f>
        <v>0.13527254610496742</v>
      </c>
      <c r="K5" s="7">
        <f>F5/F10</f>
        <v>0.2069128325352273</v>
      </c>
    </row>
    <row r="6" spans="1:11" ht="17" x14ac:dyDescent="0.2">
      <c r="A6" s="7" t="s">
        <v>22</v>
      </c>
      <c r="B6" s="7">
        <v>539978</v>
      </c>
      <c r="C6" s="7">
        <v>2290497</v>
      </c>
      <c r="D6" s="7">
        <v>2099571</v>
      </c>
      <c r="E6" s="7">
        <f>1199237+524969</f>
        <v>1724206</v>
      </c>
      <c r="F6" s="7">
        <f t="shared" si="0"/>
        <v>6654252</v>
      </c>
      <c r="G6" s="7">
        <f>B6/B10</f>
        <v>4.8349145192578463E-2</v>
      </c>
      <c r="H6" s="7">
        <f>C6/C10</f>
        <v>6.5146349025868827E-2</v>
      </c>
      <c r="I6" s="7">
        <f>D6/D10</f>
        <v>0.14575612031779939</v>
      </c>
      <c r="J6" s="7">
        <f>E6/E10</f>
        <v>0.17602847972034827</v>
      </c>
      <c r="K6" s="7">
        <f>F6/F10</f>
        <v>9.4350039726115359E-2</v>
      </c>
    </row>
    <row r="7" spans="1:11" ht="17" x14ac:dyDescent="0.2">
      <c r="A7" s="7" t="s">
        <v>78</v>
      </c>
      <c r="B7" s="7">
        <v>751200</v>
      </c>
      <c r="C7" s="7">
        <v>1710400</v>
      </c>
      <c r="D7" s="7">
        <v>1904200</v>
      </c>
      <c r="E7" s="7">
        <v>1396100</v>
      </c>
      <c r="F7" s="7">
        <f t="shared" si="0"/>
        <v>5761900</v>
      </c>
      <c r="G7" s="7">
        <f>B7/B10</f>
        <v>6.7261773384591481E-2</v>
      </c>
      <c r="H7" s="7">
        <f>C7/C10</f>
        <v>4.8647221705091094E-2</v>
      </c>
      <c r="I7" s="7">
        <f>D7/D10</f>
        <v>0.13219310245243127</v>
      </c>
      <c r="J7" s="7">
        <f>E7/E10</f>
        <v>0.14253132197520377</v>
      </c>
      <c r="K7" s="7">
        <f>F7/F10</f>
        <v>8.1697461096739962E-2</v>
      </c>
    </row>
    <row r="8" spans="1:11" ht="17" x14ac:dyDescent="0.2">
      <c r="A8" s="7" t="s">
        <v>127</v>
      </c>
      <c r="B8" s="7">
        <f>SUM(B3:B7)</f>
        <v>5481949</v>
      </c>
      <c r="C8" s="7">
        <f>SUM(C3+C4+C5+C6+C7)</f>
        <v>34287983</v>
      </c>
      <c r="D8" s="7">
        <f>SUM(D3:D7)</f>
        <v>12959341</v>
      </c>
      <c r="E8" s="7">
        <f>SUM(E3:E7)</f>
        <v>8721804</v>
      </c>
      <c r="F8" s="7">
        <f t="shared" si="0"/>
        <v>61451077</v>
      </c>
      <c r="G8" s="7">
        <f>SUM(G3:G7)</f>
        <v>0.49084879039388696</v>
      </c>
      <c r="H8" s="7">
        <f>SUM(H3:H7)</f>
        <v>0.97521931175245236</v>
      </c>
      <c r="I8" s="7">
        <f>SUM(I3:I7)</f>
        <v>0.89966153373017188</v>
      </c>
      <c r="J8" s="7">
        <f>SUM(J3:J7)</f>
        <v>0.89043066694980322</v>
      </c>
      <c r="K8" s="7">
        <f>SUM(K3:K7)</f>
        <v>0.87130928557598564</v>
      </c>
    </row>
    <row r="9" spans="1:11" ht="17" x14ac:dyDescent="0.2">
      <c r="A9" s="7" t="s">
        <v>128</v>
      </c>
      <c r="B9" s="7">
        <f>B8/B10</f>
        <v>0.49084879039388701</v>
      </c>
      <c r="C9" s="7">
        <f>C8/C10</f>
        <v>0.97521931175245236</v>
      </c>
      <c r="D9" s="7">
        <f>D8/D10</f>
        <v>0.89966153373017177</v>
      </c>
      <c r="E9" s="7">
        <f>E8/E10</f>
        <v>0.89043066694980322</v>
      </c>
      <c r="F9" s="7">
        <f>F8/F10</f>
        <v>0.87130928557598564</v>
      </c>
      <c r="G9" s="7">
        <f>SUM(G3:G7)</f>
        <v>0.49084879039388696</v>
      </c>
      <c r="H9" s="7">
        <f>SUM(H3:H7)</f>
        <v>0.97521931175245236</v>
      </c>
      <c r="I9" s="7">
        <f>SUM(I3:I7)</f>
        <v>0.89966153373017188</v>
      </c>
      <c r="J9" s="7">
        <f>SUM(J3:J7)</f>
        <v>0.89043066694980322</v>
      </c>
      <c r="K9" s="7">
        <f>SUM(K3:K7)</f>
        <v>0.87130928557598564</v>
      </c>
    </row>
    <row r="10" spans="1:11" ht="17" x14ac:dyDescent="0.2">
      <c r="A10" s="7" t="s">
        <v>129</v>
      </c>
      <c r="B10" s="7">
        <v>11168305</v>
      </c>
      <c r="C10" s="7">
        <v>35159253.5</v>
      </c>
      <c r="D10" s="7">
        <v>14404685</v>
      </c>
      <c r="E10" s="7">
        <v>9795040</v>
      </c>
      <c r="F10" s="7">
        <f>SUM(B10:E10)</f>
        <v>70527283.5</v>
      </c>
    </row>
    <row r="11" spans="1:11" ht="102.5" customHeight="1" x14ac:dyDescent="0.2">
      <c r="A11" s="33" t="s">
        <v>661</v>
      </c>
      <c r="B11" s="33"/>
      <c r="C11" s="33"/>
      <c r="D11" s="33"/>
      <c r="E11" s="33"/>
      <c r="F11" s="33"/>
      <c r="G11" s="33"/>
      <c r="H11" s="33"/>
      <c r="I11" s="33"/>
      <c r="J11" s="33"/>
      <c r="K11" s="33"/>
    </row>
    <row r="14" spans="1:11" ht="23" customHeight="1" x14ac:dyDescent="0.2">
      <c r="A14" s="30" t="s">
        <v>587</v>
      </c>
      <c r="B14" s="30"/>
      <c r="C14" s="30"/>
      <c r="D14" s="30"/>
      <c r="E14" s="30"/>
      <c r="F14" s="30"/>
      <c r="G14" s="30"/>
    </row>
    <row r="15" spans="1:11" ht="38" customHeight="1" x14ac:dyDescent="0.2">
      <c r="B15" s="7" t="s">
        <v>524</v>
      </c>
      <c r="C15" s="7" t="s">
        <v>130</v>
      </c>
      <c r="D15" s="7" t="s">
        <v>131</v>
      </c>
      <c r="E15" s="7" t="s">
        <v>132</v>
      </c>
      <c r="F15" s="7" t="s">
        <v>133</v>
      </c>
      <c r="G15" s="7" t="s">
        <v>135</v>
      </c>
      <c r="H15" s="7" t="s">
        <v>134</v>
      </c>
      <c r="I15" s="7" t="s">
        <v>136</v>
      </c>
      <c r="J15" s="7" t="s">
        <v>137</v>
      </c>
      <c r="K15" s="7" t="s">
        <v>138</v>
      </c>
    </row>
    <row r="16" spans="1:11" ht="17" x14ac:dyDescent="0.2">
      <c r="A16" s="7" t="s">
        <v>18</v>
      </c>
      <c r="B16" s="7">
        <v>6265.5</v>
      </c>
      <c r="C16" s="7">
        <v>9588</v>
      </c>
      <c r="D16" s="7">
        <v>3521.09</v>
      </c>
      <c r="E16" s="7">
        <v>2396.5</v>
      </c>
      <c r="F16" s="7">
        <f t="shared" ref="F16:F21" si="1">SUM(B16:E16)</f>
        <v>21771.09</v>
      </c>
      <c r="G16" s="7">
        <f>D16/D23</f>
        <v>0.23092143231899268</v>
      </c>
      <c r="H16" s="7">
        <f>C16/C23</f>
        <v>0.31061212747926009</v>
      </c>
      <c r="I16" s="7">
        <f>E16/E23</f>
        <v>0.32291359282300458</v>
      </c>
      <c r="J16" s="7">
        <f>B16/B23</f>
        <v>0.4460227414292518</v>
      </c>
      <c r="K16" s="7">
        <f>F16/F23</f>
        <v>0.32212873673560399</v>
      </c>
    </row>
    <row r="17" spans="1:11" ht="17" x14ac:dyDescent="0.2">
      <c r="A17" s="7" t="s">
        <v>20</v>
      </c>
      <c r="B17" s="7">
        <v>322.58999999999997</v>
      </c>
      <c r="C17" s="7">
        <v>9197</v>
      </c>
      <c r="D17" s="7">
        <v>1884.09</v>
      </c>
      <c r="E17" s="7">
        <v>1306.4000000000001</v>
      </c>
      <c r="F17" s="7">
        <f t="shared" si="1"/>
        <v>12710.08</v>
      </c>
      <c r="G17" s="7">
        <f>D17/D23</f>
        <v>0.12356309024134313</v>
      </c>
      <c r="H17" s="7">
        <f>C17/C23</f>
        <v>0.2979453208621981</v>
      </c>
      <c r="I17" s="7">
        <f>E17/E23</f>
        <v>0.17602934181680499</v>
      </c>
      <c r="J17" s="7">
        <f>B17/B23</f>
        <v>2.2964244857978187E-2</v>
      </c>
      <c r="K17" s="7">
        <f>F17/F23</f>
        <v>0.18806049739395067</v>
      </c>
    </row>
    <row r="18" spans="1:11" ht="17" x14ac:dyDescent="0.2">
      <c r="A18" s="7" t="s">
        <v>26</v>
      </c>
      <c r="B18" s="7">
        <v>4572</v>
      </c>
      <c r="C18" s="7">
        <v>8723</v>
      </c>
      <c r="D18" s="7">
        <v>2031.08</v>
      </c>
      <c r="E18" s="7">
        <v>804</v>
      </c>
      <c r="F18" s="7">
        <f t="shared" si="1"/>
        <v>16130.08</v>
      </c>
      <c r="G18" s="7">
        <f>D18/D23</f>
        <v>0.13320304302203567</v>
      </c>
      <c r="H18" s="7">
        <f>C18/C23</f>
        <v>0.28258965248243489</v>
      </c>
      <c r="I18" s="7">
        <f>E18/E23</f>
        <v>0.1083340407384501</v>
      </c>
      <c r="J18" s="7">
        <f>B18/B23</f>
        <v>0.32546739666659313</v>
      </c>
      <c r="K18" s="7">
        <f>F18/F23</f>
        <v>0.23866339691050065</v>
      </c>
    </row>
    <row r="19" spans="1:11" ht="17" x14ac:dyDescent="0.2">
      <c r="A19" s="7" t="s">
        <v>22</v>
      </c>
      <c r="B19" s="7">
        <v>497.75</v>
      </c>
      <c r="C19" s="7">
        <v>1291</v>
      </c>
      <c r="D19" s="7">
        <v>1582.83</v>
      </c>
      <c r="E19" s="7">
        <v>1722.3</v>
      </c>
      <c r="F19" s="7">
        <f t="shared" si="1"/>
        <v>5093.88</v>
      </c>
      <c r="G19" s="7">
        <f>D19/D23</f>
        <v>0.10380574501573976</v>
      </c>
      <c r="H19" s="7">
        <f>C19/C23</f>
        <v>4.1823138983700957E-2</v>
      </c>
      <c r="I19" s="7">
        <f>E19/E23</f>
        <v>0.23206930144755297</v>
      </c>
      <c r="J19" s="7">
        <f>B19/B23</f>
        <v>3.5433376354067521E-2</v>
      </c>
      <c r="K19" s="7">
        <f>F19/F23</f>
        <v>7.5369911634316819E-2</v>
      </c>
    </row>
    <row r="20" spans="1:11" ht="17" x14ac:dyDescent="0.2">
      <c r="A20" s="7" t="s">
        <v>78</v>
      </c>
      <c r="B20" s="7">
        <v>338.4</v>
      </c>
      <c r="C20" s="7">
        <v>1102.5</v>
      </c>
      <c r="D20" s="7">
        <v>1240</v>
      </c>
      <c r="E20" s="7">
        <v>918.7</v>
      </c>
      <c r="F20" s="7">
        <f t="shared" si="1"/>
        <v>3599.6000000000004</v>
      </c>
      <c r="G20" s="7">
        <f>D20/D23</f>
        <v>8.1322140608604404E-2</v>
      </c>
      <c r="H20" s="7">
        <f>C20/C23</f>
        <v>3.5716507149132694E-2</v>
      </c>
      <c r="I20" s="7">
        <f>E20/E23</f>
        <v>0.1237891582418086</v>
      </c>
      <c r="J20" s="7">
        <f>B20/B23</f>
        <v>2.4089712824141536E-2</v>
      </c>
      <c r="K20" s="7">
        <f>F20/F23</f>
        <v>5.3260291549641306E-2</v>
      </c>
    </row>
    <row r="21" spans="1:11" ht="17" x14ac:dyDescent="0.2">
      <c r="A21" s="7" t="s">
        <v>127</v>
      </c>
      <c r="B21" s="7">
        <f>SUM(B16:B20)</f>
        <v>11996.24</v>
      </c>
      <c r="C21" s="7">
        <f>SUM(C16:C20)</f>
        <v>29901.5</v>
      </c>
      <c r="D21" s="7">
        <f>SUM(D16:D20)</f>
        <v>10259.09</v>
      </c>
      <c r="E21" s="7">
        <f>SUM(E16:E20)</f>
        <v>7147.9</v>
      </c>
      <c r="F21" s="7">
        <f t="shared" si="1"/>
        <v>59304.73</v>
      </c>
    </row>
    <row r="22" spans="1:11" ht="17" x14ac:dyDescent="0.2">
      <c r="A22" s="7" t="s">
        <v>128</v>
      </c>
      <c r="B22" s="7">
        <f>B21/B23</f>
        <v>0.85397747213203212</v>
      </c>
      <c r="C22" s="7">
        <f>C21/C23</f>
        <v>0.96868674695672674</v>
      </c>
      <c r="D22" s="7">
        <f>D21/D23</f>
        <v>0.6728154512067156</v>
      </c>
      <c r="E22" s="7">
        <f>E21/E23</f>
        <v>0.96313543506762123</v>
      </c>
      <c r="F22" s="7">
        <f>AVERAGE(B22:E22)</f>
        <v>0.86465377634077389</v>
      </c>
      <c r="G22" s="7">
        <f>D21/D23</f>
        <v>0.6728154512067156</v>
      </c>
      <c r="H22" s="7">
        <f>SUM(H16:H20)</f>
        <v>0.96868674695672674</v>
      </c>
      <c r="I22" s="7">
        <f>SUM(I16:I20)</f>
        <v>0.96313543506762123</v>
      </c>
      <c r="J22" s="7">
        <f>B21/B23</f>
        <v>0.85397747213203212</v>
      </c>
      <c r="K22" s="7">
        <f>SUM(K16:K20)</f>
        <v>0.87748283422401341</v>
      </c>
    </row>
    <row r="23" spans="1:11" ht="22.25" customHeight="1" x14ac:dyDescent="0.2">
      <c r="A23" s="7" t="s">
        <v>129</v>
      </c>
      <c r="B23" s="7">
        <v>14047.49</v>
      </c>
      <c r="C23" s="7">
        <v>30868.080000000002</v>
      </c>
      <c r="D23" s="7">
        <v>15248</v>
      </c>
      <c r="E23" s="7">
        <v>7421.49</v>
      </c>
      <c r="F23" s="7">
        <f>SUM(B23:E23)</f>
        <v>67585.06</v>
      </c>
    </row>
    <row r="24" spans="1:11" ht="82.25" customHeight="1" x14ac:dyDescent="0.2">
      <c r="A24" s="33" t="s">
        <v>662</v>
      </c>
      <c r="B24" s="33"/>
      <c r="C24" s="33"/>
      <c r="D24" s="33"/>
      <c r="E24" s="33"/>
      <c r="F24" s="33"/>
      <c r="G24" s="33"/>
      <c r="H24" s="33"/>
      <c r="I24" s="33"/>
      <c r="J24" s="33"/>
      <c r="K24" s="33"/>
    </row>
  </sheetData>
  <mergeCells count="4">
    <mergeCell ref="A11:K11"/>
    <mergeCell ref="A14:G14"/>
    <mergeCell ref="A24:K24"/>
    <mergeCell ref="A1:G1"/>
  </mergeCells>
  <pageMargins left="0.7" right="0.7" top="0.75" bottom="0.75" header="0.3" footer="0.3"/>
  <ignoredErrors>
    <ignoredError sqref="I22:J22 F8 F22 C8" formula="1"/>
  </ignoredErrors>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zoomScaleNormal="100" workbookViewId="0">
      <selection sqref="A1:N1"/>
    </sheetView>
  </sheetViews>
  <sheetFormatPr baseColWidth="10" defaultColWidth="11" defaultRowHeight="16" x14ac:dyDescent="0.2"/>
  <cols>
    <col min="1" max="1" width="29.1640625" style="8" customWidth="1"/>
    <col min="2" max="4" width="13.6640625" style="8" bestFit="1" customWidth="1"/>
    <col min="5" max="5" width="14.6640625" style="8" bestFit="1" customWidth="1"/>
    <col min="6" max="8" width="13.6640625" style="8" bestFit="1" customWidth="1"/>
    <col min="9" max="19" width="14.6640625" style="8" bestFit="1" customWidth="1"/>
    <col min="20" max="20" width="11.1640625" style="8" bestFit="1" customWidth="1"/>
    <col min="21" max="16384" width="11" style="8"/>
  </cols>
  <sheetData>
    <row r="1" spans="1:17" ht="31.5" customHeight="1" x14ac:dyDescent="0.2">
      <c r="A1" s="32" t="s">
        <v>588</v>
      </c>
      <c r="B1" s="32"/>
      <c r="C1" s="32"/>
      <c r="D1" s="32"/>
      <c r="E1" s="32"/>
      <c r="F1" s="32"/>
      <c r="G1" s="32"/>
      <c r="H1" s="32"/>
      <c r="I1" s="32"/>
      <c r="J1" s="32"/>
      <c r="K1" s="32"/>
      <c r="L1" s="32"/>
      <c r="M1" s="32"/>
      <c r="N1" s="32"/>
    </row>
    <row r="2" spans="1:17" x14ac:dyDescent="0.2">
      <c r="A2" s="8" t="s">
        <v>60</v>
      </c>
    </row>
    <row r="3" spans="1:17" x14ac:dyDescent="0.2">
      <c r="B3" s="8">
        <v>1984</v>
      </c>
      <c r="C3" s="8">
        <v>1988</v>
      </c>
      <c r="D3" s="8">
        <v>1992</v>
      </c>
      <c r="E3" s="8">
        <v>1996</v>
      </c>
      <c r="F3" s="8">
        <v>2000</v>
      </c>
      <c r="G3" s="8">
        <v>2004</v>
      </c>
      <c r="H3" s="8">
        <v>2008</v>
      </c>
      <c r="I3" s="8">
        <v>2010</v>
      </c>
      <c r="J3" s="8">
        <v>2012</v>
      </c>
      <c r="K3" s="8">
        <v>2014</v>
      </c>
      <c r="L3" s="8">
        <v>2016</v>
      </c>
      <c r="M3" s="8">
        <v>2018</v>
      </c>
      <c r="N3" s="8">
        <v>2019</v>
      </c>
      <c r="O3" s="8">
        <v>2020</v>
      </c>
      <c r="P3" s="8">
        <v>2021</v>
      </c>
      <c r="Q3" s="8">
        <v>2022</v>
      </c>
    </row>
    <row r="4" spans="1:17" x14ac:dyDescent="0.2">
      <c r="A4" s="8" t="s">
        <v>67</v>
      </c>
      <c r="B4" s="8">
        <v>91.6</v>
      </c>
      <c r="C4" s="8">
        <v>89.3</v>
      </c>
      <c r="D4" s="8">
        <v>88.3</v>
      </c>
      <c r="E4" s="8">
        <v>82.1</v>
      </c>
      <c r="F4" s="8">
        <v>91.7</v>
      </c>
      <c r="G4" s="8">
        <v>81.2</v>
      </c>
      <c r="H4" s="8">
        <v>91.8</v>
      </c>
      <c r="I4" s="8">
        <v>87.3</v>
      </c>
      <c r="J4" s="8">
        <v>86.8</v>
      </c>
      <c r="K4" s="8">
        <v>88.8</v>
      </c>
      <c r="L4" s="8">
        <v>85.7</v>
      </c>
      <c r="M4" s="8">
        <v>89.8</v>
      </c>
      <c r="N4" s="8">
        <v>91.3</v>
      </c>
      <c r="O4" s="8">
        <v>90.8</v>
      </c>
      <c r="P4" s="8">
        <v>89.5</v>
      </c>
      <c r="Q4" s="8">
        <v>89.7</v>
      </c>
    </row>
    <row r="5" spans="1:17" x14ac:dyDescent="0.2">
      <c r="A5" s="8" t="s">
        <v>68</v>
      </c>
      <c r="C5" s="8">
        <v>100</v>
      </c>
      <c r="D5" s="8">
        <v>100</v>
      </c>
      <c r="E5" s="8">
        <v>100.7</v>
      </c>
      <c r="F5" s="8">
        <v>95.7</v>
      </c>
      <c r="G5" s="8">
        <v>98</v>
      </c>
      <c r="H5" s="8">
        <v>98.2</v>
      </c>
      <c r="I5" s="8">
        <v>96.7</v>
      </c>
      <c r="J5" s="8">
        <v>94.6</v>
      </c>
      <c r="K5" s="8">
        <v>94.4</v>
      </c>
      <c r="L5" s="8">
        <v>94.4</v>
      </c>
      <c r="M5" s="8">
        <v>94.9</v>
      </c>
      <c r="N5" s="8">
        <v>94.7</v>
      </c>
      <c r="O5" s="8">
        <v>93.8</v>
      </c>
      <c r="P5" s="8">
        <v>93.5</v>
      </c>
      <c r="Q5" s="8">
        <v>93.3</v>
      </c>
    </row>
    <row r="6" spans="1:17" x14ac:dyDescent="0.2">
      <c r="A6" s="8" t="s">
        <v>69</v>
      </c>
      <c r="E6" s="8">
        <v>53.1</v>
      </c>
      <c r="F6" s="8">
        <v>38.700000000000003</v>
      </c>
      <c r="G6" s="8">
        <v>50.7</v>
      </c>
      <c r="H6" s="8">
        <v>51.5</v>
      </c>
      <c r="I6" s="8">
        <v>58</v>
      </c>
      <c r="J6" s="8">
        <v>58.9</v>
      </c>
      <c r="K6" s="8">
        <v>62.9</v>
      </c>
      <c r="L6" s="8">
        <v>60.1</v>
      </c>
      <c r="M6" s="8">
        <v>67.3</v>
      </c>
      <c r="N6" s="8">
        <v>64.2</v>
      </c>
      <c r="O6" s="8">
        <v>68.8</v>
      </c>
      <c r="P6" s="8">
        <v>65.400000000000006</v>
      </c>
      <c r="Q6" s="8">
        <v>59.2</v>
      </c>
    </row>
    <row r="7" spans="1:17" x14ac:dyDescent="0.2">
      <c r="A7" s="8" t="s">
        <v>70</v>
      </c>
      <c r="B7" s="8">
        <v>41.1</v>
      </c>
      <c r="C7" s="8">
        <v>53.8</v>
      </c>
      <c r="D7" s="8">
        <v>69.2</v>
      </c>
      <c r="E7" s="8">
        <v>85</v>
      </c>
      <c r="F7" s="8">
        <v>72.099999999999994</v>
      </c>
      <c r="G7" s="8">
        <v>88.6</v>
      </c>
      <c r="H7" s="8">
        <v>83.3</v>
      </c>
      <c r="I7" s="8">
        <v>83.4</v>
      </c>
      <c r="J7" s="8">
        <v>83.3</v>
      </c>
      <c r="K7" s="8">
        <v>82</v>
      </c>
      <c r="L7" s="8">
        <v>78.900000000000006</v>
      </c>
      <c r="M7" s="8">
        <v>79.5</v>
      </c>
      <c r="N7" s="8">
        <v>78.900000000000006</v>
      </c>
      <c r="O7" s="8">
        <v>78.3</v>
      </c>
      <c r="P7" s="8">
        <v>76.599999999999994</v>
      </c>
      <c r="Q7" s="8">
        <v>76.3</v>
      </c>
    </row>
    <row r="11" spans="1:17" x14ac:dyDescent="0.2">
      <c r="A11" s="32" t="s">
        <v>589</v>
      </c>
      <c r="B11" s="32"/>
      <c r="C11" s="32"/>
      <c r="D11" s="32"/>
      <c r="E11" s="32"/>
      <c r="F11" s="32"/>
      <c r="G11" s="32"/>
      <c r="H11" s="32"/>
      <c r="I11" s="32"/>
      <c r="J11" s="32"/>
      <c r="K11" s="32"/>
      <c r="L11" s="32"/>
      <c r="M11" s="32"/>
      <c r="N11" s="32"/>
    </row>
    <row r="12" spans="1:17" x14ac:dyDescent="0.2">
      <c r="B12" s="8">
        <v>1984</v>
      </c>
      <c r="C12" s="8">
        <v>1988</v>
      </c>
      <c r="D12" s="8">
        <v>1992</v>
      </c>
      <c r="E12" s="8">
        <v>1996</v>
      </c>
      <c r="F12" s="8">
        <v>2000</v>
      </c>
      <c r="G12" s="8">
        <v>2004</v>
      </c>
      <c r="H12" s="8">
        <v>2008</v>
      </c>
      <c r="I12" s="8">
        <v>2010</v>
      </c>
      <c r="J12" s="8">
        <v>2012</v>
      </c>
      <c r="K12" s="8">
        <v>2014</v>
      </c>
      <c r="L12" s="8">
        <v>2016</v>
      </c>
      <c r="M12" s="8">
        <v>2018</v>
      </c>
      <c r="N12" s="8">
        <v>2019</v>
      </c>
      <c r="O12" s="8">
        <v>2020</v>
      </c>
      <c r="P12" s="8">
        <v>2021</v>
      </c>
      <c r="Q12" s="8">
        <v>2022</v>
      </c>
    </row>
    <row r="13" spans="1:17" x14ac:dyDescent="0.2">
      <c r="A13" s="8" t="s">
        <v>67</v>
      </c>
      <c r="B13" s="8">
        <v>5031.6000000000004</v>
      </c>
      <c r="C13" s="8">
        <v>4427.2</v>
      </c>
      <c r="D13" s="8">
        <v>4189.3</v>
      </c>
      <c r="E13" s="8">
        <v>3360.4</v>
      </c>
      <c r="F13" s="8">
        <v>4131.8</v>
      </c>
      <c r="G13" s="8">
        <v>2961.5</v>
      </c>
      <c r="H13" s="8">
        <v>3897.1</v>
      </c>
      <c r="I13" s="8">
        <v>3481.2</v>
      </c>
      <c r="J13" s="8">
        <v>3367.1</v>
      </c>
      <c r="K13" s="8">
        <v>3498</v>
      </c>
      <c r="L13" s="8">
        <v>3283.1</v>
      </c>
      <c r="M13" s="8">
        <v>3632.6</v>
      </c>
      <c r="N13" s="8">
        <v>3756.9</v>
      </c>
      <c r="O13" s="8">
        <v>3652.7</v>
      </c>
      <c r="P13" s="8">
        <v>3434.9</v>
      </c>
      <c r="Q13" s="8">
        <v>3068.3</v>
      </c>
    </row>
    <row r="14" spans="1:17" x14ac:dyDescent="0.2">
      <c r="A14" s="8" t="s">
        <v>68</v>
      </c>
      <c r="C14" s="8">
        <v>6164.8</v>
      </c>
      <c r="D14" s="8">
        <v>6443.6</v>
      </c>
      <c r="E14" s="8">
        <v>4995.1000000000004</v>
      </c>
      <c r="F14" s="8">
        <v>2641.3</v>
      </c>
      <c r="G14" s="8">
        <v>3085.1</v>
      </c>
      <c r="H14" s="8">
        <v>3154.6</v>
      </c>
      <c r="I14" s="8">
        <v>3060.3</v>
      </c>
      <c r="J14" s="8">
        <v>2891</v>
      </c>
      <c r="K14" s="8">
        <v>2855.1</v>
      </c>
      <c r="L14" s="8">
        <v>2857.7</v>
      </c>
      <c r="M14" s="8">
        <v>2817.9</v>
      </c>
      <c r="N14" s="8">
        <v>2795.7</v>
      </c>
      <c r="O14" s="8">
        <v>2714.7</v>
      </c>
      <c r="P14" s="8">
        <v>2688</v>
      </c>
      <c r="Q14" s="8">
        <v>2686</v>
      </c>
    </row>
    <row r="15" spans="1:17" x14ac:dyDescent="0.2">
      <c r="A15" s="8" t="s">
        <v>71</v>
      </c>
      <c r="F15" s="8">
        <v>3340.2200000000007</v>
      </c>
      <c r="G15" s="8">
        <v>4140.59</v>
      </c>
      <c r="H15" s="8">
        <v>4552.78</v>
      </c>
      <c r="I15" s="8">
        <v>4587.46</v>
      </c>
      <c r="J15" s="8">
        <v>4558.7400000000007</v>
      </c>
      <c r="K15" s="8">
        <v>4294.38</v>
      </c>
      <c r="L15" s="8">
        <v>4074.9399999999996</v>
      </c>
      <c r="M15" s="8">
        <v>3957.6800000000003</v>
      </c>
      <c r="N15" s="8">
        <v>3936.32</v>
      </c>
      <c r="O15" s="8">
        <v>3908.06</v>
      </c>
      <c r="P15" s="8">
        <v>3888.94</v>
      </c>
      <c r="Q15" s="8">
        <v>3986.58</v>
      </c>
    </row>
    <row r="16" spans="1:17" x14ac:dyDescent="0.2">
      <c r="A16" s="8" t="s">
        <v>72</v>
      </c>
      <c r="B16" s="8">
        <v>10000</v>
      </c>
      <c r="C16" s="8">
        <v>10000</v>
      </c>
      <c r="D16" s="8">
        <v>10000</v>
      </c>
      <c r="E16" s="8">
        <v>10000</v>
      </c>
      <c r="F16" s="8">
        <v>8658.5358639999995</v>
      </c>
      <c r="G16" s="8">
        <v>7145.2640760000004</v>
      </c>
      <c r="H16" s="8">
        <v>6610.8562119999997</v>
      </c>
      <c r="I16" s="8">
        <v>6331.7256289999996</v>
      </c>
      <c r="J16" s="8">
        <v>5813.3520040000003</v>
      </c>
      <c r="K16" s="8">
        <v>5432.7504079999999</v>
      </c>
      <c r="L16" s="8">
        <v>5344.3477599999997</v>
      </c>
      <c r="M16" s="8">
        <v>5242.449902656308</v>
      </c>
      <c r="N16" s="8">
        <v>5229.7669603575741</v>
      </c>
      <c r="O16" s="8">
        <v>5168.3769729791584</v>
      </c>
      <c r="P16" s="8">
        <v>5165.62</v>
      </c>
      <c r="Q16" s="8">
        <v>5137.8084806522493</v>
      </c>
    </row>
  </sheetData>
  <mergeCells count="2">
    <mergeCell ref="A1:N1"/>
    <mergeCell ref="A11:N11"/>
  </mergeCells>
  <phoneticPr fontId="4" type="noConversion"/>
  <pageMargins left="0.7" right="0.7" top="0.75" bottom="0.75" header="0.3" footer="0.3"/>
  <pageSetup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A2A8-1129-9643-AA80-892B39D6A083}">
  <dimension ref="A1:U64"/>
  <sheetViews>
    <sheetView zoomScale="75" zoomScaleNormal="120" workbookViewId="0">
      <selection activeCell="U25" sqref="T18:U25"/>
    </sheetView>
  </sheetViews>
  <sheetFormatPr baseColWidth="10" defaultColWidth="11" defaultRowHeight="16" x14ac:dyDescent="0.2"/>
  <cols>
    <col min="1" max="16384" width="11" style="8"/>
  </cols>
  <sheetData>
    <row r="1" spans="1:21" ht="27" customHeight="1" x14ac:dyDescent="0.2">
      <c r="A1" s="32" t="s">
        <v>594</v>
      </c>
      <c r="B1" s="32"/>
      <c r="C1" s="32"/>
      <c r="D1" s="32"/>
      <c r="E1" s="32"/>
      <c r="F1" s="32"/>
      <c r="G1" s="32"/>
      <c r="H1" s="32"/>
      <c r="I1" s="32"/>
      <c r="J1" s="32"/>
      <c r="K1" s="32"/>
      <c r="L1" s="32"/>
    </row>
    <row r="2" spans="1:21" x14ac:dyDescent="0.2">
      <c r="B2" s="8">
        <v>1985</v>
      </c>
      <c r="C2" s="8">
        <v>1988</v>
      </c>
      <c r="D2" s="8">
        <v>1992</v>
      </c>
      <c r="E2" s="8">
        <v>1996</v>
      </c>
      <c r="F2" s="8">
        <v>2000</v>
      </c>
      <c r="G2" s="8">
        <v>2004</v>
      </c>
      <c r="H2" s="8">
        <v>2008</v>
      </c>
      <c r="I2" s="8">
        <v>2010</v>
      </c>
      <c r="J2" s="8">
        <v>2011</v>
      </c>
      <c r="K2" s="8">
        <v>2012</v>
      </c>
      <c r="L2" s="8">
        <v>2013</v>
      </c>
      <c r="M2" s="8">
        <v>2014</v>
      </c>
      <c r="N2" s="8">
        <v>2015</v>
      </c>
      <c r="O2" s="8">
        <v>2016</v>
      </c>
      <c r="P2" s="8">
        <v>2017</v>
      </c>
      <c r="Q2" s="8">
        <v>2018</v>
      </c>
      <c r="R2" s="8">
        <v>2019</v>
      </c>
      <c r="S2" s="8">
        <v>2020</v>
      </c>
      <c r="T2" s="8">
        <v>2021</v>
      </c>
      <c r="U2" s="8">
        <v>2022</v>
      </c>
    </row>
    <row r="3" spans="1:21" x14ac:dyDescent="0.2">
      <c r="A3" s="8" t="s">
        <v>73</v>
      </c>
      <c r="B3" s="8">
        <v>65.8</v>
      </c>
      <c r="C3" s="8">
        <v>74.099999999999994</v>
      </c>
      <c r="D3" s="8">
        <v>76.900000000000006</v>
      </c>
      <c r="E3" s="8">
        <v>49.3</v>
      </c>
      <c r="F3" s="8">
        <v>27.4</v>
      </c>
      <c r="G3" s="8">
        <v>34.800000000000004</v>
      </c>
      <c r="H3" s="8">
        <v>28.099999999999998</v>
      </c>
      <c r="I3" s="8">
        <v>27.8</v>
      </c>
      <c r="J3" s="8">
        <v>27.9</v>
      </c>
      <c r="K3" s="8">
        <v>27.9</v>
      </c>
      <c r="L3" s="8">
        <v>28.1</v>
      </c>
      <c r="M3" s="8">
        <v>28.9</v>
      </c>
      <c r="N3" s="8">
        <v>29.7</v>
      </c>
      <c r="O3" s="8">
        <v>29.7</v>
      </c>
      <c r="P3" s="8">
        <v>30.7</v>
      </c>
      <c r="Q3" s="8">
        <v>29.9</v>
      </c>
      <c r="R3" s="8">
        <v>31.3</v>
      </c>
      <c r="S3" s="8">
        <v>30.9</v>
      </c>
      <c r="T3" s="8">
        <v>30.7</v>
      </c>
      <c r="U3" s="8">
        <v>31.2</v>
      </c>
    </row>
    <row r="4" spans="1:21" x14ac:dyDescent="0.2">
      <c r="A4" s="8" t="s">
        <v>18</v>
      </c>
      <c r="F4" s="8">
        <v>23.4</v>
      </c>
      <c r="G4" s="8">
        <v>30.6</v>
      </c>
      <c r="H4" s="8">
        <v>27.7</v>
      </c>
      <c r="I4" s="8">
        <v>27.255555555555556</v>
      </c>
      <c r="J4" s="8">
        <v>27.387434554973822</v>
      </c>
      <c r="K4" s="8">
        <v>27.382352941176467</v>
      </c>
      <c r="L4" s="8">
        <v>27.589622641509433</v>
      </c>
      <c r="M4" s="8">
        <v>28.368181818181821</v>
      </c>
    </row>
    <row r="5" spans="1:21" x14ac:dyDescent="0.2">
      <c r="A5" s="8" t="s">
        <v>74</v>
      </c>
      <c r="F5" s="8">
        <v>4.0055555555555555</v>
      </c>
      <c r="G5" s="8">
        <v>4.1999999999999993</v>
      </c>
      <c r="H5" s="8">
        <v>0.44444444444444442</v>
      </c>
      <c r="I5" s="8">
        <v>0.44999999999999996</v>
      </c>
      <c r="J5" s="8">
        <v>0.4607329842931937</v>
      </c>
      <c r="K5" s="8">
        <v>0.46078431372549022</v>
      </c>
      <c r="L5" s="8">
        <v>0.45754716981132071</v>
      </c>
      <c r="M5" s="8">
        <v>0.44999999999999996</v>
      </c>
    </row>
    <row r="6" spans="1:21" x14ac:dyDescent="0.2">
      <c r="A6" s="8" t="s">
        <v>76</v>
      </c>
      <c r="B6" s="8">
        <v>34.200000000000003</v>
      </c>
      <c r="C6" s="8">
        <v>25.9</v>
      </c>
      <c r="D6" s="8">
        <v>23.1</v>
      </c>
      <c r="E6" s="8">
        <v>50.7</v>
      </c>
      <c r="F6" s="8">
        <v>30.4</v>
      </c>
      <c r="G6" s="8">
        <v>30.3</v>
      </c>
      <c r="H6" s="8">
        <v>39.1</v>
      </c>
      <c r="I6" s="8">
        <v>38.700000000000003</v>
      </c>
      <c r="J6" s="8">
        <v>37.4</v>
      </c>
      <c r="K6" s="8">
        <v>35.700000000000003</v>
      </c>
      <c r="L6" s="8">
        <v>34.299999999999997</v>
      </c>
      <c r="M6" s="8">
        <v>33.200000000000003</v>
      </c>
      <c r="N6" s="8">
        <v>33.1</v>
      </c>
      <c r="O6" s="8">
        <v>32.799999999999997</v>
      </c>
      <c r="P6" s="8">
        <v>32.299999999999997</v>
      </c>
      <c r="Q6" s="8">
        <v>32.6</v>
      </c>
      <c r="R6" s="8">
        <v>31.7</v>
      </c>
      <c r="S6" s="8">
        <v>30.4</v>
      </c>
      <c r="T6" s="8">
        <v>30</v>
      </c>
      <c r="U6" s="8">
        <v>29.9</v>
      </c>
    </row>
    <row r="7" spans="1:21" x14ac:dyDescent="0.2">
      <c r="A7" s="8" t="s">
        <v>75</v>
      </c>
      <c r="F7" s="8">
        <v>29.9</v>
      </c>
      <c r="G7" s="8">
        <v>30.8</v>
      </c>
      <c r="H7" s="8">
        <v>28.8</v>
      </c>
      <c r="I7" s="8">
        <v>28</v>
      </c>
      <c r="J7" s="8">
        <v>28.8</v>
      </c>
      <c r="K7" s="8">
        <v>28.9</v>
      </c>
      <c r="L7" s="8">
        <v>29.1</v>
      </c>
      <c r="M7" s="8">
        <v>30.2</v>
      </c>
      <c r="N7" s="8">
        <v>30.3</v>
      </c>
      <c r="O7" s="8">
        <v>29.7</v>
      </c>
      <c r="P7" s="8">
        <v>29.4</v>
      </c>
      <c r="Q7" s="8">
        <v>29</v>
      </c>
      <c r="R7" s="8">
        <v>28.1</v>
      </c>
      <c r="S7" s="8">
        <v>28.4</v>
      </c>
      <c r="T7" s="8">
        <v>28.5</v>
      </c>
      <c r="U7" s="8">
        <v>28.4</v>
      </c>
    </row>
    <row r="8" spans="1:21" x14ac:dyDescent="0.2">
      <c r="A8" s="8" t="s">
        <v>35</v>
      </c>
      <c r="F8" s="8">
        <v>2.5</v>
      </c>
      <c r="G8" s="8">
        <v>2.1</v>
      </c>
      <c r="H8" s="8">
        <v>2.2000000000000002</v>
      </c>
      <c r="I8" s="8">
        <v>2.2999999999999998</v>
      </c>
      <c r="J8" s="8">
        <v>2.2000000000000002</v>
      </c>
      <c r="K8" s="8">
        <v>2.2000000000000002</v>
      </c>
      <c r="L8" s="8">
        <v>2.2000000000000002</v>
      </c>
      <c r="M8" s="8">
        <v>2.2000000000000002</v>
      </c>
      <c r="N8" s="8">
        <v>2.1</v>
      </c>
      <c r="O8" s="8">
        <v>2.1</v>
      </c>
      <c r="P8" s="8">
        <v>2</v>
      </c>
      <c r="Q8" s="8">
        <v>1.8</v>
      </c>
      <c r="R8" s="8">
        <v>1.8</v>
      </c>
      <c r="S8" s="8">
        <v>2.1</v>
      </c>
      <c r="T8" s="8">
        <v>2</v>
      </c>
      <c r="U8" s="8">
        <v>2</v>
      </c>
    </row>
    <row r="9" spans="1:21" x14ac:dyDescent="0.2">
      <c r="A9" s="8" t="s">
        <v>78</v>
      </c>
      <c r="H9" s="8">
        <v>0.3</v>
      </c>
      <c r="I9" s="8">
        <v>0.3</v>
      </c>
      <c r="J9" s="8">
        <v>0.6</v>
      </c>
      <c r="K9" s="8">
        <v>0.8</v>
      </c>
      <c r="L9" s="8">
        <v>1</v>
      </c>
      <c r="M9" s="8">
        <v>1.3</v>
      </c>
      <c r="N9" s="8">
        <v>1.7</v>
      </c>
      <c r="O9" s="8">
        <v>2.1</v>
      </c>
      <c r="P9" s="8">
        <v>2.4</v>
      </c>
      <c r="Q9" s="8">
        <v>2.5</v>
      </c>
      <c r="R9" s="8">
        <v>2.7</v>
      </c>
      <c r="S9" s="8">
        <v>3.1</v>
      </c>
      <c r="T9" s="8">
        <v>3.4</v>
      </c>
      <c r="U9" s="8">
        <v>3.6</v>
      </c>
    </row>
    <row r="10" spans="1:21" x14ac:dyDescent="0.2">
      <c r="A10" s="8" t="s">
        <v>77</v>
      </c>
      <c r="O10" s="8">
        <v>2</v>
      </c>
      <c r="P10" s="8">
        <v>2.2999999999999998</v>
      </c>
      <c r="Q10" s="8">
        <v>3.4</v>
      </c>
      <c r="R10" s="8">
        <v>3.6</v>
      </c>
      <c r="S10" s="8">
        <v>4.2</v>
      </c>
      <c r="T10" s="8">
        <v>4.3</v>
      </c>
      <c r="U10" s="8">
        <v>4.2</v>
      </c>
    </row>
    <row r="11" spans="1:21" x14ac:dyDescent="0.2">
      <c r="A11" s="8" t="s">
        <v>79</v>
      </c>
      <c r="Q11" s="8">
        <v>0.5</v>
      </c>
      <c r="R11" s="8">
        <v>0.5</v>
      </c>
      <c r="S11" s="8">
        <v>0.6</v>
      </c>
      <c r="T11" s="8">
        <v>0.7</v>
      </c>
      <c r="U11" s="8">
        <v>0.7</v>
      </c>
    </row>
    <row r="12" spans="1:21" x14ac:dyDescent="0.2">
      <c r="A12" s="8" t="s">
        <v>86</v>
      </c>
      <c r="Q12" s="8">
        <v>0.4</v>
      </c>
      <c r="R12" s="8">
        <v>0.4</v>
      </c>
      <c r="S12" s="8">
        <v>0.5</v>
      </c>
      <c r="T12" s="8">
        <v>0.5</v>
      </c>
      <c r="U12" s="8">
        <v>0.4</v>
      </c>
    </row>
    <row r="13" spans="1:21" x14ac:dyDescent="0.2">
      <c r="A13" s="8" t="s">
        <v>83</v>
      </c>
      <c r="F13" s="8">
        <v>2</v>
      </c>
      <c r="G13" s="8">
        <v>2</v>
      </c>
      <c r="H13" s="8">
        <v>1.8</v>
      </c>
      <c r="I13" s="8">
        <v>1.8</v>
      </c>
      <c r="J13" s="8">
        <v>1.9</v>
      </c>
      <c r="K13" s="8">
        <v>1.8</v>
      </c>
      <c r="L13" s="8">
        <v>1.8</v>
      </c>
      <c r="M13" s="8">
        <v>1.6</v>
      </c>
      <c r="N13" s="8">
        <v>1.5</v>
      </c>
      <c r="O13" s="8">
        <v>1.4</v>
      </c>
    </row>
    <row r="14" spans="1:21" x14ac:dyDescent="0.2">
      <c r="A14" s="8" t="s">
        <v>84</v>
      </c>
      <c r="E14" s="8">
        <v>4.5977011494252873E-2</v>
      </c>
      <c r="F14" s="8">
        <v>7.9722222222222223</v>
      </c>
      <c r="G14" s="8" t="s">
        <v>20</v>
      </c>
    </row>
    <row r="15" spans="1:21" x14ac:dyDescent="0.2">
      <c r="A15" s="8" t="s">
        <v>85</v>
      </c>
      <c r="I15" s="8">
        <v>0.2</v>
      </c>
      <c r="J15" s="8">
        <v>0.5</v>
      </c>
      <c r="K15" s="8">
        <v>0.8</v>
      </c>
      <c r="L15" s="8">
        <v>1</v>
      </c>
      <c r="M15" s="8">
        <v>1.2</v>
      </c>
      <c r="N15" s="8">
        <v>1.5</v>
      </c>
      <c r="O15" s="8" t="s">
        <v>22</v>
      </c>
    </row>
    <row r="16" spans="1:21" x14ac:dyDescent="0.2">
      <c r="A16" s="8" t="s">
        <v>81</v>
      </c>
      <c r="I16" s="8">
        <v>5.5055555555555552E-2</v>
      </c>
      <c r="J16" s="8">
        <v>0.20984293193717277</v>
      </c>
      <c r="K16" s="8">
        <v>0.37127450980392157</v>
      </c>
      <c r="L16" s="8">
        <v>0.40471698113207544</v>
      </c>
      <c r="M16" s="8">
        <v>0.31136363636363634</v>
      </c>
    </row>
    <row r="17" spans="1:13" x14ac:dyDescent="0.2">
      <c r="A17" s="8" t="s">
        <v>82</v>
      </c>
      <c r="I17" s="8">
        <v>7.5388888888888894E-2</v>
      </c>
      <c r="J17" s="8">
        <v>0.21947643979057593</v>
      </c>
      <c r="K17" s="8">
        <v>0.35348039215686272</v>
      </c>
      <c r="L17" s="8">
        <v>0.33066037735849052</v>
      </c>
      <c r="M17" s="8">
        <v>0.25045454545454549</v>
      </c>
    </row>
    <row r="18" spans="1:13" x14ac:dyDescent="0.2">
      <c r="A18" s="8" t="s">
        <v>80</v>
      </c>
      <c r="E18" s="8">
        <v>0.72183908045977008</v>
      </c>
      <c r="F18" s="8" t="s">
        <v>26</v>
      </c>
    </row>
    <row r="19" spans="1:13" x14ac:dyDescent="0.2">
      <c r="A19" s="8" t="s">
        <v>87</v>
      </c>
    </row>
    <row r="64" s="8" customFormat="1" ht="17" customHeight="1" x14ac:dyDescent="0.2"/>
  </sheetData>
  <mergeCells count="1">
    <mergeCell ref="A1:L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F2AD-4AC3-D64F-8C26-A6EC97705FDC}">
  <dimension ref="A1:AB38"/>
  <sheetViews>
    <sheetView zoomScale="75" zoomScaleNormal="120" workbookViewId="0">
      <selection sqref="A1:L1"/>
    </sheetView>
  </sheetViews>
  <sheetFormatPr baseColWidth="10" defaultColWidth="11" defaultRowHeight="16" x14ac:dyDescent="0.2"/>
  <cols>
    <col min="1" max="1" width="29" style="7" customWidth="1"/>
    <col min="2" max="5" width="13" style="7" bestFit="1" customWidth="1"/>
    <col min="6" max="6" width="11" style="7" customWidth="1"/>
    <col min="7" max="7" width="12.83203125" style="7" customWidth="1"/>
    <col min="8" max="8" width="11.1640625" style="7" bestFit="1" customWidth="1"/>
    <col min="9" max="9" width="13" style="7" bestFit="1" customWidth="1"/>
    <col min="10" max="10" width="12.83203125" style="7" bestFit="1" customWidth="1"/>
    <col min="11" max="12" width="11.1640625" style="7" bestFit="1" customWidth="1"/>
    <col min="13" max="13" width="11.83203125" style="7" bestFit="1" customWidth="1"/>
    <col min="14" max="15" width="11.1640625" style="7" bestFit="1" customWidth="1"/>
    <col min="16" max="16" width="11" style="7" bestFit="1" customWidth="1"/>
    <col min="17" max="16384" width="11" style="7"/>
  </cols>
  <sheetData>
    <row r="1" spans="1:28" ht="34.25" customHeight="1" x14ac:dyDescent="0.2">
      <c r="A1" s="30" t="s">
        <v>591</v>
      </c>
      <c r="B1" s="30"/>
      <c r="C1" s="30"/>
      <c r="D1" s="30"/>
      <c r="E1" s="30"/>
      <c r="F1" s="30"/>
      <c r="G1" s="30"/>
      <c r="H1" s="30"/>
      <c r="I1" s="30"/>
      <c r="J1" s="30"/>
      <c r="K1" s="30"/>
      <c r="L1" s="30"/>
      <c r="Q1" s="33"/>
      <c r="R1" s="33"/>
      <c r="S1" s="33"/>
      <c r="T1" s="33"/>
      <c r="U1" s="33"/>
      <c r="V1" s="33"/>
      <c r="W1" s="33"/>
      <c r="X1" s="33"/>
      <c r="Y1" s="33"/>
      <c r="Z1" s="33"/>
      <c r="AA1" s="33"/>
      <c r="AB1" s="33"/>
    </row>
    <row r="2" spans="1:28" ht="17" x14ac:dyDescent="0.2">
      <c r="A2" s="7" t="s">
        <v>89</v>
      </c>
      <c r="B2" s="7" t="s">
        <v>90</v>
      </c>
      <c r="C2" s="7" t="s">
        <v>91</v>
      </c>
      <c r="D2" s="7" t="s">
        <v>20</v>
      </c>
      <c r="E2" s="7" t="s">
        <v>22</v>
      </c>
      <c r="F2" s="7" t="s">
        <v>78</v>
      </c>
      <c r="G2" s="7" t="s">
        <v>35</v>
      </c>
      <c r="H2" s="7" t="s">
        <v>86</v>
      </c>
      <c r="I2" s="7" t="s">
        <v>36</v>
      </c>
      <c r="J2" s="7" t="s">
        <v>92</v>
      </c>
      <c r="K2" s="7" t="s">
        <v>93</v>
      </c>
      <c r="L2" s="7" t="s">
        <v>88</v>
      </c>
      <c r="M2" s="7" t="s">
        <v>63</v>
      </c>
    </row>
    <row r="3" spans="1:28" ht="17" x14ac:dyDescent="0.2">
      <c r="A3" s="7" t="s">
        <v>94</v>
      </c>
      <c r="B3" s="7">
        <v>0.17935144103459091</v>
      </c>
      <c r="C3" s="7">
        <v>0.40082171795515487</v>
      </c>
      <c r="D3" s="7">
        <v>0.33820843718801497</v>
      </c>
      <c r="E3" s="7">
        <v>7.901487486271494E-2</v>
      </c>
      <c r="J3" s="7">
        <v>2.603528959524315E-3</v>
      </c>
      <c r="K3" s="7">
        <f t="shared" ref="K3:K13" si="0">SUM(B3:J3)</f>
        <v>1</v>
      </c>
      <c r="L3" s="7">
        <f>B3+C3+D3</f>
        <v>0.91838159617776072</v>
      </c>
      <c r="M3" s="7">
        <f t="shared" ref="M3:M13" si="1">SUMSQ(B3:I3)*10000</f>
        <v>3134.5328642043605</v>
      </c>
      <c r="N3" s="7">
        <v>0.133301185434852</v>
      </c>
      <c r="O3" s="7" cm="1">
        <f t="array" ref="O3:O13">SUMPRODUCT(M3:M13)/(N3:N13)/100</f>
        <v>2936.6244274201727</v>
      </c>
    </row>
    <row r="4" spans="1:28" ht="17" x14ac:dyDescent="0.2">
      <c r="A4" s="7" t="s">
        <v>95</v>
      </c>
      <c r="B4" s="7">
        <v>0.22992075159045089</v>
      </c>
      <c r="C4" s="7">
        <v>0.49320792285675275</v>
      </c>
      <c r="D4" s="7">
        <v>0.19570291376645205</v>
      </c>
      <c r="E4" s="7">
        <v>7.901487486271494E-2</v>
      </c>
      <c r="J4" s="7">
        <v>2.1535369236292956E-3</v>
      </c>
      <c r="K4" s="7">
        <f t="shared" si="0"/>
        <v>1</v>
      </c>
      <c r="L4" s="7">
        <f>B4+C4+D4</f>
        <v>0.91883158821365574</v>
      </c>
      <c r="M4" s="7">
        <f t="shared" si="1"/>
        <v>3406.6058808684029</v>
      </c>
      <c r="N4" s="7">
        <v>0.11626753727057659</v>
      </c>
      <c r="O4" s="7">
        <v>3366.8513717725127</v>
      </c>
    </row>
    <row r="5" spans="1:28" ht="17" x14ac:dyDescent="0.2">
      <c r="A5" s="7" t="s">
        <v>96</v>
      </c>
      <c r="B5" s="7">
        <v>0.23402746665653978</v>
      </c>
      <c r="C5" s="7">
        <v>0.1546226975587893</v>
      </c>
      <c r="D5" s="7">
        <v>3.8460297741916158E-2</v>
      </c>
      <c r="G5" s="7">
        <v>0.57288953804275478</v>
      </c>
      <c r="J5" s="7">
        <v>0</v>
      </c>
      <c r="K5" s="7">
        <f t="shared" si="0"/>
        <v>1</v>
      </c>
      <c r="L5" s="7">
        <f>B5+C5+G5</f>
        <v>0.96153970225808383</v>
      </c>
      <c r="M5" s="7">
        <f t="shared" si="1"/>
        <v>4083.586510512725</v>
      </c>
      <c r="N5" s="7">
        <v>3.3454393975726165E-2</v>
      </c>
      <c r="O5" s="7">
        <v>11701.168989523014</v>
      </c>
    </row>
    <row r="6" spans="1:28" ht="17" x14ac:dyDescent="0.2">
      <c r="A6" s="7" t="s">
        <v>97</v>
      </c>
      <c r="B6" s="7">
        <v>0.42102699304759195</v>
      </c>
      <c r="C6" s="7">
        <v>0.21440150568235086</v>
      </c>
      <c r="D6" s="7">
        <v>0.36387450324367349</v>
      </c>
      <c r="J6" s="7">
        <v>6.9699802638378827E-4</v>
      </c>
      <c r="K6" s="7">
        <f t="shared" si="0"/>
        <v>1</v>
      </c>
      <c r="L6" s="7">
        <f>B6+C6+D6</f>
        <v>0.99930300197361621</v>
      </c>
      <c r="M6" s="7">
        <f t="shared" si="1"/>
        <v>3556.3638862438629</v>
      </c>
      <c r="N6" s="7">
        <v>3.6684349672869328E-2</v>
      </c>
      <c r="O6" s="7">
        <v>10670.913368857173</v>
      </c>
    </row>
    <row r="7" spans="1:28" ht="17" x14ac:dyDescent="0.2">
      <c r="A7" s="7" t="s">
        <v>98</v>
      </c>
      <c r="B7" s="7">
        <v>0.274560060673116</v>
      </c>
      <c r="C7" s="7">
        <v>0.18611706271948952</v>
      </c>
      <c r="D7" s="7">
        <v>0.39475358458859883</v>
      </c>
      <c r="E7" s="7">
        <v>0.12877858159096195</v>
      </c>
      <c r="F7" s="7">
        <v>2.0961579048558885E-3</v>
      </c>
      <c r="G7" s="7">
        <v>0</v>
      </c>
      <c r="H7" s="7">
        <v>1.2990688605865544E-2</v>
      </c>
      <c r="I7" s="7">
        <v>7.0386391711240468E-4</v>
      </c>
      <c r="J7" s="7">
        <v>0</v>
      </c>
      <c r="K7" s="7">
        <f t="shared" si="0"/>
        <v>1</v>
      </c>
      <c r="L7" s="7">
        <f>B7+C7+D7</f>
        <v>0.85543070798120435</v>
      </c>
      <c r="M7" s="7">
        <f t="shared" si="1"/>
        <v>2826.1075086711407</v>
      </c>
      <c r="N7" s="7">
        <v>0.39147478139404479</v>
      </c>
      <c r="O7" s="7">
        <v>999.95079110351969</v>
      </c>
    </row>
    <row r="8" spans="1:28" ht="17" x14ac:dyDescent="0.2">
      <c r="A8" s="7" t="s">
        <v>99</v>
      </c>
      <c r="B8" s="7">
        <v>0.29352795867396586</v>
      </c>
      <c r="C8" s="7">
        <v>0.25166576820585834</v>
      </c>
      <c r="D8" s="7">
        <v>0.22592331527497367</v>
      </c>
      <c r="F8" s="7">
        <v>0.22889999999999999</v>
      </c>
      <c r="J8" s="7">
        <v>-1.7042154797808351E-5</v>
      </c>
      <c r="K8" s="7">
        <f t="shared" si="0"/>
        <v>1</v>
      </c>
      <c r="L8" s="7">
        <f>B8+C8+F8</f>
        <v>0.77409372687982414</v>
      </c>
      <c r="M8" s="7">
        <f t="shared" si="1"/>
        <v>2529.3087579478533</v>
      </c>
      <c r="N8" s="7">
        <v>0.22620202588373592</v>
      </c>
      <c r="O8" s="7">
        <v>1730.5570797728142</v>
      </c>
    </row>
    <row r="9" spans="1:28" ht="17" x14ac:dyDescent="0.2">
      <c r="A9" s="7" t="s">
        <v>100</v>
      </c>
      <c r="B9" s="7">
        <v>0.4404602408742388</v>
      </c>
      <c r="C9" s="7">
        <v>0.27144448481353961</v>
      </c>
      <c r="D9" s="7">
        <v>0.15903418437248606</v>
      </c>
      <c r="E9" s="7">
        <v>0</v>
      </c>
      <c r="F9" s="7">
        <v>0</v>
      </c>
      <c r="G9" s="7">
        <v>0</v>
      </c>
      <c r="H9" s="7">
        <v>0</v>
      </c>
      <c r="I9" s="7">
        <v>0.12906108993973545</v>
      </c>
      <c r="J9" s="7">
        <v>0</v>
      </c>
      <c r="K9" s="7">
        <f t="shared" si="0"/>
        <v>0.99999999999999989</v>
      </c>
      <c r="L9" s="7">
        <f>B9+C9+D9</f>
        <v>0.87093891006026447</v>
      </c>
      <c r="M9" s="7">
        <f t="shared" si="1"/>
        <v>3096.3596886213472</v>
      </c>
      <c r="N9" s="7">
        <v>1.990527269580852E-2</v>
      </c>
      <c r="O9" s="7">
        <v>19665.920850935232</v>
      </c>
    </row>
    <row r="10" spans="1:28" ht="17" x14ac:dyDescent="0.2">
      <c r="A10" s="7" t="s">
        <v>101</v>
      </c>
      <c r="B10" s="7">
        <v>0.4554729057259011</v>
      </c>
      <c r="C10" s="7">
        <v>0.30630479463199867</v>
      </c>
      <c r="D10" s="7">
        <v>0.10867935657457005</v>
      </c>
      <c r="E10" s="7">
        <v>0</v>
      </c>
      <c r="F10" s="7">
        <v>0</v>
      </c>
      <c r="G10" s="7">
        <v>0</v>
      </c>
      <c r="H10" s="7">
        <v>0</v>
      </c>
      <c r="I10" s="7">
        <v>0.12954294306753003</v>
      </c>
      <c r="J10" s="7">
        <v>0</v>
      </c>
      <c r="K10" s="7">
        <f t="shared" si="0"/>
        <v>0.99999999999999989</v>
      </c>
      <c r="L10" s="7">
        <f>B10+C10+D10</f>
        <v>0.87045705693246989</v>
      </c>
      <c r="M10" s="7">
        <f t="shared" si="1"/>
        <v>3298.7077170900629</v>
      </c>
      <c r="N10" s="7">
        <v>2.3974240152663653E-2</v>
      </c>
      <c r="O10" s="7">
        <v>16328.172023777777</v>
      </c>
    </row>
    <row r="11" spans="1:28" ht="17" x14ac:dyDescent="0.2">
      <c r="A11" s="7" t="s">
        <v>102</v>
      </c>
      <c r="B11" s="7">
        <v>0.42539566230888481</v>
      </c>
      <c r="C11" s="7">
        <v>0.34405288478512169</v>
      </c>
      <c r="D11" s="7">
        <v>0.1016484006375971</v>
      </c>
      <c r="E11" s="7">
        <v>0</v>
      </c>
      <c r="F11" s="7">
        <v>0</v>
      </c>
      <c r="G11" s="7">
        <v>0</v>
      </c>
      <c r="H11" s="7">
        <v>0</v>
      </c>
      <c r="I11" s="7">
        <v>0.12890305226839641</v>
      </c>
      <c r="J11" s="7">
        <v>0</v>
      </c>
      <c r="K11" s="7">
        <f t="shared" si="0"/>
        <v>0.99999999999999989</v>
      </c>
      <c r="L11" s="7">
        <f>B11+C11+D11</f>
        <v>0.87109694773160351</v>
      </c>
      <c r="M11" s="7">
        <f t="shared" si="1"/>
        <v>3262.8225127646938</v>
      </c>
      <c r="N11" s="7">
        <v>1.1081821008115602E-2</v>
      </c>
      <c r="O11" s="7">
        <v>35324.114788117957</v>
      </c>
    </row>
    <row r="12" spans="1:28" ht="17" x14ac:dyDescent="0.2">
      <c r="A12" s="7" t="s">
        <v>103</v>
      </c>
      <c r="B12" s="7">
        <v>0.54034891959850728</v>
      </c>
      <c r="C12" s="7">
        <v>0.30975057828304414</v>
      </c>
      <c r="D12" s="7">
        <v>1.8940798283265975E-2</v>
      </c>
      <c r="E12" s="7">
        <v>0</v>
      </c>
      <c r="F12" s="7">
        <v>0</v>
      </c>
      <c r="G12" s="7">
        <v>0</v>
      </c>
      <c r="H12" s="7">
        <v>0</v>
      </c>
      <c r="I12" s="7">
        <v>0.13095970383518254</v>
      </c>
      <c r="J12" s="7">
        <v>0</v>
      </c>
      <c r="K12" s="7">
        <f t="shared" si="0"/>
        <v>1</v>
      </c>
      <c r="L12" s="7">
        <f>B12+C12+D12</f>
        <v>0.86904029616481748</v>
      </c>
      <c r="M12" s="7">
        <f t="shared" si="1"/>
        <v>4054.3157352616045</v>
      </c>
      <c r="N12" s="7">
        <v>4.4848630952391911E-3</v>
      </c>
      <c r="O12" s="7">
        <v>87283.716144556049</v>
      </c>
    </row>
    <row r="13" spans="1:28" ht="17" x14ac:dyDescent="0.2">
      <c r="A13" s="7" t="s">
        <v>104</v>
      </c>
      <c r="B13" s="7">
        <v>0.74801989785725032</v>
      </c>
      <c r="C13" s="7">
        <v>0.17363841657752235</v>
      </c>
      <c r="D13" s="7">
        <v>0</v>
      </c>
      <c r="J13" s="7">
        <v>7.8E-2</v>
      </c>
      <c r="K13" s="7">
        <f t="shared" si="0"/>
        <v>0.9996583144347726</v>
      </c>
      <c r="L13" s="7">
        <f>B13+C13+D13</f>
        <v>0.92165831443477264</v>
      </c>
      <c r="M13" s="7">
        <f t="shared" si="1"/>
        <v>5896.8406730192037</v>
      </c>
      <c r="N13" s="7">
        <v>3.1695294163681807E-3</v>
      </c>
      <c r="O13" s="7">
        <v>123505.87924203702</v>
      </c>
    </row>
    <row r="14" spans="1:28" ht="17" x14ac:dyDescent="0.2">
      <c r="A14" s="7" t="s">
        <v>572</v>
      </c>
      <c r="M14" s="7">
        <v>2936.6244274201681</v>
      </c>
    </row>
    <row r="16" spans="1:28" ht="34.25" customHeight="1" x14ac:dyDescent="0.2">
      <c r="A16" s="30" t="s">
        <v>592</v>
      </c>
      <c r="B16" s="30"/>
      <c r="C16" s="30"/>
      <c r="D16" s="30"/>
      <c r="E16" s="30"/>
      <c r="F16" s="30"/>
      <c r="G16" s="30"/>
      <c r="H16" s="30"/>
      <c r="I16" s="30"/>
      <c r="J16" s="30"/>
      <c r="K16" s="30"/>
      <c r="L16" s="30"/>
      <c r="Q16" s="33"/>
      <c r="R16" s="33"/>
      <c r="S16" s="33"/>
      <c r="T16" s="33"/>
      <c r="U16" s="33"/>
      <c r="V16" s="33"/>
      <c r="W16" s="33"/>
      <c r="X16" s="33"/>
      <c r="Y16" s="33"/>
      <c r="Z16" s="33"/>
      <c r="AA16" s="33"/>
      <c r="AB16" s="33"/>
    </row>
    <row r="17" spans="1:15" ht="17" x14ac:dyDescent="0.2">
      <c r="A17" s="7" t="s">
        <v>89</v>
      </c>
      <c r="B17" s="7" t="s">
        <v>90</v>
      </c>
      <c r="C17" s="7" t="s">
        <v>91</v>
      </c>
      <c r="D17" s="7" t="s">
        <v>20</v>
      </c>
      <c r="E17" s="7" t="s">
        <v>22</v>
      </c>
      <c r="F17" s="7" t="s">
        <v>78</v>
      </c>
      <c r="G17" s="7" t="s">
        <v>525</v>
      </c>
      <c r="H17" s="7" t="s">
        <v>526</v>
      </c>
      <c r="I17" s="7" t="s">
        <v>36</v>
      </c>
      <c r="J17" s="7" t="s">
        <v>92</v>
      </c>
      <c r="K17" s="7" t="s">
        <v>93</v>
      </c>
      <c r="L17" s="7" t="s">
        <v>88</v>
      </c>
      <c r="M17" s="7" t="s">
        <v>63</v>
      </c>
    </row>
    <row r="18" spans="1:15" ht="17" x14ac:dyDescent="0.2">
      <c r="A18" s="7" t="s">
        <v>94</v>
      </c>
      <c r="B18" s="7">
        <v>0.1985380800776898</v>
      </c>
      <c r="C18" s="7">
        <v>0.41441825422830936</v>
      </c>
      <c r="D18" s="7">
        <v>0.33557818661465166</v>
      </c>
      <c r="E18" s="7">
        <v>5.1465479079349175E-2</v>
      </c>
      <c r="F18" s="7">
        <v>0</v>
      </c>
      <c r="G18" s="7">
        <v>0</v>
      </c>
      <c r="H18" s="7">
        <v>0</v>
      </c>
      <c r="I18" s="7">
        <v>0</v>
      </c>
      <c r="J18" s="7">
        <v>0</v>
      </c>
      <c r="K18" s="7">
        <f>SUM(B18:J18)</f>
        <v>1</v>
      </c>
      <c r="L18" s="7">
        <f>B18+C18+D18</f>
        <v>0.94853452092065083</v>
      </c>
      <c r="M18" s="7">
        <f>SUMSQ(B18:I18)*10000</f>
        <v>3264.212735470197</v>
      </c>
      <c r="N18" s="7">
        <v>0.13330118543485223</v>
      </c>
      <c r="O18" s="7" cm="1">
        <f t="array" ref="O18:O28">SUMPRODUCT(M18:M28)/(N18:N28)/100</f>
        <v>3034.4638272766774</v>
      </c>
    </row>
    <row r="19" spans="1:15" ht="17" x14ac:dyDescent="0.2">
      <c r="A19" s="7" t="s">
        <v>95</v>
      </c>
      <c r="B19" s="7">
        <v>0.25197178245414731</v>
      </c>
      <c r="C19" s="7">
        <v>0.50483849875825604</v>
      </c>
      <c r="D19" s="7">
        <v>0.1922389419211194</v>
      </c>
      <c r="E19" s="7">
        <v>5.0950776866477324E-2</v>
      </c>
      <c r="F19" s="7">
        <v>0</v>
      </c>
      <c r="G19" s="7">
        <v>0</v>
      </c>
      <c r="H19" s="7">
        <v>0</v>
      </c>
      <c r="I19" s="7">
        <v>0</v>
      </c>
      <c r="J19" s="7">
        <v>0</v>
      </c>
      <c r="K19" s="7">
        <f t="shared" ref="K19:K28" si="2">SUM(B19:J19)</f>
        <v>1.0000000000000002</v>
      </c>
      <c r="L19" s="7">
        <f>B19+C19+D19</f>
        <v>0.9490492231335228</v>
      </c>
      <c r="M19" s="7">
        <f t="shared" ref="M19:M28" si="3">SUMSQ(B19:I19)*10000</f>
        <v>3579.0348143585888</v>
      </c>
      <c r="N19" s="7">
        <v>0.11626753727057659</v>
      </c>
      <c r="O19" s="7">
        <v>3479.02462571145</v>
      </c>
    </row>
    <row r="20" spans="1:15" ht="17" x14ac:dyDescent="0.2">
      <c r="A20" s="7" t="s">
        <v>96</v>
      </c>
      <c r="B20" s="7">
        <v>0.24178168641676295</v>
      </c>
      <c r="C20" s="7">
        <v>0.14920332488331142</v>
      </c>
      <c r="D20" s="7">
        <v>3.5615541435252078E-2</v>
      </c>
      <c r="E20" s="7">
        <v>0</v>
      </c>
      <c r="F20" s="7">
        <v>0</v>
      </c>
      <c r="G20" s="7">
        <v>0.57339944726467351</v>
      </c>
      <c r="H20" s="7">
        <v>0</v>
      </c>
      <c r="I20" s="7">
        <v>0</v>
      </c>
      <c r="J20" s="7">
        <v>0</v>
      </c>
      <c r="K20" s="7">
        <f t="shared" si="2"/>
        <v>1</v>
      </c>
      <c r="L20" s="7">
        <f>B20+C20+G20</f>
        <v>0.96438445856474786</v>
      </c>
      <c r="M20" s="7">
        <f t="shared" si="3"/>
        <v>4107.7540895792808</v>
      </c>
      <c r="N20" s="7">
        <v>3.3454393975726165E-2</v>
      </c>
      <c r="O20" s="7">
        <v>12091.016373773056</v>
      </c>
    </row>
    <row r="21" spans="1:15" ht="17" x14ac:dyDescent="0.2">
      <c r="A21" s="7" t="s">
        <v>97</v>
      </c>
      <c r="B21" s="7">
        <v>0.44438743010832665</v>
      </c>
      <c r="C21" s="7">
        <v>0.21136269655969669</v>
      </c>
      <c r="D21" s="7">
        <v>0.34424987333197665</v>
      </c>
      <c r="E21" s="7">
        <v>0</v>
      </c>
      <c r="F21" s="7">
        <v>0</v>
      </c>
      <c r="G21" s="7">
        <v>0</v>
      </c>
      <c r="H21" s="7">
        <v>0</v>
      </c>
      <c r="I21" s="7">
        <v>0</v>
      </c>
      <c r="J21" s="7">
        <v>0</v>
      </c>
      <c r="K21" s="7">
        <f t="shared" si="2"/>
        <v>1</v>
      </c>
      <c r="L21" s="7">
        <f t="shared" ref="L21:L28" si="4">B21+C21+D21</f>
        <v>1</v>
      </c>
      <c r="M21" s="7">
        <f t="shared" si="3"/>
        <v>3606.6235282435132</v>
      </c>
      <c r="N21" s="7">
        <v>3.6684349672869328E-2</v>
      </c>
      <c r="O21" s="7">
        <v>11026.435767357063</v>
      </c>
    </row>
    <row r="22" spans="1:15" ht="17" x14ac:dyDescent="0.2">
      <c r="A22" s="7" t="s">
        <v>98</v>
      </c>
      <c r="B22" s="7">
        <v>0.30797308180804278</v>
      </c>
      <c r="C22" s="7">
        <v>0.19498907143714331</v>
      </c>
      <c r="D22" s="7">
        <v>0.3968915174359845</v>
      </c>
      <c r="E22" s="7">
        <v>8.499380065988163E-2</v>
      </c>
      <c r="F22" s="7">
        <v>1.5726486547350282E-3</v>
      </c>
      <c r="G22" s="7">
        <v>0</v>
      </c>
      <c r="H22" s="7">
        <v>1.2922539333481631E-2</v>
      </c>
      <c r="I22" s="7">
        <v>6.5734067073104771E-4</v>
      </c>
      <c r="J22" s="7">
        <v>0</v>
      </c>
      <c r="K22" s="7">
        <f t="shared" si="2"/>
        <v>1</v>
      </c>
      <c r="L22" s="7">
        <f t="shared" si="4"/>
        <v>0.89985367068117061</v>
      </c>
      <c r="M22" s="7">
        <f t="shared" si="3"/>
        <v>2977.8487720488683</v>
      </c>
      <c r="N22" s="7">
        <v>0.39147478139404479</v>
      </c>
      <c r="O22" s="7">
        <v>1033.2661120461976</v>
      </c>
    </row>
    <row r="23" spans="1:15" ht="17" x14ac:dyDescent="0.2">
      <c r="A23" s="7" t="s">
        <v>99</v>
      </c>
      <c r="B23" s="7">
        <v>0.33197859553635745</v>
      </c>
      <c r="C23" s="7">
        <v>0.26584802596722085</v>
      </c>
      <c r="D23" s="7">
        <v>0.22902980288010436</v>
      </c>
      <c r="E23" s="7">
        <v>0</v>
      </c>
      <c r="F23" s="7">
        <v>0.17314357561631746</v>
      </c>
      <c r="G23" s="7">
        <v>0</v>
      </c>
      <c r="H23" s="7">
        <v>0</v>
      </c>
      <c r="I23" s="7">
        <v>0</v>
      </c>
      <c r="J23" s="7">
        <v>0</v>
      </c>
      <c r="K23" s="7">
        <f t="shared" si="2"/>
        <v>1.0000000000000002</v>
      </c>
      <c r="L23" s="7">
        <f t="shared" si="4"/>
        <v>0.82685642438368268</v>
      </c>
      <c r="M23" s="7">
        <f t="shared" si="3"/>
        <v>2633.1830918946343</v>
      </c>
      <c r="N23" s="7">
        <v>0.22620202588373592</v>
      </c>
      <c r="O23" s="7">
        <v>1788.2139815275784</v>
      </c>
    </row>
    <row r="24" spans="1:15" ht="17" x14ac:dyDescent="0.2">
      <c r="A24" s="7" t="s">
        <v>100</v>
      </c>
      <c r="B24" s="7">
        <v>0.46668415055709261</v>
      </c>
      <c r="C24" s="7">
        <v>0.26862476358451165</v>
      </c>
      <c r="D24" s="7">
        <v>0.15103484824695662</v>
      </c>
      <c r="E24" s="7">
        <v>0</v>
      </c>
      <c r="F24" s="7">
        <v>0</v>
      </c>
      <c r="G24" s="7">
        <v>0</v>
      </c>
      <c r="H24" s="7">
        <v>0</v>
      </c>
      <c r="I24" s="7">
        <v>0.11365623761143924</v>
      </c>
      <c r="J24" s="7">
        <v>0</v>
      </c>
      <c r="K24" s="7">
        <f t="shared" si="2"/>
        <v>1</v>
      </c>
      <c r="L24" s="7">
        <f t="shared" si="4"/>
        <v>0.88634376238856083</v>
      </c>
      <c r="M24" s="7">
        <f t="shared" si="3"/>
        <v>3256.8262572499902</v>
      </c>
      <c r="N24" s="7">
        <v>1.990527269580852E-2</v>
      </c>
      <c r="O24" s="7">
        <v>20321.129557814867</v>
      </c>
    </row>
    <row r="25" spans="1:15" ht="17" x14ac:dyDescent="0.2">
      <c r="A25" s="7" t="s">
        <v>101</v>
      </c>
      <c r="B25" s="7">
        <v>0.48134747443920606</v>
      </c>
      <c r="C25" s="7">
        <v>0.30234210273842405</v>
      </c>
      <c r="D25" s="7">
        <v>0.10294696469416302</v>
      </c>
      <c r="E25" s="7">
        <v>0</v>
      </c>
      <c r="F25" s="7">
        <v>0</v>
      </c>
      <c r="G25" s="7">
        <v>0</v>
      </c>
      <c r="H25" s="7">
        <v>0</v>
      </c>
      <c r="I25" s="7">
        <v>0.11336345812820699</v>
      </c>
      <c r="J25" s="7">
        <v>0</v>
      </c>
      <c r="K25" s="7">
        <f t="shared" si="2"/>
        <v>1</v>
      </c>
      <c r="L25" s="7">
        <f t="shared" si="4"/>
        <v>0.88663654187179308</v>
      </c>
      <c r="M25" s="7">
        <f t="shared" si="3"/>
        <v>3465.5548941582088</v>
      </c>
      <c r="N25" s="7">
        <v>2.3974240152663653E-2</v>
      </c>
      <c r="O25" s="7">
        <v>16872.177085045929</v>
      </c>
    </row>
    <row r="26" spans="1:15" ht="17" x14ac:dyDescent="0.2">
      <c r="A26" s="7" t="s">
        <v>102</v>
      </c>
      <c r="B26" s="7">
        <v>0.45009551899430372</v>
      </c>
      <c r="C26" s="7">
        <v>0.34000516947193232</v>
      </c>
      <c r="D26" s="7">
        <v>9.6401217697462516E-2</v>
      </c>
      <c r="E26" s="7">
        <v>0</v>
      </c>
      <c r="F26" s="7">
        <v>0</v>
      </c>
      <c r="G26" s="7">
        <v>0</v>
      </c>
      <c r="H26" s="7">
        <v>0</v>
      </c>
      <c r="I26" s="7">
        <v>0.11349809383630129</v>
      </c>
      <c r="J26" s="7">
        <v>0</v>
      </c>
      <c r="K26" s="7">
        <f t="shared" si="2"/>
        <v>0.99999999999999978</v>
      </c>
      <c r="L26" s="7">
        <f t="shared" si="4"/>
        <v>0.88650190616369851</v>
      </c>
      <c r="M26" s="7">
        <f t="shared" si="3"/>
        <v>3403.6450356441646</v>
      </c>
      <c r="N26" s="7">
        <v>1.1081821008115602E-2</v>
      </c>
      <c r="O26" s="7">
        <v>36501.006922863315</v>
      </c>
    </row>
    <row r="27" spans="1:15" ht="17" x14ac:dyDescent="0.2">
      <c r="A27" s="7" t="s">
        <v>103</v>
      </c>
      <c r="B27" s="7">
        <v>0.56646040370960693</v>
      </c>
      <c r="C27" s="7">
        <v>0.30328859578341444</v>
      </c>
      <c r="D27" s="7">
        <v>1.7797700202818335E-2</v>
      </c>
      <c r="E27" s="7">
        <v>0</v>
      </c>
      <c r="F27" s="7">
        <v>0</v>
      </c>
      <c r="G27" s="7">
        <v>0</v>
      </c>
      <c r="H27" s="7">
        <v>0</v>
      </c>
      <c r="I27" s="7">
        <v>0.11245330030416037</v>
      </c>
      <c r="J27" s="7">
        <v>0</v>
      </c>
      <c r="K27" s="7">
        <f t="shared" si="2"/>
        <v>1.0000000000000002</v>
      </c>
      <c r="L27" s="7">
        <f t="shared" si="4"/>
        <v>0.88754669969583977</v>
      </c>
      <c r="M27" s="7">
        <f t="shared" si="3"/>
        <v>4258.2386418493334</v>
      </c>
      <c r="N27" s="7">
        <v>4.4848630952391911E-3</v>
      </c>
      <c r="O27" s="7">
        <v>90191.744261836095</v>
      </c>
    </row>
    <row r="28" spans="1:15" ht="17" x14ac:dyDescent="0.2">
      <c r="A28" s="7" t="s">
        <v>104</v>
      </c>
      <c r="B28" s="7">
        <v>0.7480198978572502</v>
      </c>
      <c r="C28" s="7">
        <v>0.17363841657752233</v>
      </c>
      <c r="D28" s="7">
        <v>0</v>
      </c>
      <c r="E28" s="7">
        <v>0</v>
      </c>
      <c r="F28" s="7">
        <v>0</v>
      </c>
      <c r="G28" s="7">
        <v>0</v>
      </c>
      <c r="H28" s="7">
        <v>0</v>
      </c>
      <c r="I28" s="7">
        <v>0</v>
      </c>
      <c r="J28" s="7">
        <v>7.8341685565227318E-2</v>
      </c>
      <c r="K28" s="7">
        <f t="shared" si="2"/>
        <v>0.99999999999999989</v>
      </c>
      <c r="L28" s="7">
        <f t="shared" si="4"/>
        <v>0.92165831443477253</v>
      </c>
      <c r="M28" s="7">
        <f t="shared" si="3"/>
        <v>5896.8406730192009</v>
      </c>
      <c r="N28" s="7">
        <v>3.1695294163681807E-3</v>
      </c>
      <c r="O28" s="7">
        <v>127620.71973405287</v>
      </c>
    </row>
    <row r="29" spans="1:15" ht="17" x14ac:dyDescent="0.2">
      <c r="A29" s="7" t="s">
        <v>573</v>
      </c>
      <c r="M29" s="7">
        <v>3034.4638272766774</v>
      </c>
    </row>
    <row r="31" spans="1:15" ht="192" customHeight="1" x14ac:dyDescent="0.2">
      <c r="A31" s="33" t="s">
        <v>574</v>
      </c>
      <c r="B31" s="33"/>
      <c r="C31" s="33"/>
      <c r="D31" s="33"/>
      <c r="E31" s="33"/>
      <c r="F31" s="33"/>
      <c r="G31" s="33"/>
      <c r="H31" s="33"/>
      <c r="I31" s="33"/>
      <c r="J31" s="33"/>
      <c r="K31" s="33"/>
    </row>
    <row r="33" spans="1:9" ht="16.25" customHeight="1" x14ac:dyDescent="0.2">
      <c r="A33" s="33"/>
      <c r="B33" s="33"/>
      <c r="C33" s="33"/>
      <c r="D33" s="33"/>
      <c r="E33" s="33"/>
    </row>
    <row r="34" spans="1:9" x14ac:dyDescent="0.2">
      <c r="A34" s="33"/>
      <c r="B34" s="33"/>
      <c r="C34" s="33"/>
      <c r="D34" s="33"/>
    </row>
    <row r="35" spans="1:9" x14ac:dyDescent="0.2">
      <c r="A35" s="33"/>
      <c r="B35" s="33"/>
      <c r="C35" s="33"/>
      <c r="D35" s="33"/>
      <c r="E35" s="33"/>
      <c r="F35" s="33"/>
      <c r="G35" s="33"/>
      <c r="H35" s="33"/>
      <c r="I35" s="33"/>
    </row>
    <row r="36" spans="1:9" x14ac:dyDescent="0.2">
      <c r="A36" s="33"/>
      <c r="B36" s="33"/>
      <c r="C36" s="33"/>
      <c r="D36" s="33"/>
      <c r="E36" s="33"/>
      <c r="F36" s="33"/>
      <c r="G36" s="33"/>
      <c r="H36" s="33"/>
    </row>
    <row r="37" spans="1:9" x14ac:dyDescent="0.2">
      <c r="A37" s="33"/>
      <c r="B37" s="33"/>
      <c r="C37" s="33"/>
      <c r="D37" s="33"/>
      <c r="E37" s="33"/>
      <c r="F37" s="33"/>
      <c r="G37" s="33"/>
    </row>
    <row r="38" spans="1:9" x14ac:dyDescent="0.2">
      <c r="A38" s="33"/>
      <c r="B38" s="33"/>
      <c r="C38" s="33"/>
      <c r="D38" s="33"/>
      <c r="E38" s="33"/>
      <c r="F38" s="33"/>
      <c r="G38" s="33"/>
      <c r="H38" s="33"/>
      <c r="I38" s="33"/>
    </row>
  </sheetData>
  <mergeCells count="11">
    <mergeCell ref="Q16:AB16"/>
    <mergeCell ref="Q1:AB1"/>
    <mergeCell ref="A37:G37"/>
    <mergeCell ref="A38:I38"/>
    <mergeCell ref="A1:L1"/>
    <mergeCell ref="A33:E33"/>
    <mergeCell ref="A34:D34"/>
    <mergeCell ref="A35:I35"/>
    <mergeCell ref="A36:H36"/>
    <mergeCell ref="A31:K31"/>
    <mergeCell ref="A16:L16"/>
  </mergeCells>
  <pageMargins left="0.7" right="0.7" top="0.75" bottom="0.75" header="0.3" footer="0.3"/>
  <ignoredErrors>
    <ignoredError sqref="L5 L8 L20" formula="1"/>
    <ignoredError sqref="M3:M13 M18:M2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E425-1149-884B-8B97-4AABF6DECE38}">
  <dimension ref="A1:E30"/>
  <sheetViews>
    <sheetView workbookViewId="0">
      <selection activeCell="F7" sqref="F7"/>
    </sheetView>
  </sheetViews>
  <sheetFormatPr baseColWidth="10" defaultRowHeight="16" x14ac:dyDescent="0.2"/>
  <cols>
    <col min="1" max="1" width="24.83203125" style="7" customWidth="1"/>
    <col min="2" max="2" width="14" style="7" customWidth="1"/>
    <col min="3" max="3" width="16.6640625" style="7" customWidth="1"/>
    <col min="4" max="16384" width="10.83203125" style="7"/>
  </cols>
  <sheetData>
    <row r="1" spans="1:5" ht="39" customHeight="1" x14ac:dyDescent="0.2">
      <c r="A1" s="30" t="s">
        <v>607</v>
      </c>
      <c r="B1" s="30"/>
      <c r="C1" s="30"/>
      <c r="D1" s="30"/>
      <c r="E1" s="30"/>
    </row>
    <row r="2" spans="1:5" ht="17" x14ac:dyDescent="0.2">
      <c r="B2" s="7" t="s">
        <v>605</v>
      </c>
      <c r="C2" s="7" t="s">
        <v>606</v>
      </c>
    </row>
    <row r="3" spans="1:5" ht="17" x14ac:dyDescent="0.2">
      <c r="A3" s="7" t="s">
        <v>18</v>
      </c>
      <c r="B3" s="7">
        <v>0.28103609557377468</v>
      </c>
      <c r="C3" s="7">
        <v>0.28103609557377468</v>
      </c>
    </row>
    <row r="4" spans="1:5" ht="17" x14ac:dyDescent="0.2">
      <c r="A4" s="7" t="s">
        <v>26</v>
      </c>
      <c r="B4" s="7">
        <v>0.1503788023906214</v>
      </c>
      <c r="C4" s="7">
        <v>0.1503788023906214</v>
      </c>
    </row>
    <row r="5" spans="1:5" ht="17" x14ac:dyDescent="0.2">
      <c r="A5" s="7" t="s">
        <v>22</v>
      </c>
      <c r="B5" s="7">
        <v>0.12633371006053173</v>
      </c>
    </row>
    <row r="6" spans="1:5" ht="17" x14ac:dyDescent="0.2">
      <c r="A6" s="7" t="s">
        <v>76</v>
      </c>
      <c r="B6" s="7">
        <v>0.16211082164840496</v>
      </c>
      <c r="C6" s="7">
        <v>0.28799999999999998</v>
      </c>
    </row>
    <row r="7" spans="1:5" ht="17" x14ac:dyDescent="0.2">
      <c r="A7" s="7" t="s">
        <v>78</v>
      </c>
      <c r="B7" s="7">
        <v>9.8970704671417248E-2</v>
      </c>
      <c r="C7" s="7">
        <v>9.8970704671417248E-2</v>
      </c>
    </row>
    <row r="8" spans="1:5" ht="17" x14ac:dyDescent="0.2">
      <c r="A8" s="7" t="s">
        <v>32</v>
      </c>
      <c r="B8" s="7">
        <v>5.0936390570326659E-2</v>
      </c>
      <c r="C8" s="7">
        <v>5.0936390570326659E-2</v>
      </c>
    </row>
    <row r="9" spans="1:5" ht="17" x14ac:dyDescent="0.2">
      <c r="A9" s="7" t="s">
        <v>79</v>
      </c>
      <c r="B9" s="7">
        <v>3.8462889178351591E-2</v>
      </c>
      <c r="C9" s="7">
        <v>3.8462889178351591E-2</v>
      </c>
    </row>
    <row r="10" spans="1:5" ht="17" x14ac:dyDescent="0.2">
      <c r="A10" s="7" t="s">
        <v>35</v>
      </c>
      <c r="B10" s="7">
        <v>2.2667483973131047E-2</v>
      </c>
      <c r="C10" s="7">
        <v>2.2667483973131047E-2</v>
      </c>
    </row>
    <row r="11" spans="1:5" ht="17" x14ac:dyDescent="0.2">
      <c r="A11" s="7" t="s">
        <v>595</v>
      </c>
      <c r="B11" s="7">
        <v>3.7034199167369039E-2</v>
      </c>
      <c r="C11" s="7">
        <v>3.7034199167369039E-2</v>
      </c>
    </row>
    <row r="12" spans="1:5" ht="17" x14ac:dyDescent="0.2">
      <c r="A12" s="7" t="s">
        <v>321</v>
      </c>
      <c r="B12" s="7">
        <v>1.8102061144739865E-2</v>
      </c>
      <c r="C12" s="7">
        <v>1.8102061144739865E-2</v>
      </c>
    </row>
    <row r="13" spans="1:5" ht="17" x14ac:dyDescent="0.2">
      <c r="A13" s="7" t="s">
        <v>359</v>
      </c>
      <c r="B13" s="7">
        <v>3.2724184609097639E-3</v>
      </c>
      <c r="C13" s="7">
        <v>3.2724184609097639E-3</v>
      </c>
    </row>
    <row r="14" spans="1:5" ht="17" x14ac:dyDescent="0.2">
      <c r="A14" s="7" t="s">
        <v>380</v>
      </c>
      <c r="B14" s="7">
        <v>2.1047237759558653E-3</v>
      </c>
      <c r="C14" s="7">
        <v>2.1047237759558653E-3</v>
      </c>
    </row>
    <row r="15" spans="1:5" ht="15" customHeight="1" x14ac:dyDescent="0.2">
      <c r="A15" s="7" t="s">
        <v>609</v>
      </c>
      <c r="B15" s="7">
        <v>2.9316080504686736E-3</v>
      </c>
      <c r="C15" s="7">
        <v>2.9316080504686736E-3</v>
      </c>
    </row>
    <row r="16" spans="1:5" ht="17" x14ac:dyDescent="0.2">
      <c r="A16" s="7" t="s">
        <v>404</v>
      </c>
      <c r="B16" s="7">
        <v>1.6976668454524557E-3</v>
      </c>
      <c r="C16" s="7">
        <v>1.6976668454524557E-3</v>
      </c>
    </row>
    <row r="17" spans="1:3" ht="17" x14ac:dyDescent="0.2">
      <c r="A17" s="7" t="s">
        <v>596</v>
      </c>
      <c r="B17" s="7">
        <v>3.9604244885449386E-3</v>
      </c>
      <c r="C17" s="7">
        <v>3.9604244885449386E-3</v>
      </c>
    </row>
    <row r="19" spans="1:3" ht="17" x14ac:dyDescent="0.2">
      <c r="A19" s="7" t="s">
        <v>599</v>
      </c>
      <c r="B19" s="7">
        <f>B6</f>
        <v>0.16211082164840496</v>
      </c>
    </row>
    <row r="20" spans="1:3" ht="17" x14ac:dyDescent="0.2">
      <c r="A20" s="7" t="s">
        <v>600</v>
      </c>
      <c r="B20" s="7">
        <f>B19+B5</f>
        <v>0.28844453170893669</v>
      </c>
    </row>
    <row r="22" spans="1:3" ht="17" x14ac:dyDescent="0.2">
      <c r="A22" s="7" t="s">
        <v>601</v>
      </c>
      <c r="B22" s="7">
        <f>B3+B4+B5+B6</f>
        <v>0.71985942967333283</v>
      </c>
    </row>
    <row r="23" spans="1:3" ht="17" x14ac:dyDescent="0.2">
      <c r="A23" s="7" t="s">
        <v>602</v>
      </c>
      <c r="B23" s="7">
        <f>B22+B7</f>
        <v>0.81883013434475005</v>
      </c>
    </row>
    <row r="25" spans="1:3" ht="17" x14ac:dyDescent="0.2">
      <c r="A25" s="7" t="s">
        <v>603</v>
      </c>
      <c r="B25" s="7">
        <v>1599.5963742909878</v>
      </c>
    </row>
    <row r="26" spans="1:3" ht="17" x14ac:dyDescent="0.2">
      <c r="A26" s="7" t="s">
        <v>604</v>
      </c>
      <c r="B26" s="7">
        <v>2006.6351263591928</v>
      </c>
    </row>
    <row r="28" spans="1:3" x14ac:dyDescent="0.2">
      <c r="A28" s="33"/>
      <c r="B28" s="33"/>
      <c r="C28" s="33"/>
    </row>
    <row r="30" spans="1:3" ht="17" x14ac:dyDescent="0.2">
      <c r="A30" s="7" t="s">
        <v>598</v>
      </c>
      <c r="B30" s="7">
        <v>12528.96</v>
      </c>
    </row>
  </sheetData>
  <mergeCells count="2">
    <mergeCell ref="A28:C28"/>
    <mergeCell ref="A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12"/>
  <sheetViews>
    <sheetView zoomScale="94" zoomScaleNormal="130" workbookViewId="0">
      <selection activeCell="A26" sqref="A26:L26"/>
    </sheetView>
  </sheetViews>
  <sheetFormatPr baseColWidth="10" defaultColWidth="11" defaultRowHeight="16" x14ac:dyDescent="0.2"/>
  <cols>
    <col min="1" max="1" width="30.83203125" style="8" customWidth="1"/>
    <col min="2" max="12" width="15.6640625" style="8" bestFit="1" customWidth="1"/>
    <col min="13" max="15" width="11.33203125" style="8" customWidth="1"/>
    <col min="16" max="16" width="14.6640625" style="8" customWidth="1"/>
    <col min="17" max="17" width="11" style="8"/>
    <col min="18" max="18" width="14.5" style="8" bestFit="1" customWidth="1"/>
    <col min="19" max="16384" width="11" style="8"/>
  </cols>
  <sheetData>
    <row r="1" spans="1:24" ht="34.25" customHeight="1" x14ac:dyDescent="0.2">
      <c r="A1" s="32" t="s">
        <v>608</v>
      </c>
      <c r="B1" s="32"/>
      <c r="C1" s="32"/>
      <c r="D1" s="32"/>
      <c r="E1" s="32"/>
      <c r="F1" s="32"/>
      <c r="G1" s="32"/>
      <c r="H1" s="32"/>
      <c r="I1" s="32"/>
    </row>
    <row r="2" spans="1:24" x14ac:dyDescent="0.2">
      <c r="B2" s="8">
        <v>2000</v>
      </c>
      <c r="C2" s="8">
        <v>2004</v>
      </c>
      <c r="D2" s="8">
        <v>2008</v>
      </c>
      <c r="E2" s="8">
        <v>2010</v>
      </c>
      <c r="F2" s="8">
        <v>2011</v>
      </c>
      <c r="G2" s="8">
        <v>2012</v>
      </c>
      <c r="H2" s="8">
        <v>2013</v>
      </c>
      <c r="I2" s="8">
        <v>2014</v>
      </c>
      <c r="J2" s="8">
        <v>2015</v>
      </c>
      <c r="K2" s="8">
        <v>2016</v>
      </c>
      <c r="L2" s="8">
        <v>2017</v>
      </c>
      <c r="M2" s="8">
        <v>2018</v>
      </c>
      <c r="N2" s="8">
        <v>2019</v>
      </c>
      <c r="O2" s="8">
        <v>2020</v>
      </c>
      <c r="P2" s="8">
        <v>2021</v>
      </c>
      <c r="Q2" s="8">
        <v>2022</v>
      </c>
    </row>
    <row r="3" spans="1:24" x14ac:dyDescent="0.2">
      <c r="A3" s="8" t="s">
        <v>105</v>
      </c>
      <c r="B3" s="8">
        <v>35.1</v>
      </c>
      <c r="C3" s="8">
        <v>41.3</v>
      </c>
      <c r="D3" s="8">
        <v>39</v>
      </c>
      <c r="E3" s="8">
        <v>36.4</v>
      </c>
      <c r="F3" s="8">
        <v>36.1</v>
      </c>
      <c r="G3" s="8">
        <v>35.200000000000003</v>
      </c>
      <c r="H3" s="8">
        <v>36.299999999999997</v>
      </c>
      <c r="I3" s="8">
        <v>37.299999999999997</v>
      </c>
      <c r="J3" s="8">
        <v>38.5</v>
      </c>
      <c r="K3" s="8">
        <v>39.299999999999997</v>
      </c>
      <c r="L3" s="8">
        <v>39.1</v>
      </c>
      <c r="M3" s="8">
        <v>38</v>
      </c>
      <c r="N3" s="8">
        <v>38.4</v>
      </c>
      <c r="O3" s="8">
        <v>39.799999999999997</v>
      </c>
      <c r="P3" s="8">
        <v>41.1</v>
      </c>
      <c r="Q3" s="8">
        <v>42.699999999999996</v>
      </c>
    </row>
    <row r="4" spans="1:24" x14ac:dyDescent="0.2">
      <c r="A4" s="8" t="s">
        <v>106</v>
      </c>
      <c r="B4" s="8">
        <v>33.5</v>
      </c>
      <c r="C4" s="8">
        <v>48.3</v>
      </c>
      <c r="D4" s="8">
        <v>54.7</v>
      </c>
      <c r="E4" s="8">
        <v>56.7</v>
      </c>
      <c r="F4" s="8">
        <v>57.1</v>
      </c>
      <c r="G4" s="8">
        <v>57.1</v>
      </c>
      <c r="H4" s="8">
        <v>55.5</v>
      </c>
      <c r="I4" s="8">
        <v>53</v>
      </c>
      <c r="J4" s="8">
        <v>50.2</v>
      </c>
      <c r="K4" s="8">
        <v>48.9</v>
      </c>
      <c r="L4" s="8">
        <v>48.5</v>
      </c>
      <c r="M4" s="8">
        <v>48.2</v>
      </c>
      <c r="N4" s="8">
        <v>47.6</v>
      </c>
      <c r="O4" s="8">
        <v>46.1</v>
      </c>
      <c r="P4" s="8">
        <v>44.7</v>
      </c>
      <c r="Q4" s="8">
        <v>44.800000000000004</v>
      </c>
    </row>
    <row r="5" spans="1:24" x14ac:dyDescent="0.2">
      <c r="A5" s="8" t="s">
        <v>107</v>
      </c>
      <c r="B5" s="8">
        <v>68.599999999999994</v>
      </c>
      <c r="C5" s="8">
        <v>89.6</v>
      </c>
      <c r="D5" s="8">
        <v>93.7</v>
      </c>
      <c r="E5" s="8">
        <v>93.1</v>
      </c>
      <c r="F5" s="8">
        <v>93.2</v>
      </c>
      <c r="G5" s="8">
        <v>92.3</v>
      </c>
      <c r="H5" s="8">
        <v>91.8</v>
      </c>
      <c r="I5" s="8">
        <v>90.3</v>
      </c>
      <c r="J5" s="8">
        <v>88.7</v>
      </c>
      <c r="K5" s="8">
        <v>88.1</v>
      </c>
      <c r="L5" s="8">
        <f t="shared" ref="L5:Q5" si="0">SUM(L3:L4)</f>
        <v>87.6</v>
      </c>
      <c r="M5" s="8">
        <f t="shared" si="0"/>
        <v>86.2</v>
      </c>
      <c r="N5" s="8">
        <f t="shared" si="0"/>
        <v>86</v>
      </c>
      <c r="O5" s="8">
        <f t="shared" si="0"/>
        <v>85.9</v>
      </c>
      <c r="P5" s="8">
        <f t="shared" si="0"/>
        <v>85.800000000000011</v>
      </c>
      <c r="Q5" s="8">
        <f t="shared" si="0"/>
        <v>87.5</v>
      </c>
    </row>
    <row r="6" spans="1:24" x14ac:dyDescent="0.2">
      <c r="A6" s="8" t="s">
        <v>108</v>
      </c>
      <c r="B6" s="8">
        <f>B7-B5</f>
        <v>31.400000000000006</v>
      </c>
      <c r="C6" s="8">
        <v>10.1</v>
      </c>
      <c r="D6" s="8">
        <v>6.3</v>
      </c>
      <c r="E6" s="8">
        <v>6.9</v>
      </c>
      <c r="F6" s="8">
        <v>6.7</v>
      </c>
      <c r="G6" s="8">
        <v>7.7</v>
      </c>
      <c r="H6" s="8">
        <v>8.1999999999999993</v>
      </c>
      <c r="I6" s="8">
        <v>9.6999999999999993</v>
      </c>
      <c r="J6" s="8">
        <v>11.2</v>
      </c>
      <c r="K6" s="8">
        <v>11.8</v>
      </c>
      <c r="L6" s="8">
        <v>12.4</v>
      </c>
      <c r="M6" s="8">
        <v>13.8</v>
      </c>
      <c r="N6" s="8">
        <v>14</v>
      </c>
      <c r="O6" s="8">
        <v>14.100000000000001</v>
      </c>
      <c r="P6" s="8">
        <v>14.2</v>
      </c>
      <c r="Q6" s="8">
        <v>12.5</v>
      </c>
    </row>
    <row r="7" spans="1:24" x14ac:dyDescent="0.2">
      <c r="A7" s="8" t="s">
        <v>93</v>
      </c>
      <c r="B7" s="8">
        <v>100</v>
      </c>
      <c r="C7" s="8">
        <v>100</v>
      </c>
      <c r="D7" s="8">
        <v>100</v>
      </c>
      <c r="E7" s="8">
        <v>100</v>
      </c>
      <c r="F7" s="8">
        <v>100</v>
      </c>
      <c r="G7" s="8">
        <v>100</v>
      </c>
      <c r="H7" s="8">
        <v>100</v>
      </c>
      <c r="I7" s="8">
        <v>100</v>
      </c>
      <c r="J7" s="8">
        <v>100</v>
      </c>
      <c r="K7" s="8">
        <v>100</v>
      </c>
      <c r="L7" s="8">
        <v>100</v>
      </c>
      <c r="M7" s="8">
        <v>100</v>
      </c>
      <c r="N7" s="8">
        <v>100</v>
      </c>
      <c r="O7" s="8">
        <v>100</v>
      </c>
      <c r="P7" s="8">
        <v>100</v>
      </c>
      <c r="Q7" s="8">
        <f>SUM(Q5:Q6)</f>
        <v>100</v>
      </c>
    </row>
    <row r="8" spans="1:24" x14ac:dyDescent="0.2">
      <c r="A8" s="8" t="s">
        <v>63</v>
      </c>
      <c r="B8" s="8">
        <f>SUMSQ(B3:B4, B6)</f>
        <v>3340.2200000000007</v>
      </c>
      <c r="C8" s="8">
        <f t="shared" ref="C8:Q8" si="1">SUMSQ(C3:C4, C6)</f>
        <v>4140.59</v>
      </c>
      <c r="D8" s="8">
        <f t="shared" si="1"/>
        <v>4552.78</v>
      </c>
      <c r="E8" s="8">
        <f t="shared" si="1"/>
        <v>4587.46</v>
      </c>
      <c r="F8" s="8">
        <f t="shared" si="1"/>
        <v>4608.5100000000011</v>
      </c>
      <c r="G8" s="8">
        <f t="shared" si="1"/>
        <v>4558.7400000000007</v>
      </c>
      <c r="H8" s="8">
        <f t="shared" si="1"/>
        <v>4465.1799999999994</v>
      </c>
      <c r="I8" s="8">
        <f t="shared" si="1"/>
        <v>4294.38</v>
      </c>
      <c r="J8" s="8">
        <f t="shared" si="1"/>
        <v>4127.7300000000005</v>
      </c>
      <c r="K8" s="8">
        <f t="shared" si="1"/>
        <v>4074.9399999999996</v>
      </c>
      <c r="L8" s="8">
        <f t="shared" si="1"/>
        <v>4034.8200000000006</v>
      </c>
      <c r="M8" s="8">
        <f t="shared" si="1"/>
        <v>3957.6800000000003</v>
      </c>
      <c r="N8" s="8">
        <f t="shared" si="1"/>
        <v>3936.32</v>
      </c>
      <c r="O8" s="8">
        <f t="shared" si="1"/>
        <v>3908.06</v>
      </c>
      <c r="P8" s="8">
        <f t="shared" si="1"/>
        <v>3888.94</v>
      </c>
      <c r="Q8" s="8">
        <f t="shared" si="1"/>
        <v>3986.58</v>
      </c>
    </row>
    <row r="9" spans="1:24" ht="38" customHeight="1" x14ac:dyDescent="0.2">
      <c r="A9" s="31" t="s">
        <v>659</v>
      </c>
      <c r="B9" s="31"/>
      <c r="C9" s="31"/>
      <c r="D9" s="31"/>
      <c r="E9" s="31"/>
      <c r="F9" s="31"/>
      <c r="G9" s="31"/>
      <c r="H9" s="31"/>
      <c r="I9" s="31"/>
      <c r="J9" s="31"/>
      <c r="K9" s="31"/>
      <c r="L9" s="31"/>
      <c r="Q9" s="31"/>
      <c r="R9" s="31"/>
      <c r="S9" s="31"/>
      <c r="T9" s="31"/>
      <c r="U9" s="31"/>
      <c r="V9" s="31"/>
      <c r="W9" s="31"/>
      <c r="X9" s="31"/>
    </row>
    <row r="12" spans="1:24" x14ac:dyDescent="0.2">
      <c r="A12" s="32" t="s">
        <v>593</v>
      </c>
      <c r="B12" s="32"/>
      <c r="C12" s="32"/>
      <c r="D12" s="32"/>
      <c r="E12" s="32"/>
      <c r="F12" s="32"/>
      <c r="G12" s="32"/>
      <c r="H12" s="32"/>
      <c r="I12" s="32"/>
    </row>
    <row r="13" spans="1:24" x14ac:dyDescent="0.2">
      <c r="B13" s="8">
        <v>2000</v>
      </c>
      <c r="C13" s="8">
        <v>2004</v>
      </c>
      <c r="D13" s="8">
        <v>2008</v>
      </c>
      <c r="E13" s="8">
        <v>2010</v>
      </c>
      <c r="F13" s="8">
        <v>2011</v>
      </c>
      <c r="G13" s="8">
        <v>2012</v>
      </c>
      <c r="H13" s="8">
        <v>2013</v>
      </c>
      <c r="I13" s="8">
        <v>2014</v>
      </c>
      <c r="J13" s="8">
        <v>2015</v>
      </c>
      <c r="K13" s="8">
        <v>2016</v>
      </c>
      <c r="L13" s="8">
        <v>2017</v>
      </c>
      <c r="M13" s="8">
        <v>2018</v>
      </c>
      <c r="N13" s="8">
        <v>2019</v>
      </c>
      <c r="O13" s="8">
        <v>2020</v>
      </c>
      <c r="P13" s="8">
        <v>2021</v>
      </c>
      <c r="Q13" s="8">
        <v>2022</v>
      </c>
    </row>
    <row r="14" spans="1:24" x14ac:dyDescent="0.2">
      <c r="A14" s="8" t="s">
        <v>63</v>
      </c>
      <c r="B14" s="8">
        <f t="shared" ref="B14:Q14" si="2">B8</f>
        <v>3340.2200000000007</v>
      </c>
      <c r="C14" s="8">
        <f t="shared" si="2"/>
        <v>4140.59</v>
      </c>
      <c r="D14" s="8">
        <f t="shared" si="2"/>
        <v>4552.78</v>
      </c>
      <c r="E14" s="8">
        <f t="shared" si="2"/>
        <v>4587.46</v>
      </c>
      <c r="F14" s="8">
        <f t="shared" si="2"/>
        <v>4608.5100000000011</v>
      </c>
      <c r="G14" s="8">
        <f t="shared" si="2"/>
        <v>4558.7400000000007</v>
      </c>
      <c r="H14" s="8">
        <f t="shared" si="2"/>
        <v>4465.1799999999994</v>
      </c>
      <c r="I14" s="8">
        <f t="shared" si="2"/>
        <v>4294.38</v>
      </c>
      <c r="J14" s="8">
        <f t="shared" si="2"/>
        <v>4127.7300000000005</v>
      </c>
      <c r="K14" s="8">
        <f t="shared" si="2"/>
        <v>4074.9399999999996</v>
      </c>
      <c r="L14" s="8">
        <f t="shared" si="2"/>
        <v>4034.8200000000006</v>
      </c>
      <c r="M14" s="8">
        <f t="shared" si="2"/>
        <v>3957.6800000000003</v>
      </c>
      <c r="N14" s="8">
        <f t="shared" si="2"/>
        <v>3936.32</v>
      </c>
      <c r="O14" s="8">
        <f t="shared" si="2"/>
        <v>3908.06</v>
      </c>
      <c r="P14" s="8">
        <f t="shared" si="2"/>
        <v>3888.94</v>
      </c>
      <c r="Q14" s="8">
        <f t="shared" si="2"/>
        <v>3986.58</v>
      </c>
    </row>
    <row r="15" spans="1:24" ht="38" customHeight="1" x14ac:dyDescent="0.2">
      <c r="A15" s="31" t="s">
        <v>659</v>
      </c>
      <c r="B15" s="31"/>
      <c r="C15" s="31"/>
      <c r="D15" s="31"/>
      <c r="E15" s="31"/>
      <c r="F15" s="31"/>
      <c r="G15" s="31"/>
      <c r="H15" s="31"/>
      <c r="I15" s="31"/>
      <c r="J15" s="31"/>
      <c r="K15" s="31"/>
      <c r="L15" s="31"/>
      <c r="Q15" s="31"/>
      <c r="R15" s="31"/>
      <c r="S15" s="31"/>
      <c r="T15" s="31"/>
      <c r="U15" s="31"/>
      <c r="V15" s="31"/>
      <c r="W15" s="31"/>
      <c r="X15" s="31"/>
    </row>
    <row r="18" spans="1:25" x14ac:dyDescent="0.2">
      <c r="A18" s="32" t="s">
        <v>610</v>
      </c>
      <c r="B18" s="32"/>
      <c r="C18" s="32"/>
      <c r="D18" s="32"/>
      <c r="E18" s="32"/>
      <c r="F18" s="32"/>
      <c r="G18" s="32"/>
      <c r="H18" s="32"/>
      <c r="I18" s="32"/>
      <c r="J18" s="32"/>
      <c r="K18" s="32"/>
      <c r="L18" s="32"/>
      <c r="M18" s="32"/>
      <c r="Q18" s="31"/>
      <c r="R18" s="31"/>
      <c r="S18" s="31"/>
      <c r="T18" s="31"/>
      <c r="U18" s="31"/>
      <c r="V18" s="31"/>
      <c r="W18" s="31"/>
      <c r="X18" s="31"/>
      <c r="Y18" s="31"/>
    </row>
    <row r="19" spans="1:25" x14ac:dyDescent="0.2">
      <c r="B19" s="8">
        <v>2000</v>
      </c>
      <c r="C19" s="8">
        <v>2004</v>
      </c>
      <c r="D19" s="8">
        <v>2008</v>
      </c>
      <c r="E19" s="8">
        <v>2010</v>
      </c>
      <c r="F19" s="8">
        <v>2011</v>
      </c>
      <c r="G19" s="8">
        <v>2012</v>
      </c>
      <c r="H19" s="8">
        <v>2013</v>
      </c>
      <c r="I19" s="8">
        <v>2014</v>
      </c>
      <c r="J19" s="8">
        <v>2015</v>
      </c>
      <c r="K19" s="8">
        <v>2016</v>
      </c>
      <c r="L19" s="8">
        <v>2017</v>
      </c>
      <c r="M19" s="8">
        <v>2018</v>
      </c>
      <c r="N19" s="8">
        <v>2019</v>
      </c>
      <c r="O19" s="8">
        <v>2020</v>
      </c>
      <c r="P19" s="8">
        <v>2021</v>
      </c>
      <c r="Q19" s="8">
        <v>2022</v>
      </c>
    </row>
    <row r="20" spans="1:25" x14ac:dyDescent="0.2">
      <c r="A20" s="8" t="s">
        <v>105</v>
      </c>
      <c r="B20" s="8">
        <v>39.700000000000003</v>
      </c>
      <c r="C20" s="8">
        <v>44</v>
      </c>
      <c r="D20" s="8">
        <v>41</v>
      </c>
      <c r="E20" s="8">
        <v>38.299999999999997</v>
      </c>
      <c r="F20" s="8">
        <v>37.6</v>
      </c>
      <c r="G20" s="8">
        <v>37.4</v>
      </c>
      <c r="H20" s="8">
        <v>37.718877215437402</v>
      </c>
      <c r="I20" s="8">
        <v>38.084879541898097</v>
      </c>
      <c r="J20" s="8">
        <v>38.142803676134243</v>
      </c>
      <c r="K20" s="8">
        <v>38.396878302577022</v>
      </c>
      <c r="L20" s="8">
        <v>38.496073585082755</v>
      </c>
      <c r="M20" s="8">
        <v>38.1</v>
      </c>
      <c r="N20" s="8">
        <v>38.799999999999997</v>
      </c>
      <c r="O20" s="8">
        <v>39.55810239814592</v>
      </c>
      <c r="P20" s="8">
        <v>40.40103590638374</v>
      </c>
      <c r="Q20" s="8">
        <v>42.862019571881824</v>
      </c>
    </row>
    <row r="21" spans="1:25" x14ac:dyDescent="0.2">
      <c r="A21" s="8" t="s">
        <v>106</v>
      </c>
      <c r="B21" s="8">
        <v>23.5</v>
      </c>
      <c r="C21" s="8">
        <v>39.9</v>
      </c>
      <c r="D21" s="8">
        <v>51.1</v>
      </c>
      <c r="E21" s="8">
        <v>54.5</v>
      </c>
      <c r="F21" s="8">
        <v>54.8</v>
      </c>
      <c r="G21" s="8">
        <v>54</v>
      </c>
      <c r="H21" s="8">
        <v>52.734965246297975</v>
      </c>
      <c r="I21" s="8">
        <v>51.191684005984207</v>
      </c>
      <c r="J21" s="8">
        <v>49.814945731276254</v>
      </c>
      <c r="K21" s="8">
        <v>49.021217787171778</v>
      </c>
      <c r="L21" s="8">
        <v>48.495917154209558</v>
      </c>
      <c r="M21" s="8">
        <v>47.4</v>
      </c>
      <c r="N21" s="8">
        <v>46.1</v>
      </c>
      <c r="O21" s="8">
        <v>45.347851278210364</v>
      </c>
      <c r="P21" s="8">
        <v>44.877827619132674</v>
      </c>
      <c r="Q21" s="8">
        <v>44.938352588388064</v>
      </c>
    </row>
    <row r="22" spans="1:25" x14ac:dyDescent="0.2">
      <c r="A22" s="8" t="s">
        <v>107</v>
      </c>
      <c r="B22" s="8">
        <f>B20+B21</f>
        <v>63.2</v>
      </c>
      <c r="C22" s="8">
        <f t="shared" ref="C22:Q22" si="3">C20+C21</f>
        <v>83.9</v>
      </c>
      <c r="D22" s="8">
        <f t="shared" si="3"/>
        <v>92.1</v>
      </c>
      <c r="E22" s="8">
        <f t="shared" si="3"/>
        <v>92.8</v>
      </c>
      <c r="F22" s="8">
        <f t="shared" si="3"/>
        <v>92.4</v>
      </c>
      <c r="G22" s="8">
        <f t="shared" si="3"/>
        <v>91.4</v>
      </c>
      <c r="H22" s="8">
        <f t="shared" si="3"/>
        <v>90.453842461735377</v>
      </c>
      <c r="I22" s="8">
        <f t="shared" si="3"/>
        <v>89.276563547882304</v>
      </c>
      <c r="J22" s="8">
        <f t="shared" si="3"/>
        <v>87.957749407410489</v>
      </c>
      <c r="K22" s="8">
        <f t="shared" si="3"/>
        <v>87.418096089748801</v>
      </c>
      <c r="L22" s="8">
        <f t="shared" si="3"/>
        <v>86.991990739292305</v>
      </c>
      <c r="M22" s="8">
        <f t="shared" si="3"/>
        <v>85.5</v>
      </c>
      <c r="N22" s="8">
        <f t="shared" si="3"/>
        <v>84.9</v>
      </c>
      <c r="O22" s="8">
        <f t="shared" si="3"/>
        <v>84.90595367635629</v>
      </c>
      <c r="P22" s="8">
        <f t="shared" si="3"/>
        <v>85.278863525516414</v>
      </c>
      <c r="Q22" s="8">
        <f t="shared" si="3"/>
        <v>87.800372160269887</v>
      </c>
    </row>
    <row r="23" spans="1:25" x14ac:dyDescent="0.2">
      <c r="A23" s="8" t="s">
        <v>108</v>
      </c>
      <c r="B23" s="8">
        <v>36.799999999999997</v>
      </c>
      <c r="C23" s="8">
        <v>16.099999999999994</v>
      </c>
      <c r="D23" s="8">
        <v>7.9000000000000057</v>
      </c>
      <c r="E23" s="8">
        <v>7.2000000000000028</v>
      </c>
      <c r="F23" s="8">
        <v>7.5999999999999943</v>
      </c>
      <c r="G23" s="8">
        <v>8.5999999999999943</v>
      </c>
      <c r="H23" s="8">
        <v>9.5461575382646231</v>
      </c>
      <c r="I23" s="8">
        <v>10.723436452117696</v>
      </c>
      <c r="J23" s="8">
        <v>12.042250592589511</v>
      </c>
      <c r="K23" s="8">
        <v>12.581903910251199</v>
      </c>
      <c r="L23" s="8">
        <v>13.008009260707695</v>
      </c>
      <c r="M23" s="8">
        <v>14.5</v>
      </c>
      <c r="N23" s="8">
        <v>15.099999999999994</v>
      </c>
      <c r="O23" s="8">
        <v>15.09404632364371</v>
      </c>
      <c r="P23" s="8">
        <v>14.721136474483586</v>
      </c>
      <c r="Q23" s="8">
        <v>12.199627839730113</v>
      </c>
    </row>
    <row r="24" spans="1:25" x14ac:dyDescent="0.2">
      <c r="A24" s="8" t="s">
        <v>93</v>
      </c>
      <c r="B24" s="8">
        <f>B20+B21+B23</f>
        <v>100</v>
      </c>
      <c r="C24" s="8">
        <v>100</v>
      </c>
      <c r="D24" s="8">
        <v>100</v>
      </c>
      <c r="E24" s="8">
        <v>100</v>
      </c>
      <c r="F24" s="8">
        <v>100</v>
      </c>
      <c r="G24" s="8">
        <v>100</v>
      </c>
      <c r="H24" s="8">
        <v>100</v>
      </c>
      <c r="I24" s="8">
        <v>100</v>
      </c>
      <c r="J24" s="8">
        <v>100</v>
      </c>
      <c r="K24" s="8">
        <v>100</v>
      </c>
      <c r="L24" s="8">
        <v>100</v>
      </c>
      <c r="M24" s="8">
        <v>100</v>
      </c>
      <c r="N24" s="8">
        <v>100</v>
      </c>
      <c r="O24" s="8">
        <v>100</v>
      </c>
      <c r="P24" s="8">
        <v>100</v>
      </c>
      <c r="Q24" s="8">
        <f>SUM(Q22:Q23)</f>
        <v>100</v>
      </c>
    </row>
    <row r="25" spans="1:25" x14ac:dyDescent="0.2">
      <c r="A25" s="8" t="s">
        <v>63</v>
      </c>
      <c r="B25" s="8">
        <f>SUMSQ(B20:B21,B23)</f>
        <v>3482.58</v>
      </c>
      <c r="C25" s="8">
        <f t="shared" ref="C25:Q25" si="4">SUMSQ(C20:C21,C23)</f>
        <v>3787.2200000000003</v>
      </c>
      <c r="D25" s="8">
        <f t="shared" si="4"/>
        <v>4354.62</v>
      </c>
      <c r="E25" s="8">
        <f t="shared" si="4"/>
        <v>4488.9799999999996</v>
      </c>
      <c r="F25" s="8">
        <f t="shared" si="4"/>
        <v>4474.5599999999995</v>
      </c>
      <c r="G25" s="8">
        <f t="shared" si="4"/>
        <v>4388.72</v>
      </c>
      <c r="H25" s="8">
        <f t="shared" si="4"/>
        <v>4294.8193816668645</v>
      </c>
      <c r="I25" s="8">
        <f t="shared" si="4"/>
        <v>4186.038650432035</v>
      </c>
      <c r="J25" s="8">
        <f t="shared" si="4"/>
        <v>4081.418089820841</v>
      </c>
      <c r="K25" s="8">
        <f t="shared" si="4"/>
        <v>4035.7043627270314</v>
      </c>
      <c r="L25" s="8">
        <f t="shared" si="4"/>
        <v>4003.00996702272</v>
      </c>
      <c r="M25" s="8">
        <f t="shared" si="4"/>
        <v>3908.62</v>
      </c>
      <c r="N25" s="8">
        <f t="shared" si="4"/>
        <v>3858.6599999999994</v>
      </c>
      <c r="O25" s="8">
        <f t="shared" si="4"/>
        <v>3849.1013153131853</v>
      </c>
      <c r="P25" s="8">
        <f t="shared" si="4"/>
        <v>3862.9749732218665</v>
      </c>
      <c r="Q25" s="8">
        <f t="shared" si="4"/>
        <v>4005.4391745665826</v>
      </c>
    </row>
    <row r="26" spans="1:25" ht="38" customHeight="1" x14ac:dyDescent="0.2">
      <c r="A26" s="31" t="s">
        <v>660</v>
      </c>
      <c r="B26" s="31"/>
      <c r="C26" s="31"/>
      <c r="D26" s="31"/>
      <c r="E26" s="31"/>
      <c r="F26" s="31"/>
      <c r="G26" s="31"/>
      <c r="H26" s="31"/>
      <c r="I26" s="31"/>
      <c r="J26" s="31"/>
      <c r="K26" s="31"/>
      <c r="L26" s="31"/>
      <c r="Q26" s="31"/>
      <c r="R26" s="31"/>
      <c r="S26" s="31"/>
      <c r="T26" s="31"/>
      <c r="U26" s="31"/>
      <c r="V26" s="31"/>
      <c r="W26" s="31"/>
      <c r="X26" s="31"/>
    </row>
    <row r="64" spans="1:8" x14ac:dyDescent="0.2">
      <c r="A64" s="31"/>
      <c r="B64" s="31"/>
      <c r="C64" s="31"/>
      <c r="D64" s="31"/>
      <c r="E64" s="31"/>
      <c r="F64" s="31"/>
      <c r="G64" s="31"/>
      <c r="H64" s="31"/>
    </row>
    <row r="182" spans="1:3" x14ac:dyDescent="0.2">
      <c r="A182" s="8">
        <v>2018</v>
      </c>
    </row>
    <row r="183" spans="1:3" x14ac:dyDescent="0.2">
      <c r="A183" s="8" t="s">
        <v>18</v>
      </c>
      <c r="B183" s="8">
        <v>2995.6</v>
      </c>
      <c r="C183" s="8">
        <v>25.5</v>
      </c>
    </row>
    <row r="184" spans="1:3" x14ac:dyDescent="0.2">
      <c r="A184" s="8" t="s">
        <v>76</v>
      </c>
      <c r="B184" s="8">
        <v>2114</v>
      </c>
      <c r="C184" s="8">
        <v>18</v>
      </c>
    </row>
    <row r="185" spans="1:3" x14ac:dyDescent="0.2">
      <c r="A185" s="8" t="s">
        <v>22</v>
      </c>
      <c r="B185" s="8">
        <v>1430.4</v>
      </c>
      <c r="C185" s="8">
        <v>12.2</v>
      </c>
    </row>
    <row r="186" spans="1:3" x14ac:dyDescent="0.2">
      <c r="A186" s="8" t="s">
        <v>26</v>
      </c>
      <c r="B186" s="8">
        <v>1378</v>
      </c>
      <c r="C186" s="8">
        <v>11.7</v>
      </c>
    </row>
    <row r="187" spans="1:3" x14ac:dyDescent="0.2">
      <c r="A187" s="8" t="s">
        <v>78</v>
      </c>
      <c r="B187" s="8">
        <v>1080</v>
      </c>
      <c r="C187" s="8">
        <v>9.1999999999999993</v>
      </c>
    </row>
    <row r="188" spans="1:3" x14ac:dyDescent="0.2">
      <c r="C188" s="8">
        <f>SUM(C183:C187)</f>
        <v>76.600000000000009</v>
      </c>
    </row>
    <row r="190" spans="1:3" x14ac:dyDescent="0.2">
      <c r="A190" s="8">
        <v>2019</v>
      </c>
    </row>
    <row r="191" spans="1:3" x14ac:dyDescent="0.2">
      <c r="A191" s="8" t="s">
        <v>18</v>
      </c>
      <c r="B191" s="8">
        <v>2852.8</v>
      </c>
      <c r="C191" s="8">
        <v>22.2</v>
      </c>
    </row>
    <row r="192" spans="1:3" x14ac:dyDescent="0.2">
      <c r="A192" s="8" t="s">
        <v>76</v>
      </c>
      <c r="B192" s="8">
        <v>2259</v>
      </c>
      <c r="C192" s="8">
        <v>17.600000000000001</v>
      </c>
    </row>
    <row r="193" spans="1:3" x14ac:dyDescent="0.2">
      <c r="A193" s="8" t="s">
        <v>26</v>
      </c>
      <c r="B193" s="8">
        <v>1572.19</v>
      </c>
      <c r="C193" s="8">
        <v>12.3</v>
      </c>
    </row>
    <row r="194" spans="1:3" x14ac:dyDescent="0.2">
      <c r="A194" s="8" t="s">
        <v>22</v>
      </c>
      <c r="B194" s="8">
        <v>1551.6</v>
      </c>
      <c r="C194" s="8">
        <v>12.1</v>
      </c>
    </row>
    <row r="195" spans="1:3" x14ac:dyDescent="0.2">
      <c r="A195" s="8" t="s">
        <v>78</v>
      </c>
      <c r="B195" s="8">
        <v>1110</v>
      </c>
      <c r="C195" s="8">
        <v>8.6999999999999993</v>
      </c>
    </row>
    <row r="196" spans="1:3" x14ac:dyDescent="0.2">
      <c r="C196" s="8">
        <f>SUM(C191:C195)</f>
        <v>72.899999999999991</v>
      </c>
    </row>
    <row r="198" spans="1:3" x14ac:dyDescent="0.2">
      <c r="A198" s="8">
        <v>2020</v>
      </c>
    </row>
    <row r="199" spans="1:3" x14ac:dyDescent="0.2">
      <c r="A199" s="8" t="s">
        <v>18</v>
      </c>
      <c r="B199" s="8">
        <v>2852.8</v>
      </c>
      <c r="C199" s="8">
        <v>22.2</v>
      </c>
    </row>
    <row r="200" spans="1:3" x14ac:dyDescent="0.2">
      <c r="A200" s="8" t="s">
        <v>76</v>
      </c>
      <c r="B200" s="8">
        <v>2259</v>
      </c>
      <c r="C200" s="8">
        <v>17.600000000000001</v>
      </c>
    </row>
    <row r="201" spans="1:3" x14ac:dyDescent="0.2">
      <c r="A201" s="8" t="s">
        <v>26</v>
      </c>
      <c r="B201" s="8">
        <v>1572.19</v>
      </c>
      <c r="C201" s="8">
        <v>12.3</v>
      </c>
    </row>
    <row r="202" spans="1:3" x14ac:dyDescent="0.2">
      <c r="A202" s="8" t="s">
        <v>22</v>
      </c>
      <c r="B202" s="8">
        <v>1551.6</v>
      </c>
      <c r="C202" s="8">
        <v>12.1</v>
      </c>
    </row>
    <row r="203" spans="1:3" x14ac:dyDescent="0.2">
      <c r="A203" s="8" t="s">
        <v>78</v>
      </c>
      <c r="B203" s="8">
        <v>1110</v>
      </c>
      <c r="C203" s="8">
        <v>8.6999999999999993</v>
      </c>
    </row>
    <row r="204" spans="1:3" x14ac:dyDescent="0.2">
      <c r="C204" s="8">
        <f>SUM(C199:C203)</f>
        <v>72.899999999999991</v>
      </c>
    </row>
    <row r="206" spans="1:3" x14ac:dyDescent="0.2">
      <c r="A206" s="8">
        <v>2021</v>
      </c>
    </row>
    <row r="207" spans="1:3" x14ac:dyDescent="0.2">
      <c r="A207" s="8" t="s">
        <v>18</v>
      </c>
      <c r="B207" s="8">
        <v>3326.7</v>
      </c>
      <c r="C207" s="8">
        <v>23.3</v>
      </c>
    </row>
    <row r="208" spans="1:3" x14ac:dyDescent="0.2">
      <c r="A208" s="8" t="s">
        <v>76</v>
      </c>
      <c r="B208" s="8">
        <v>2431.8000000000002</v>
      </c>
      <c r="C208" s="8">
        <v>17</v>
      </c>
    </row>
    <row r="209" spans="1:3" x14ac:dyDescent="0.2">
      <c r="A209" s="8" t="s">
        <v>26</v>
      </c>
      <c r="B209" s="8">
        <v>1927.7</v>
      </c>
      <c r="C209" s="8">
        <v>13.5</v>
      </c>
    </row>
    <row r="210" spans="1:3" x14ac:dyDescent="0.2">
      <c r="A210" s="8" t="s">
        <v>22</v>
      </c>
      <c r="B210" s="8">
        <v>1816.2</v>
      </c>
      <c r="C210" s="8">
        <v>12.7</v>
      </c>
    </row>
    <row r="211" spans="1:3" x14ac:dyDescent="0.2">
      <c r="A211" s="8" t="s">
        <v>78</v>
      </c>
      <c r="B211" s="8">
        <v>1200</v>
      </c>
      <c r="C211" s="8">
        <v>8.4</v>
      </c>
    </row>
    <row r="212" spans="1:3" x14ac:dyDescent="0.2">
      <c r="C212" s="8">
        <f>SUM(C207:C211)</f>
        <v>74.900000000000006</v>
      </c>
    </row>
  </sheetData>
  <mergeCells count="11">
    <mergeCell ref="A64:H64"/>
    <mergeCell ref="Q18:Y18"/>
    <mergeCell ref="Q26:X26"/>
    <mergeCell ref="A12:I12"/>
    <mergeCell ref="A1:I1"/>
    <mergeCell ref="A26:L26"/>
    <mergeCell ref="A18:M18"/>
    <mergeCell ref="A9:L9"/>
    <mergeCell ref="Q9:X9"/>
    <mergeCell ref="A15:L15"/>
    <mergeCell ref="Q15:X15"/>
  </mergeCells>
  <phoneticPr fontId="4" type="noConversion"/>
  <pageMargins left="0.7" right="0.7" top="0.75" bottom="0.75" header="0.3" footer="0.3"/>
  <pageSetup orientation="portrait" horizontalDpi="0" verticalDpi="0"/>
  <ignoredErrors>
    <ignoredError sqref="K5:Q5 L8:Q8 B25:Q25" formulaRange="1"/>
  </ignoredErrors>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0310A-9CCE-7C4B-8C52-483497F97886}">
  <dimension ref="A1:D27"/>
  <sheetViews>
    <sheetView workbookViewId="0">
      <selection activeCell="F10" sqref="F10"/>
    </sheetView>
  </sheetViews>
  <sheetFormatPr baseColWidth="10" defaultRowHeight="16" x14ac:dyDescent="0.2"/>
  <cols>
    <col min="1" max="1" width="24.1640625" style="7" customWidth="1"/>
    <col min="2" max="2" width="11.6640625" style="7" customWidth="1"/>
    <col min="3" max="16384" width="10.83203125" style="7"/>
  </cols>
  <sheetData>
    <row r="1" spans="1:4" ht="38" customHeight="1" x14ac:dyDescent="0.2">
      <c r="A1" s="30" t="s">
        <v>613</v>
      </c>
      <c r="B1" s="30"/>
      <c r="C1" s="30"/>
      <c r="D1" s="30"/>
    </row>
    <row r="2" spans="1:4" ht="17" x14ac:dyDescent="0.2">
      <c r="B2" s="7" t="s">
        <v>605</v>
      </c>
      <c r="C2" s="7" t="s">
        <v>606</v>
      </c>
    </row>
    <row r="3" spans="1:4" ht="17" x14ac:dyDescent="0.2">
      <c r="A3" s="7" t="s">
        <v>611</v>
      </c>
      <c r="B3" s="7">
        <v>0.29099999999999998</v>
      </c>
      <c r="C3" s="7">
        <v>0.29099999999999998</v>
      </c>
    </row>
    <row r="4" spans="1:4" ht="17" x14ac:dyDescent="0.2">
      <c r="A4" s="7" t="s">
        <v>612</v>
      </c>
      <c r="B4" s="7">
        <v>0.20499999999999999</v>
      </c>
    </row>
    <row r="5" spans="1:4" ht="17" x14ac:dyDescent="0.2">
      <c r="A5" s="7" t="s">
        <v>20</v>
      </c>
      <c r="B5" s="7">
        <v>0.153</v>
      </c>
      <c r="C5" s="7">
        <v>0.35799999999999998</v>
      </c>
    </row>
    <row r="6" spans="1:4" ht="17" x14ac:dyDescent="0.2">
      <c r="A6" s="7" t="s">
        <v>26</v>
      </c>
      <c r="B6" s="7">
        <v>0.113</v>
      </c>
      <c r="C6" s="7">
        <v>0.113</v>
      </c>
    </row>
    <row r="7" spans="1:4" ht="17" x14ac:dyDescent="0.2">
      <c r="A7" s="7" t="s">
        <v>78</v>
      </c>
      <c r="B7" s="7">
        <v>0.10800000000000001</v>
      </c>
      <c r="C7" s="7">
        <v>0.10800000000000001</v>
      </c>
    </row>
    <row r="8" spans="1:4" ht="17" x14ac:dyDescent="0.2">
      <c r="A8" s="7" t="s">
        <v>32</v>
      </c>
      <c r="B8" s="7">
        <v>6.4000000000000001E-2</v>
      </c>
      <c r="C8" s="7">
        <v>6.4000000000000001E-2</v>
      </c>
    </row>
    <row r="9" spans="1:4" ht="17" x14ac:dyDescent="0.2">
      <c r="A9" s="7" t="s">
        <v>79</v>
      </c>
      <c r="B9" s="7">
        <v>3.6000000000000004E-2</v>
      </c>
      <c r="C9" s="7">
        <v>3.6000000000000004E-2</v>
      </c>
    </row>
    <row r="10" spans="1:4" ht="17" x14ac:dyDescent="0.2">
      <c r="A10" s="7" t="s">
        <v>35</v>
      </c>
      <c r="B10" s="7">
        <v>1.3000000000000001E-2</v>
      </c>
      <c r="C10" s="7">
        <v>1.3000000000000001E-2</v>
      </c>
    </row>
    <row r="11" spans="1:4" ht="17" x14ac:dyDescent="0.2">
      <c r="A11" s="7" t="s">
        <v>342</v>
      </c>
      <c r="B11" s="7">
        <v>5.0000000000000001E-3</v>
      </c>
      <c r="C11" s="7">
        <v>5.0000000000000001E-3</v>
      </c>
    </row>
    <row r="14" spans="1:4" ht="17" x14ac:dyDescent="0.2">
      <c r="A14" s="7" t="s">
        <v>599</v>
      </c>
      <c r="B14" s="7">
        <f>B5</f>
        <v>0.153</v>
      </c>
    </row>
    <row r="15" spans="1:4" ht="17" x14ac:dyDescent="0.2">
      <c r="A15" s="7" t="s">
        <v>600</v>
      </c>
      <c r="B15" s="7">
        <f>B4+B5</f>
        <v>0.35799999999999998</v>
      </c>
    </row>
    <row r="17" spans="1:3" ht="17" x14ac:dyDescent="0.2">
      <c r="A17" s="7" t="s">
        <v>601</v>
      </c>
      <c r="B17" s="7">
        <f>C3+C4+C5+C6</f>
        <v>0.76200000000000001</v>
      </c>
    </row>
    <row r="18" spans="1:3" ht="17" x14ac:dyDescent="0.2">
      <c r="A18" s="7" t="s">
        <v>602</v>
      </c>
      <c r="B18" s="7">
        <f>B17+C7</f>
        <v>0.87</v>
      </c>
    </row>
    <row r="20" spans="1:3" ht="17" x14ac:dyDescent="0.2">
      <c r="A20" s="7" t="s">
        <v>603</v>
      </c>
      <c r="B20" s="7">
        <v>1801.34</v>
      </c>
    </row>
    <row r="21" spans="1:3" ht="17" x14ac:dyDescent="0.2">
      <c r="A21" s="7" t="s">
        <v>604</v>
      </c>
      <c r="B21" s="7">
        <v>2428.64</v>
      </c>
    </row>
    <row r="23" spans="1:3" ht="17" x14ac:dyDescent="0.2">
      <c r="A23" s="7" t="s">
        <v>597</v>
      </c>
      <c r="B23" s="7">
        <v>9650.7800000000007</v>
      </c>
    </row>
    <row r="24" spans="1:3" ht="17" x14ac:dyDescent="0.2">
      <c r="A24" s="7" t="s">
        <v>598</v>
      </c>
      <c r="B24" s="7">
        <v>7421.5</v>
      </c>
    </row>
    <row r="27" spans="1:3" x14ac:dyDescent="0.2">
      <c r="A27" s="33"/>
      <c r="B27" s="33"/>
      <c r="C27" s="33"/>
    </row>
  </sheetData>
  <mergeCells count="2">
    <mergeCell ref="A27:C27"/>
    <mergeCell ref="A1:D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
  <sheetViews>
    <sheetView zoomScale="64" zoomScaleNormal="130" workbookViewId="0">
      <selection activeCell="E17" sqref="E17"/>
    </sheetView>
  </sheetViews>
  <sheetFormatPr baseColWidth="10" defaultColWidth="11" defaultRowHeight="16" x14ac:dyDescent="0.2"/>
  <cols>
    <col min="1" max="1" width="28.6640625" style="8" customWidth="1"/>
    <col min="2" max="15" width="11" style="8"/>
    <col min="16" max="16" width="26.5" style="8" customWidth="1"/>
    <col min="17" max="16384" width="11" style="8"/>
  </cols>
  <sheetData>
    <row r="1" spans="1:14" ht="59" customHeight="1" x14ac:dyDescent="0.2">
      <c r="A1" s="32" t="s">
        <v>614</v>
      </c>
      <c r="B1" s="32"/>
      <c r="C1" s="32"/>
      <c r="D1" s="32"/>
      <c r="E1" s="32"/>
      <c r="F1" s="32"/>
      <c r="G1" s="32"/>
      <c r="H1" s="32"/>
      <c r="I1" s="32"/>
      <c r="J1" s="32"/>
      <c r="K1" s="32"/>
    </row>
    <row r="2" spans="1:14" x14ac:dyDescent="0.2">
      <c r="B2" s="8">
        <v>1996</v>
      </c>
      <c r="C2" s="8">
        <v>2000</v>
      </c>
      <c r="D2" s="8">
        <v>2004</v>
      </c>
      <c r="E2" s="8">
        <v>2008</v>
      </c>
      <c r="F2" s="8">
        <v>2010</v>
      </c>
      <c r="G2" s="8">
        <v>2012</v>
      </c>
      <c r="H2" s="8">
        <v>2014</v>
      </c>
      <c r="I2" s="8">
        <v>2016</v>
      </c>
      <c r="J2" s="8">
        <v>2018</v>
      </c>
      <c r="K2" s="8">
        <v>2019</v>
      </c>
      <c r="L2" s="8">
        <v>2020</v>
      </c>
      <c r="M2" s="8">
        <v>2021</v>
      </c>
      <c r="N2" s="8">
        <v>2022</v>
      </c>
    </row>
    <row r="3" spans="1:14" x14ac:dyDescent="0.2">
      <c r="A3" s="8" t="s">
        <v>527</v>
      </c>
      <c r="B3" s="8">
        <v>100</v>
      </c>
      <c r="C3" s="8">
        <v>85.222235391726926</v>
      </c>
      <c r="D3" s="8">
        <v>82.668571655355791</v>
      </c>
      <c r="E3" s="8">
        <v>78.380671604228084</v>
      </c>
      <c r="F3" s="8">
        <v>75.804499440337523</v>
      </c>
      <c r="G3" s="8">
        <v>70.165872348378656</v>
      </c>
      <c r="H3" s="8">
        <v>64.710815888352116</v>
      </c>
      <c r="I3" s="8">
        <v>63.121504482236226</v>
      </c>
      <c r="J3" s="8">
        <v>61.010220312425808</v>
      </c>
      <c r="K3" s="8">
        <v>60.71837115324837</v>
      </c>
      <c r="L3" s="8">
        <v>59.175428409048784</v>
      </c>
      <c r="M3" s="8">
        <v>59.1</v>
      </c>
      <c r="N3" s="8">
        <v>58.30085780664411</v>
      </c>
    </row>
    <row r="4" spans="1:14" x14ac:dyDescent="0.2">
      <c r="A4" s="8" t="s">
        <v>109</v>
      </c>
      <c r="B4" s="8">
        <v>0</v>
      </c>
      <c r="C4" s="8">
        <v>14.777764608273083</v>
      </c>
      <c r="D4" s="8">
        <v>17.331428344644205</v>
      </c>
      <c r="E4" s="8">
        <v>21.619328395771912</v>
      </c>
      <c r="F4" s="8">
        <v>24.195500559662481</v>
      </c>
      <c r="G4" s="8">
        <v>29.834127651621344</v>
      </c>
      <c r="H4" s="8">
        <v>35.289184111647884</v>
      </c>
      <c r="I4" s="8">
        <v>36.878495517763774</v>
      </c>
      <c r="J4" s="8">
        <v>38.989779687574192</v>
      </c>
      <c r="K4" s="8">
        <v>39.28162884675163</v>
      </c>
      <c r="L4" s="8">
        <v>40.824571590951216</v>
      </c>
      <c r="M4" s="8">
        <v>40.9</v>
      </c>
      <c r="N4" s="8">
        <v>41.69914219335589</v>
      </c>
    </row>
    <row r="5" spans="1:14" ht="24" customHeight="1" x14ac:dyDescent="0.2">
      <c r="A5" s="8" t="s">
        <v>110</v>
      </c>
      <c r="B5" s="8">
        <f t="shared" ref="B5:N5" si="0">SUMSQ(B3,B4)</f>
        <v>10000</v>
      </c>
      <c r="C5" s="8">
        <f t="shared" si="0"/>
        <v>7481.211731980442</v>
      </c>
      <c r="D5" s="8">
        <f t="shared" si="0"/>
        <v>7134.4711480022315</v>
      </c>
      <c r="E5" s="8">
        <f t="shared" si="0"/>
        <v>6610.9250414140761</v>
      </c>
      <c r="F5" s="8">
        <f t="shared" si="0"/>
        <v>6331.7443827327588</v>
      </c>
      <c r="G5" s="8">
        <f t="shared" si="0"/>
        <v>5813.3248151422058</v>
      </c>
      <c r="H5" s="8">
        <f t="shared" si="0"/>
        <v>5432.8162082019862</v>
      </c>
      <c r="I5" s="8">
        <f t="shared" si="0"/>
        <v>5344.3477597546907</v>
      </c>
      <c r="J5" s="8">
        <f t="shared" si="0"/>
        <v>5242.449902656308</v>
      </c>
      <c r="K5" s="8">
        <f t="shared" si="0"/>
        <v>5229.7669603575741</v>
      </c>
      <c r="L5" s="8">
        <f t="shared" si="0"/>
        <v>5168.3769729791584</v>
      </c>
      <c r="M5" s="8">
        <f t="shared" si="0"/>
        <v>5165.62</v>
      </c>
      <c r="N5" s="8">
        <f t="shared" si="0"/>
        <v>5137.8084806522493</v>
      </c>
    </row>
  </sheetData>
  <mergeCells count="1">
    <mergeCell ref="A1:K1"/>
  </mergeCells>
  <phoneticPr fontId="4" type="noConversion"/>
  <pageMargins left="0.75" right="0.75" top="1" bottom="1" header="0.5" footer="0.5"/>
  <pageSetup orientation="portrait" horizontalDpi="4294967292" verticalDpi="429496729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
  <sheetViews>
    <sheetView zoomScale="67" zoomScaleNormal="130" workbookViewId="0">
      <selection activeCell="O16" sqref="O16"/>
    </sheetView>
  </sheetViews>
  <sheetFormatPr baseColWidth="10" defaultColWidth="11" defaultRowHeight="16" x14ac:dyDescent="0.2"/>
  <cols>
    <col min="1" max="1" width="29.5" style="7" customWidth="1"/>
    <col min="2" max="16384" width="11" style="7"/>
  </cols>
  <sheetData>
    <row r="1" spans="1:22" x14ac:dyDescent="0.2">
      <c r="A1" s="30" t="s">
        <v>615</v>
      </c>
      <c r="B1" s="30"/>
      <c r="C1" s="30"/>
      <c r="D1" s="30"/>
      <c r="E1" s="30"/>
      <c r="F1" s="30"/>
      <c r="G1" s="30"/>
      <c r="H1" s="30"/>
      <c r="I1" s="30"/>
      <c r="J1" s="30"/>
      <c r="K1" s="30"/>
      <c r="L1" s="30"/>
      <c r="M1" s="30"/>
      <c r="N1" s="30"/>
    </row>
    <row r="2" spans="1:22" x14ac:dyDescent="0.2">
      <c r="B2" s="7">
        <v>2002</v>
      </c>
      <c r="C2" s="7">
        <v>2003</v>
      </c>
      <c r="D2" s="7">
        <v>2004</v>
      </c>
      <c r="E2" s="7">
        <v>2005</v>
      </c>
      <c r="F2" s="7">
        <v>2006</v>
      </c>
      <c r="G2" s="7">
        <v>2007</v>
      </c>
      <c r="H2" s="7">
        <v>2008</v>
      </c>
      <c r="I2" s="7">
        <v>2009</v>
      </c>
      <c r="J2" s="7">
        <v>2010</v>
      </c>
      <c r="K2" s="7">
        <v>2011</v>
      </c>
      <c r="L2" s="7">
        <v>2012</v>
      </c>
      <c r="M2" s="7">
        <v>2013</v>
      </c>
      <c r="N2" s="7">
        <v>2014</v>
      </c>
      <c r="O2" s="7">
        <v>2015</v>
      </c>
      <c r="P2" s="7">
        <v>2016</v>
      </c>
      <c r="Q2" s="7">
        <v>2017</v>
      </c>
      <c r="R2" s="7">
        <v>2018</v>
      </c>
      <c r="S2" s="7">
        <v>2019</v>
      </c>
      <c r="T2" s="7">
        <v>2020</v>
      </c>
      <c r="U2" s="7">
        <v>2021</v>
      </c>
      <c r="V2" s="7">
        <v>2022</v>
      </c>
    </row>
    <row r="3" spans="1:22" ht="17" x14ac:dyDescent="0.2">
      <c r="A3" s="7" t="s">
        <v>111</v>
      </c>
      <c r="B3" s="7">
        <v>100</v>
      </c>
      <c r="C3" s="7">
        <v>102.2</v>
      </c>
      <c r="D3" s="7">
        <v>103.8</v>
      </c>
      <c r="E3" s="7">
        <v>105.5</v>
      </c>
      <c r="F3" s="7">
        <v>107.5</v>
      </c>
      <c r="G3" s="7">
        <v>109.8</v>
      </c>
      <c r="H3" s="7">
        <v>111.7</v>
      </c>
      <c r="I3" s="7">
        <v>113.6</v>
      </c>
      <c r="J3" s="7">
        <v>115.6</v>
      </c>
      <c r="K3" s="7">
        <v>117.5</v>
      </c>
      <c r="L3" s="7">
        <v>119.5</v>
      </c>
      <c r="M3" s="7">
        <v>121</v>
      </c>
      <c r="N3" s="7">
        <v>123.2</v>
      </c>
      <c r="O3" s="7">
        <v>125.9</v>
      </c>
      <c r="P3" s="7">
        <v>128.19999999999999</v>
      </c>
      <c r="Q3" s="7">
        <v>130.4</v>
      </c>
      <c r="R3" s="7">
        <v>133.4</v>
      </c>
      <c r="S3" s="7">
        <v>136</v>
      </c>
      <c r="T3" s="7">
        <v>137</v>
      </c>
      <c r="U3" s="7">
        <v>141.6</v>
      </c>
      <c r="V3" s="7">
        <v>151.19999999999999</v>
      </c>
    </row>
    <row r="4" spans="1:22" ht="34" x14ac:dyDescent="0.2">
      <c r="A4" s="7" t="s">
        <v>112</v>
      </c>
      <c r="B4" s="7">
        <v>100</v>
      </c>
      <c r="C4" s="7">
        <v>104.8</v>
      </c>
      <c r="D4" s="7">
        <v>108.8</v>
      </c>
      <c r="E4" s="7">
        <v>112.5</v>
      </c>
      <c r="F4" s="7">
        <v>116.8</v>
      </c>
      <c r="G4" s="7">
        <v>122.7</v>
      </c>
      <c r="H4" s="7">
        <v>128.69999999999999</v>
      </c>
      <c r="I4" s="7">
        <v>135.80000000000001</v>
      </c>
      <c r="J4" s="7">
        <v>143.4</v>
      </c>
      <c r="K4" s="7">
        <v>151.4</v>
      </c>
      <c r="L4" s="7">
        <v>159</v>
      </c>
      <c r="M4" s="7">
        <v>162.80000000000001</v>
      </c>
      <c r="N4" s="7">
        <v>166.6</v>
      </c>
      <c r="O4" s="7">
        <v>170.7</v>
      </c>
      <c r="P4" s="7">
        <v>178.3</v>
      </c>
      <c r="Q4" s="7">
        <v>185.5</v>
      </c>
      <c r="R4" s="7">
        <v>195.4</v>
      </c>
      <c r="S4" s="7">
        <v>210.3</v>
      </c>
      <c r="T4" s="7">
        <v>216.2</v>
      </c>
      <c r="U4" s="7">
        <v>225.6</v>
      </c>
      <c r="V4" s="7">
        <v>240.6</v>
      </c>
    </row>
    <row r="5" spans="1:22" ht="17" x14ac:dyDescent="0.2">
      <c r="A5" s="7" t="s">
        <v>113</v>
      </c>
      <c r="P5" s="7">
        <v>102.4</v>
      </c>
      <c r="Q5" s="7">
        <v>100</v>
      </c>
      <c r="R5" s="7">
        <v>95.1</v>
      </c>
      <c r="S5" s="7">
        <v>93.2</v>
      </c>
      <c r="T5" s="7">
        <v>83</v>
      </c>
      <c r="U5" s="7">
        <v>69</v>
      </c>
      <c r="V5" s="7">
        <v>65.400000000000006</v>
      </c>
    </row>
    <row r="6" spans="1:22" ht="17" x14ac:dyDescent="0.2">
      <c r="A6" s="7" t="s">
        <v>114</v>
      </c>
      <c r="B6" s="7">
        <v>100</v>
      </c>
      <c r="C6" s="7">
        <v>100.2</v>
      </c>
      <c r="D6" s="7">
        <v>100.6</v>
      </c>
      <c r="E6" s="7">
        <v>101</v>
      </c>
      <c r="F6" s="7">
        <v>100.9</v>
      </c>
      <c r="G6" s="7">
        <v>101.6</v>
      </c>
      <c r="H6" s="7">
        <v>105.9</v>
      </c>
      <c r="I6" s="7">
        <v>106.5</v>
      </c>
      <c r="J6" s="7">
        <v>111.2</v>
      </c>
      <c r="K6" s="7">
        <v>112.3</v>
      </c>
      <c r="L6" s="7">
        <v>114.6</v>
      </c>
      <c r="M6" s="7">
        <v>116.4</v>
      </c>
      <c r="N6" s="7">
        <v>120.4</v>
      </c>
      <c r="O6" s="7">
        <v>123.7</v>
      </c>
      <c r="P6" s="7">
        <v>123.4</v>
      </c>
      <c r="Q6" s="7">
        <v>122.8</v>
      </c>
      <c r="R6" s="7">
        <v>119.9</v>
      </c>
      <c r="S6" s="7">
        <v>118.9</v>
      </c>
      <c r="T6" s="7">
        <v>109.2</v>
      </c>
      <c r="U6" s="7">
        <v>95.4</v>
      </c>
      <c r="V6" s="7">
        <v>92.3</v>
      </c>
    </row>
    <row r="7" spans="1:22" ht="17" x14ac:dyDescent="0.2">
      <c r="A7" s="7" t="s">
        <v>115</v>
      </c>
      <c r="C7" s="7">
        <v>99.1</v>
      </c>
      <c r="D7" s="7">
        <v>99</v>
      </c>
      <c r="E7" s="7">
        <v>97.1</v>
      </c>
      <c r="F7" s="7">
        <v>96.7</v>
      </c>
      <c r="G7" s="7">
        <v>97.5</v>
      </c>
      <c r="H7" s="7">
        <v>95.8</v>
      </c>
      <c r="I7" s="7">
        <v>94.8</v>
      </c>
      <c r="J7" s="7">
        <v>95.8</v>
      </c>
      <c r="K7" s="7">
        <v>100.9</v>
      </c>
      <c r="L7" s="7">
        <v>105.2</v>
      </c>
      <c r="M7" s="7">
        <v>109.1</v>
      </c>
      <c r="N7" s="7">
        <v>117.8</v>
      </c>
      <c r="O7" s="7">
        <v>123.7</v>
      </c>
      <c r="P7" s="7">
        <v>124.7</v>
      </c>
      <c r="Q7" s="7">
        <v>123.5</v>
      </c>
      <c r="R7" s="7">
        <v>130.30000000000001</v>
      </c>
      <c r="S7" s="7">
        <v>120.9</v>
      </c>
      <c r="T7" s="7">
        <v>123.5</v>
      </c>
      <c r="U7" s="7">
        <v>126.6</v>
      </c>
      <c r="V7" s="7">
        <v>125.2</v>
      </c>
    </row>
    <row r="8" spans="1:22" ht="17" x14ac:dyDescent="0.2">
      <c r="A8" s="7" t="s">
        <v>116</v>
      </c>
      <c r="B8" s="7">
        <v>100</v>
      </c>
      <c r="C8" s="7">
        <v>98.9</v>
      </c>
      <c r="D8" s="7">
        <v>95.2</v>
      </c>
      <c r="E8" s="7">
        <v>92.7</v>
      </c>
      <c r="F8" s="7">
        <v>89</v>
      </c>
      <c r="G8" s="7">
        <v>86.1</v>
      </c>
      <c r="H8" s="7">
        <v>81.900000000000006</v>
      </c>
      <c r="I8" s="7">
        <v>78.3</v>
      </c>
      <c r="J8" s="7">
        <v>73.2</v>
      </c>
      <c r="K8" s="7">
        <v>69.3</v>
      </c>
      <c r="L8" s="7">
        <v>63.6</v>
      </c>
      <c r="M8" s="7">
        <v>60</v>
      </c>
      <c r="N8" s="7">
        <v>57.3</v>
      </c>
      <c r="O8" s="7">
        <v>55.4</v>
      </c>
      <c r="P8" s="7">
        <v>54.5</v>
      </c>
      <c r="Q8" s="7">
        <v>51.6</v>
      </c>
      <c r="R8" s="7">
        <v>49.7</v>
      </c>
      <c r="S8" s="7">
        <v>47.2</v>
      </c>
      <c r="T8" s="7">
        <v>44.9</v>
      </c>
      <c r="U8" s="7">
        <v>45.1</v>
      </c>
      <c r="V8" s="7">
        <v>43.9</v>
      </c>
    </row>
    <row r="9" spans="1:22" ht="34" x14ac:dyDescent="0.2">
      <c r="A9" s="7" t="s">
        <v>117</v>
      </c>
      <c r="B9" s="7">
        <v>100</v>
      </c>
      <c r="C9" s="7">
        <v>90.2</v>
      </c>
      <c r="D9" s="7">
        <v>75.099999999999994</v>
      </c>
      <c r="E9" s="7">
        <v>59.5</v>
      </c>
      <c r="F9" s="7">
        <v>49.1</v>
      </c>
      <c r="G9" s="7">
        <v>40.700000000000003</v>
      </c>
      <c r="H9" s="7">
        <v>35.299999999999997</v>
      </c>
      <c r="I9" s="7">
        <v>31.6</v>
      </c>
      <c r="J9" s="7">
        <v>27.5</v>
      </c>
      <c r="K9" s="7">
        <v>24.4</v>
      </c>
      <c r="L9" s="7">
        <v>22.9</v>
      </c>
      <c r="M9" s="7">
        <v>22.1</v>
      </c>
      <c r="N9" s="7">
        <v>21</v>
      </c>
      <c r="O9" s="7">
        <v>20.9</v>
      </c>
      <c r="P9" s="7">
        <v>20.6</v>
      </c>
      <c r="Q9" s="7">
        <v>19.899999999999999</v>
      </c>
      <c r="R9" s="7">
        <v>19</v>
      </c>
      <c r="S9" s="7">
        <v>18.5</v>
      </c>
      <c r="T9" s="7">
        <v>17.399999999999999</v>
      </c>
      <c r="U9" s="7">
        <v>16.399999999999999</v>
      </c>
      <c r="V9" s="7">
        <v>15.1</v>
      </c>
    </row>
    <row r="10" spans="1:22" x14ac:dyDescent="0.2">
      <c r="A10" s="33" t="s">
        <v>528</v>
      </c>
      <c r="B10" s="33"/>
      <c r="C10" s="33"/>
      <c r="D10" s="33"/>
      <c r="E10" s="33"/>
      <c r="F10" s="33"/>
    </row>
  </sheetData>
  <mergeCells count="2">
    <mergeCell ref="A1:N1"/>
    <mergeCell ref="A10:F10"/>
  </mergeCells>
  <phoneticPr fontId="4" type="noConversion"/>
  <pageMargins left="0.7" right="0.7" top="0.75" bottom="0.75" header="0.3" footer="0.3"/>
  <pageSetup orientation="portrait" horizontalDpi="0" verticalDpi="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61"/>
  <sheetViews>
    <sheetView zoomScaleNormal="100" workbookViewId="0">
      <selection sqref="A1:N1"/>
    </sheetView>
  </sheetViews>
  <sheetFormatPr baseColWidth="10" defaultColWidth="11" defaultRowHeight="16" x14ac:dyDescent="0.2"/>
  <cols>
    <col min="1" max="1" width="31" style="8" customWidth="1"/>
    <col min="2" max="18" width="12.6640625" style="8" bestFit="1" customWidth="1"/>
    <col min="19" max="19" width="11" style="8"/>
    <col min="20" max="20" width="11.6640625" style="8" bestFit="1" customWidth="1"/>
    <col min="21" max="16384" width="11" style="8"/>
  </cols>
  <sheetData>
    <row r="1" spans="1:17" ht="28.25" customHeight="1" x14ac:dyDescent="0.2">
      <c r="A1" s="32" t="s">
        <v>619</v>
      </c>
      <c r="B1" s="32"/>
      <c r="C1" s="32"/>
      <c r="D1" s="32"/>
      <c r="E1" s="32"/>
      <c r="F1" s="32"/>
      <c r="G1" s="32"/>
      <c r="H1" s="32"/>
      <c r="I1" s="32"/>
      <c r="J1" s="32"/>
      <c r="K1" s="32"/>
      <c r="L1" s="32"/>
      <c r="M1" s="32"/>
      <c r="N1" s="32"/>
    </row>
    <row r="2" spans="1:17" x14ac:dyDescent="0.2">
      <c r="B2" s="8">
        <v>1984</v>
      </c>
      <c r="C2" s="8">
        <v>1988</v>
      </c>
      <c r="D2" s="8">
        <v>1992</v>
      </c>
      <c r="E2" s="8">
        <v>1996</v>
      </c>
      <c r="F2" s="8">
        <v>2000</v>
      </c>
      <c r="G2" s="8">
        <v>2004</v>
      </c>
      <c r="H2" s="8">
        <v>2008</v>
      </c>
      <c r="I2" s="8">
        <v>2010</v>
      </c>
      <c r="J2" s="8">
        <v>2012</v>
      </c>
      <c r="K2" s="8">
        <v>2014</v>
      </c>
      <c r="L2" s="8">
        <v>2016</v>
      </c>
      <c r="M2" s="8">
        <v>2018</v>
      </c>
      <c r="N2" s="8">
        <v>2019</v>
      </c>
      <c r="O2" s="8">
        <v>2020</v>
      </c>
      <c r="P2" s="8">
        <v>2021</v>
      </c>
      <c r="Q2" s="8">
        <v>2022</v>
      </c>
    </row>
    <row r="3" spans="1:17" x14ac:dyDescent="0.2">
      <c r="A3" s="8" t="s">
        <v>139</v>
      </c>
      <c r="B3" s="8">
        <v>0</v>
      </c>
      <c r="C3" s="8">
        <v>0</v>
      </c>
      <c r="D3" s="8">
        <v>0</v>
      </c>
      <c r="E3" s="8">
        <v>0</v>
      </c>
      <c r="F3" s="8">
        <v>14.64530046111639</v>
      </c>
      <c r="G3" s="8">
        <v>15.471659066652396</v>
      </c>
      <c r="H3" s="8">
        <v>15.330916975026179</v>
      </c>
      <c r="I3" s="8">
        <v>18.582377711803307</v>
      </c>
      <c r="J3" s="8">
        <v>23.859924839303215</v>
      </c>
      <c r="K3" s="8">
        <v>30.290688388436354</v>
      </c>
      <c r="L3" s="8">
        <v>41.375616673958632</v>
      </c>
      <c r="M3" s="8">
        <v>52.781876621736025</v>
      </c>
      <c r="N3" s="8">
        <v>57.213245172727156</v>
      </c>
      <c r="O3" s="8">
        <v>65.585695249791414</v>
      </c>
      <c r="P3" s="8">
        <v>70.567134387422485</v>
      </c>
      <c r="Q3" s="8">
        <v>71.182889577003124</v>
      </c>
    </row>
    <row r="4" spans="1:17" x14ac:dyDescent="0.2">
      <c r="A4" s="8" t="s">
        <v>140</v>
      </c>
      <c r="B4" s="8">
        <v>23.981030241424723</v>
      </c>
      <c r="C4" s="8">
        <v>26.209819811270936</v>
      </c>
      <c r="D4" s="8">
        <v>30.636672291013546</v>
      </c>
      <c r="E4" s="8">
        <v>27.548602996270681</v>
      </c>
      <c r="F4" s="8">
        <v>23.515219014605631</v>
      </c>
      <c r="G4" s="8">
        <v>21.782512100623773</v>
      </c>
      <c r="H4" s="8">
        <v>20.425097964197096</v>
      </c>
      <c r="I4" s="8">
        <v>20.74199634013744</v>
      </c>
      <c r="J4" s="8">
        <v>18.766198259346943</v>
      </c>
      <c r="K4" s="8">
        <v>18.326944577543525</v>
      </c>
      <c r="L4" s="8">
        <v>14.566329224688079</v>
      </c>
      <c r="M4" s="8">
        <v>11.364615413346147</v>
      </c>
      <c r="N4" s="8">
        <v>10.496539743487105</v>
      </c>
      <c r="O4" s="8">
        <v>9.4141880602813561</v>
      </c>
      <c r="P4" s="8">
        <v>8.3177577791893391</v>
      </c>
      <c r="Q4" s="8">
        <v>8.0333632799673929</v>
      </c>
    </row>
    <row r="5" spans="1:17" x14ac:dyDescent="0.2">
      <c r="A5" s="8" t="s">
        <v>141</v>
      </c>
      <c r="B5" s="8">
        <v>1.107679108037265</v>
      </c>
      <c r="C5" s="8">
        <v>1.2834037352517393</v>
      </c>
      <c r="D5" s="8">
        <v>3.2773121341807792</v>
      </c>
      <c r="E5" s="8">
        <v>5.0209882803214123</v>
      </c>
      <c r="F5" s="8">
        <v>6.4468273935133924</v>
      </c>
      <c r="G5" s="8">
        <v>6.8416843626601525</v>
      </c>
      <c r="H5" s="8">
        <v>8.6411787938352642</v>
      </c>
      <c r="I5" s="8">
        <v>9.2645474541643011</v>
      </c>
      <c r="J5" s="8">
        <v>9.5380146222281699</v>
      </c>
      <c r="K5" s="8">
        <v>9.7708033860405692</v>
      </c>
      <c r="L5" s="8">
        <v>10.168519831631036</v>
      </c>
      <c r="M5" s="8">
        <v>8.8155189088990085</v>
      </c>
      <c r="N5" s="8">
        <v>8.4644253132253873</v>
      </c>
      <c r="O5" s="8">
        <v>6.9306579456606263</v>
      </c>
      <c r="P5" s="8">
        <v>6.3666957886235025</v>
      </c>
      <c r="Q5" s="8">
        <v>6.6761844013531135</v>
      </c>
    </row>
    <row r="6" spans="1:17" x14ac:dyDescent="0.2">
      <c r="A6" s="8" t="s">
        <v>142</v>
      </c>
      <c r="B6" s="8">
        <v>15.370853294204823</v>
      </c>
      <c r="C6" s="8">
        <v>15.166431650577453</v>
      </c>
      <c r="D6" s="8">
        <v>14.809986586392142</v>
      </c>
      <c r="E6" s="8">
        <v>14.233898257425087</v>
      </c>
      <c r="F6" s="8">
        <v>12.39717013247604</v>
      </c>
      <c r="G6" s="8">
        <v>12.235358846156007</v>
      </c>
      <c r="H6" s="8">
        <v>13.234906317244057</v>
      </c>
      <c r="I6" s="8">
        <v>13.292394379330268</v>
      </c>
      <c r="J6" s="8">
        <v>12.19369773148961</v>
      </c>
      <c r="K6" s="8">
        <v>12.550710749081615</v>
      </c>
      <c r="L6" s="8">
        <v>11.696815171310892</v>
      </c>
      <c r="M6" s="8">
        <v>10.51952812386048</v>
      </c>
      <c r="N6" s="8">
        <v>9.4898225155219809</v>
      </c>
      <c r="O6" s="8">
        <v>7.8329382917820292</v>
      </c>
      <c r="P6" s="8">
        <v>5.8667903519470324</v>
      </c>
      <c r="Q6" s="8">
        <v>5.4816414347179769</v>
      </c>
    </row>
    <row r="7" spans="1:17" x14ac:dyDescent="0.2">
      <c r="A7" s="8" t="s">
        <v>143</v>
      </c>
      <c r="B7" s="8">
        <v>45.107426363643768</v>
      </c>
      <c r="C7" s="8">
        <v>45.980319836172313</v>
      </c>
      <c r="D7" s="8">
        <v>39.28050485806078</v>
      </c>
      <c r="E7" s="8">
        <v>42.460948591871897</v>
      </c>
      <c r="F7" s="8">
        <v>33.987482133775345</v>
      </c>
      <c r="G7" s="8">
        <v>34.498785446762575</v>
      </c>
      <c r="H7" s="8">
        <v>32.651784065925447</v>
      </c>
      <c r="I7" s="8">
        <v>29.064104207842899</v>
      </c>
      <c r="J7" s="8">
        <v>27.448581281908304</v>
      </c>
      <c r="K7" s="8">
        <v>21.130809774796358</v>
      </c>
      <c r="L7" s="8">
        <v>16.067468279951118</v>
      </c>
      <c r="M7" s="8">
        <v>11.026142369043029</v>
      </c>
      <c r="N7" s="8">
        <v>9.1959188588127674</v>
      </c>
      <c r="O7" s="8">
        <v>6.897265395086646</v>
      </c>
      <c r="P7" s="8">
        <v>5.5452596000407794</v>
      </c>
      <c r="Q7" s="8">
        <v>5.1340121192102437</v>
      </c>
    </row>
    <row r="8" spans="1:17" x14ac:dyDescent="0.2">
      <c r="A8" s="8" t="s">
        <v>144</v>
      </c>
      <c r="B8" s="8">
        <v>10.586857146535571</v>
      </c>
      <c r="C8" s="8">
        <v>7.5138711205737367</v>
      </c>
      <c r="D8" s="8">
        <v>8.1493702841989126</v>
      </c>
      <c r="E8" s="8">
        <v>6.8894080279570833</v>
      </c>
      <c r="F8" s="8">
        <v>5.6609473836678612</v>
      </c>
      <c r="G8" s="8">
        <v>6.2485414582547447</v>
      </c>
      <c r="H8" s="8">
        <v>5.8200267032305746</v>
      </c>
      <c r="I8" s="8">
        <v>5.0452154540111129</v>
      </c>
      <c r="J8" s="8">
        <v>4.4316813396825738</v>
      </c>
      <c r="K8" s="8">
        <v>3.7693659159878616</v>
      </c>
      <c r="L8" s="8">
        <v>1.8330491981352683</v>
      </c>
      <c r="M8" s="8">
        <v>0.94551306909326904</v>
      </c>
      <c r="N8" s="8">
        <v>0.75761831507264277</v>
      </c>
      <c r="O8" s="8">
        <v>0.53155488668783557</v>
      </c>
      <c r="P8" s="8">
        <v>0.4740851765793786</v>
      </c>
      <c r="Q8" s="8">
        <v>0.4152809258555854</v>
      </c>
    </row>
    <row r="9" spans="1:17" x14ac:dyDescent="0.2">
      <c r="A9" s="8" t="s">
        <v>145</v>
      </c>
      <c r="B9" s="8">
        <v>3.8461538461538463</v>
      </c>
      <c r="C9" s="8">
        <v>3.8461538461538463</v>
      </c>
      <c r="D9" s="8">
        <v>3.8461538461538463</v>
      </c>
      <c r="E9" s="8">
        <v>3.8461538461538463</v>
      </c>
      <c r="F9" s="8">
        <v>3.3470534808453611</v>
      </c>
      <c r="G9" s="8">
        <v>2.921458718890356</v>
      </c>
      <c r="H9" s="8">
        <v>3.8960891805413671</v>
      </c>
      <c r="I9" s="8">
        <v>4.0093644527106793</v>
      </c>
      <c r="J9" s="8">
        <v>3.7619019260411939</v>
      </c>
      <c r="K9" s="8">
        <v>4.1606772081137198</v>
      </c>
      <c r="L9" s="8">
        <v>4.2922016203249704</v>
      </c>
      <c r="M9" s="8">
        <v>4.5468054940220437</v>
      </c>
      <c r="N9" s="8">
        <v>4.3824300811529593</v>
      </c>
      <c r="O9" s="8">
        <v>2.8077001707101057</v>
      </c>
      <c r="P9" s="8">
        <v>2.8622769161974979</v>
      </c>
      <c r="Q9" s="8">
        <v>3.0766282618925676</v>
      </c>
    </row>
    <row r="61" spans="20:20" x14ac:dyDescent="0.2"/>
  </sheetData>
  <mergeCells count="1">
    <mergeCell ref="A1:N1"/>
  </mergeCells>
  <phoneticPr fontId="4" type="noConversion"/>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6"/>
  <sheetViews>
    <sheetView zoomScale="60" zoomScaleNormal="100" workbookViewId="0">
      <selection activeCell="I17" sqref="I17"/>
    </sheetView>
  </sheetViews>
  <sheetFormatPr baseColWidth="10" defaultColWidth="11" defaultRowHeight="16" x14ac:dyDescent="0.2"/>
  <cols>
    <col min="1" max="1" width="15.83203125" style="7" customWidth="1"/>
    <col min="2" max="16384" width="11" style="7"/>
  </cols>
  <sheetData>
    <row r="1" spans="1:15" x14ac:dyDescent="0.2">
      <c r="A1" s="30" t="s">
        <v>620</v>
      </c>
      <c r="B1" s="30"/>
      <c r="C1" s="30"/>
      <c r="D1" s="30"/>
      <c r="E1" s="30"/>
      <c r="F1" s="30"/>
      <c r="G1" s="30"/>
      <c r="H1" s="30"/>
      <c r="I1" s="30"/>
      <c r="J1" s="30"/>
    </row>
    <row r="2" spans="1:15" x14ac:dyDescent="0.2">
      <c r="B2" s="7">
        <v>2009</v>
      </c>
      <c r="C2" s="7">
        <v>2010</v>
      </c>
      <c r="D2" s="7">
        <v>2011</v>
      </c>
      <c r="E2" s="7">
        <v>2012</v>
      </c>
      <c r="F2" s="7">
        <v>2013</v>
      </c>
      <c r="G2" s="7">
        <v>2014</v>
      </c>
      <c r="H2" s="7">
        <v>2015</v>
      </c>
      <c r="I2" s="7">
        <v>2016</v>
      </c>
      <c r="J2" s="7">
        <v>2017</v>
      </c>
      <c r="K2" s="7">
        <v>2018</v>
      </c>
      <c r="L2" s="7">
        <v>2019</v>
      </c>
      <c r="M2" s="7">
        <v>2020</v>
      </c>
      <c r="N2" s="7">
        <v>2021</v>
      </c>
      <c r="O2" s="7">
        <v>2022</v>
      </c>
    </row>
    <row r="3" spans="1:15" ht="17" x14ac:dyDescent="0.2">
      <c r="A3" s="7" t="s">
        <v>27</v>
      </c>
      <c r="B3" s="7">
        <v>92.7</v>
      </c>
      <c r="C3" s="7">
        <v>93</v>
      </c>
      <c r="D3" s="7">
        <v>91.5</v>
      </c>
      <c r="E3" s="7">
        <v>90.9</v>
      </c>
      <c r="F3" s="7">
        <v>88.4</v>
      </c>
      <c r="G3" s="7">
        <v>87.5</v>
      </c>
      <c r="H3" s="7">
        <v>90.6</v>
      </c>
      <c r="I3" s="7">
        <v>91.4</v>
      </c>
      <c r="J3" s="7">
        <v>91.5</v>
      </c>
      <c r="K3" s="7">
        <v>91.5</v>
      </c>
      <c r="L3" s="7">
        <v>88</v>
      </c>
      <c r="M3" s="7">
        <v>91.8</v>
      </c>
      <c r="N3" s="7">
        <v>91.6</v>
      </c>
      <c r="O3" s="7">
        <v>91.2</v>
      </c>
    </row>
    <row r="4" spans="1:15" ht="17" x14ac:dyDescent="0.2">
      <c r="A4" s="7" t="s">
        <v>146</v>
      </c>
      <c r="B4" s="7">
        <v>3.7</v>
      </c>
      <c r="C4" s="7">
        <v>3.7</v>
      </c>
      <c r="D4" s="7">
        <v>5.4</v>
      </c>
      <c r="E4" s="7">
        <v>5.5</v>
      </c>
      <c r="F4" s="7">
        <v>6.2</v>
      </c>
      <c r="G4" s="7">
        <v>5.9</v>
      </c>
      <c r="H4" s="7">
        <v>5.2</v>
      </c>
      <c r="I4" s="7">
        <v>5.2</v>
      </c>
      <c r="J4" s="7">
        <v>5.6</v>
      </c>
      <c r="K4" s="7">
        <v>5.0999999999999996</v>
      </c>
      <c r="L4" s="7">
        <v>7.9</v>
      </c>
      <c r="M4" s="7">
        <v>4.9000000000000004</v>
      </c>
      <c r="N4" s="7">
        <v>5.0750000000000002</v>
      </c>
      <c r="O4" s="7">
        <v>5.4</v>
      </c>
    </row>
    <row r="5" spans="1:15" ht="17" x14ac:dyDescent="0.2">
      <c r="A5" s="7" t="s">
        <v>147</v>
      </c>
      <c r="B5" s="7">
        <v>2.9</v>
      </c>
      <c r="C5" s="7">
        <v>2.7</v>
      </c>
      <c r="D5" s="7">
        <v>2.6</v>
      </c>
      <c r="E5" s="7">
        <v>2.7</v>
      </c>
      <c r="F5" s="7">
        <v>3.6</v>
      </c>
      <c r="G5" s="7">
        <v>5.9</v>
      </c>
      <c r="H5" s="7">
        <v>3.6</v>
      </c>
      <c r="I5" s="7">
        <v>2.9</v>
      </c>
    </row>
    <row r="6" spans="1:15" ht="17" x14ac:dyDescent="0.2">
      <c r="A6" s="7" t="s">
        <v>148</v>
      </c>
      <c r="J6" s="7">
        <v>2</v>
      </c>
      <c r="K6" s="7">
        <v>2.5</v>
      </c>
      <c r="L6" s="7">
        <v>2.9</v>
      </c>
      <c r="M6" s="7">
        <v>1.9</v>
      </c>
      <c r="N6" s="7">
        <v>1.67</v>
      </c>
      <c r="O6" s="7">
        <v>1.6</v>
      </c>
    </row>
    <row r="7" spans="1:15" ht="17" x14ac:dyDescent="0.2">
      <c r="A7" s="7" t="s">
        <v>149</v>
      </c>
      <c r="F7" s="7">
        <v>0</v>
      </c>
      <c r="G7" s="7">
        <v>0.1</v>
      </c>
      <c r="H7" s="7">
        <v>0.3</v>
      </c>
      <c r="I7" s="7">
        <v>0.3</v>
      </c>
      <c r="J7" s="7">
        <v>0.6</v>
      </c>
      <c r="K7" s="7">
        <v>0.5</v>
      </c>
      <c r="L7" s="7">
        <v>0.8</v>
      </c>
      <c r="M7" s="7">
        <v>1</v>
      </c>
      <c r="N7" s="7">
        <v>1.325</v>
      </c>
      <c r="O7" s="7">
        <v>1.4</v>
      </c>
    </row>
    <row r="8" spans="1:15" ht="17" x14ac:dyDescent="0.2">
      <c r="A8" s="7" t="s">
        <v>150</v>
      </c>
      <c r="B8" s="7">
        <v>0.4</v>
      </c>
      <c r="C8" s="7">
        <v>0.4</v>
      </c>
      <c r="D8" s="7">
        <v>0.4</v>
      </c>
      <c r="E8" s="7">
        <v>0.4</v>
      </c>
      <c r="F8" s="7">
        <v>0.3</v>
      </c>
      <c r="G8" s="7">
        <v>0.3</v>
      </c>
      <c r="H8" s="7">
        <v>0.1</v>
      </c>
      <c r="I8" s="7">
        <v>0</v>
      </c>
      <c r="J8" s="7">
        <v>0</v>
      </c>
    </row>
    <row r="9" spans="1:15" ht="17" x14ac:dyDescent="0.2">
      <c r="A9" s="7" t="s">
        <v>151</v>
      </c>
      <c r="B9" s="7">
        <v>0.1</v>
      </c>
      <c r="C9" s="7">
        <v>0.1</v>
      </c>
      <c r="D9" s="7">
        <v>0</v>
      </c>
      <c r="E9" s="7">
        <v>0.1</v>
      </c>
      <c r="F9" s="7">
        <v>0.6</v>
      </c>
      <c r="G9" s="7">
        <v>0.1</v>
      </c>
      <c r="H9" s="7">
        <v>0</v>
      </c>
      <c r="I9" s="7">
        <v>0</v>
      </c>
      <c r="J9" s="7">
        <v>0</v>
      </c>
    </row>
    <row r="10" spans="1:15" ht="17" x14ac:dyDescent="0.2">
      <c r="A10" s="7" t="s">
        <v>152</v>
      </c>
      <c r="B10" s="7">
        <v>0</v>
      </c>
      <c r="C10" s="7">
        <v>0</v>
      </c>
      <c r="D10" s="7">
        <v>0</v>
      </c>
      <c r="E10" s="7">
        <v>0</v>
      </c>
      <c r="F10" s="7">
        <v>0.1</v>
      </c>
      <c r="G10" s="7">
        <v>0.1</v>
      </c>
      <c r="H10" s="7">
        <v>0.1</v>
      </c>
      <c r="I10" s="7">
        <v>0.1</v>
      </c>
      <c r="J10" s="7">
        <v>0.1</v>
      </c>
      <c r="K10" s="7">
        <v>0.1</v>
      </c>
      <c r="L10" s="7">
        <v>0</v>
      </c>
      <c r="M10" s="7">
        <v>0</v>
      </c>
      <c r="N10" s="7">
        <v>0.02</v>
      </c>
      <c r="O10" s="7">
        <v>0</v>
      </c>
    </row>
    <row r="11" spans="1:15" ht="17" x14ac:dyDescent="0.2">
      <c r="A11" s="7" t="s">
        <v>153</v>
      </c>
      <c r="K11" s="7">
        <v>0.2</v>
      </c>
      <c r="L11" s="7">
        <v>0</v>
      </c>
      <c r="M11" s="7">
        <v>0.05</v>
      </c>
      <c r="N11" s="7">
        <v>6.5000000000000002E-2</v>
      </c>
      <c r="O11" s="7">
        <v>0.1</v>
      </c>
    </row>
    <row r="12" spans="1:15" ht="17" x14ac:dyDescent="0.2">
      <c r="A12" s="7" t="s">
        <v>154</v>
      </c>
      <c r="B12" s="7">
        <v>0.04</v>
      </c>
      <c r="C12" s="7">
        <v>0.03</v>
      </c>
      <c r="D12" s="7">
        <v>0.04</v>
      </c>
      <c r="E12" s="7">
        <v>0.04</v>
      </c>
      <c r="F12" s="7">
        <v>0.03</v>
      </c>
      <c r="G12" s="7">
        <v>0.02</v>
      </c>
      <c r="H12" s="7">
        <v>0.01</v>
      </c>
      <c r="I12" s="7">
        <v>0.06</v>
      </c>
    </row>
    <row r="13" spans="1:15" ht="17" x14ac:dyDescent="0.2">
      <c r="A13" s="7" t="s">
        <v>169</v>
      </c>
      <c r="O13" s="7">
        <v>0.24500000000000455</v>
      </c>
    </row>
    <row r="14" spans="1:15" ht="17" x14ac:dyDescent="0.2">
      <c r="A14" s="7" t="s">
        <v>60</v>
      </c>
      <c r="B14" s="7">
        <v>99.9</v>
      </c>
      <c r="C14" s="7">
        <v>99.9</v>
      </c>
      <c r="D14" s="7">
        <v>99.8</v>
      </c>
      <c r="E14" s="7">
        <v>99.5</v>
      </c>
      <c r="F14" s="7">
        <v>98.2</v>
      </c>
      <c r="G14" s="7">
        <v>99.6</v>
      </c>
      <c r="H14" s="7">
        <v>99.7</v>
      </c>
      <c r="I14" s="7">
        <v>99.8</v>
      </c>
      <c r="J14" s="7">
        <v>99.7</v>
      </c>
      <c r="K14" s="7">
        <v>99.6</v>
      </c>
      <c r="L14" s="7">
        <v>99.6</v>
      </c>
      <c r="M14" s="7">
        <v>99.6</v>
      </c>
      <c r="N14" s="7">
        <v>99.7</v>
      </c>
      <c r="O14" s="7">
        <v>99.6</v>
      </c>
    </row>
    <row r="15" spans="1:15" ht="17" x14ac:dyDescent="0.2">
      <c r="A15" s="7" t="s">
        <v>63</v>
      </c>
      <c r="B15" s="7">
        <v>8617.7000000000007</v>
      </c>
      <c r="C15" s="7">
        <v>8664.6</v>
      </c>
      <c r="D15" s="7">
        <v>8400.7000000000007</v>
      </c>
      <c r="E15" s="7">
        <v>8295.2999999999993</v>
      </c>
      <c r="F15" s="7">
        <v>7862.5</v>
      </c>
      <c r="G15" s="7">
        <v>7717.3</v>
      </c>
      <c r="H15" s="7">
        <v>8239.4</v>
      </c>
      <c r="I15" s="7">
        <v>8382.5</v>
      </c>
      <c r="J15" s="7">
        <v>8408</v>
      </c>
      <c r="K15" s="7">
        <v>8398.7000000000007</v>
      </c>
      <c r="L15" s="7">
        <v>7815.5</v>
      </c>
      <c r="M15" s="7">
        <v>8455.9</v>
      </c>
      <c r="N15" s="7">
        <v>8420.9</v>
      </c>
      <c r="O15" s="7">
        <v>8351.4</v>
      </c>
    </row>
    <row r="16" spans="1:15" ht="204" customHeight="1" x14ac:dyDescent="0.2">
      <c r="A16" s="33" t="s">
        <v>658</v>
      </c>
      <c r="B16" s="33"/>
      <c r="C16" s="33"/>
      <c r="D16" s="33"/>
    </row>
  </sheetData>
  <mergeCells count="2">
    <mergeCell ref="A1:J1"/>
    <mergeCell ref="A16:D16"/>
  </mergeCells>
  <phoneticPr fontId="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37E62-F49B-224A-ACD3-F2A38C27DC64}">
  <dimension ref="A1:L19"/>
  <sheetViews>
    <sheetView zoomScale="62" zoomScaleNormal="100" workbookViewId="0">
      <selection activeCell="F30" sqref="F30"/>
    </sheetView>
  </sheetViews>
  <sheetFormatPr baseColWidth="10" defaultColWidth="11" defaultRowHeight="16" x14ac:dyDescent="0.2"/>
  <cols>
    <col min="1" max="1" width="13.6640625" style="8" bestFit="1" customWidth="1"/>
    <col min="2" max="2" width="11" style="8"/>
    <col min="3" max="3" width="11.1640625" style="8" bestFit="1" customWidth="1"/>
    <col min="4" max="16" width="11.6640625" style="8" bestFit="1" customWidth="1"/>
    <col min="17" max="27" width="15.83203125" style="8" customWidth="1"/>
    <col min="28" max="16384" width="11" style="8"/>
  </cols>
  <sheetData>
    <row r="1" spans="1:12" x14ac:dyDescent="0.2">
      <c r="A1" s="32" t="s">
        <v>621</v>
      </c>
      <c r="B1" s="32"/>
      <c r="C1" s="32"/>
      <c r="D1" s="32"/>
      <c r="E1" s="32"/>
    </row>
    <row r="2" spans="1:12" x14ac:dyDescent="0.2">
      <c r="B2" s="8">
        <v>2012</v>
      </c>
      <c r="C2" s="8">
        <v>2013</v>
      </c>
      <c r="D2" s="8">
        <v>2014</v>
      </c>
      <c r="E2" s="8">
        <v>2015</v>
      </c>
      <c r="F2" s="8">
        <v>2016</v>
      </c>
      <c r="G2" s="8">
        <v>2017</v>
      </c>
      <c r="H2" s="8">
        <v>2018</v>
      </c>
      <c r="I2" s="8">
        <v>2019</v>
      </c>
      <c r="J2" s="8">
        <v>2020</v>
      </c>
      <c r="K2" s="8">
        <v>2021</v>
      </c>
      <c r="L2" s="8">
        <v>2022</v>
      </c>
    </row>
    <row r="3" spans="1:12" x14ac:dyDescent="0.2">
      <c r="A3" s="8" t="s">
        <v>517</v>
      </c>
      <c r="B3" s="8">
        <v>49.9</v>
      </c>
      <c r="C3" s="8">
        <v>55.2</v>
      </c>
      <c r="D3" s="8">
        <v>65.400000000000006</v>
      </c>
      <c r="E3" s="8">
        <v>79.900000000000006</v>
      </c>
      <c r="F3" s="8">
        <v>74.099999999999994</v>
      </c>
      <c r="G3" s="8">
        <v>75.5</v>
      </c>
      <c r="H3" s="8">
        <v>67.7</v>
      </c>
      <c r="I3" s="8">
        <v>66</v>
      </c>
      <c r="J3" s="8">
        <v>62</v>
      </c>
      <c r="K3" s="8">
        <v>61</v>
      </c>
      <c r="L3" s="8">
        <v>59.7</v>
      </c>
    </row>
    <row r="4" spans="1:12" x14ac:dyDescent="0.2">
      <c r="A4" s="8" t="s">
        <v>47</v>
      </c>
      <c r="B4" s="8">
        <v>8.1999999999999993</v>
      </c>
      <c r="C4" s="8">
        <v>8.6999999999999993</v>
      </c>
      <c r="D4" s="8">
        <v>5.2</v>
      </c>
      <c r="E4" s="8">
        <v>3.8</v>
      </c>
      <c r="F4" s="8">
        <v>5.0999999999999996</v>
      </c>
      <c r="G4" s="8">
        <v>4.8</v>
      </c>
      <c r="H4" s="8">
        <v>17.100000000000001</v>
      </c>
      <c r="I4" s="8">
        <v>16</v>
      </c>
      <c r="J4" s="8">
        <v>15</v>
      </c>
      <c r="K4" s="8">
        <v>14</v>
      </c>
      <c r="L4" s="8">
        <v>13.9</v>
      </c>
    </row>
    <row r="5" spans="1:12" x14ac:dyDescent="0.2">
      <c r="A5" s="8" t="s">
        <v>155</v>
      </c>
      <c r="B5" s="8">
        <v>10.199999999999999</v>
      </c>
      <c r="C5" s="8">
        <v>16.899999999999999</v>
      </c>
      <c r="D5" s="8">
        <v>13.7</v>
      </c>
      <c r="E5" s="8">
        <v>10</v>
      </c>
      <c r="F5" s="8">
        <v>14.4</v>
      </c>
      <c r="G5" s="8">
        <v>15.1</v>
      </c>
    </row>
    <row r="6" spans="1:12" x14ac:dyDescent="0.2">
      <c r="A6" s="8" t="s">
        <v>479</v>
      </c>
      <c r="B6" s="8">
        <v>18.600000000000001</v>
      </c>
      <c r="C6" s="8">
        <v>8.4</v>
      </c>
      <c r="D6" s="8">
        <v>3.7</v>
      </c>
      <c r="E6" s="8">
        <v>1.4</v>
      </c>
      <c r="F6" s="8">
        <v>1.1000000000000001</v>
      </c>
      <c r="G6" s="8">
        <v>0.7</v>
      </c>
    </row>
    <row r="7" spans="1:12" x14ac:dyDescent="0.2">
      <c r="A7" s="8" t="s">
        <v>157</v>
      </c>
      <c r="H7" s="8">
        <v>1.6</v>
      </c>
      <c r="I7" s="8">
        <v>4</v>
      </c>
      <c r="J7" s="8">
        <v>10</v>
      </c>
      <c r="K7" s="8">
        <v>11</v>
      </c>
      <c r="L7" s="8">
        <v>13.5</v>
      </c>
    </row>
    <row r="8" spans="1:12" x14ac:dyDescent="0.2">
      <c r="A8" s="8" t="s">
        <v>156</v>
      </c>
      <c r="H8" s="8">
        <v>13.6</v>
      </c>
      <c r="I8" s="8">
        <v>13</v>
      </c>
      <c r="J8" s="8">
        <v>13</v>
      </c>
      <c r="K8" s="8">
        <v>13</v>
      </c>
      <c r="L8" s="8">
        <v>13</v>
      </c>
    </row>
    <row r="9" spans="1:12" ht="18" customHeight="1" x14ac:dyDescent="0.2">
      <c r="A9" s="8" t="s">
        <v>158</v>
      </c>
      <c r="B9" s="8">
        <v>6.1</v>
      </c>
      <c r="C9" s="8">
        <v>5.9</v>
      </c>
      <c r="D9" s="8">
        <v>3.9</v>
      </c>
      <c r="E9" s="8">
        <v>2.4</v>
      </c>
      <c r="F9" s="8">
        <v>2.2999999999999998</v>
      </c>
      <c r="G9" s="8">
        <v>1.5</v>
      </c>
    </row>
    <row r="10" spans="1:12" x14ac:dyDescent="0.2">
      <c r="A10" s="8" t="s">
        <v>147</v>
      </c>
      <c r="C10" s="8">
        <v>2.2999999999999998</v>
      </c>
      <c r="D10" s="8">
        <v>7.2</v>
      </c>
      <c r="E10" s="8">
        <v>2.1</v>
      </c>
      <c r="F10" s="8">
        <v>2.5</v>
      </c>
      <c r="G10" s="8">
        <v>1.4</v>
      </c>
    </row>
    <row r="11" spans="1:12" x14ac:dyDescent="0.2">
      <c r="A11" s="8" t="s">
        <v>27</v>
      </c>
      <c r="B11" s="8">
        <v>2.2000000000000002</v>
      </c>
      <c r="C11" s="8">
        <v>2.2000000000000002</v>
      </c>
      <c r="D11" s="8">
        <v>0.7</v>
      </c>
      <c r="E11" s="8">
        <v>0.2</v>
      </c>
    </row>
    <row r="12" spans="1:12" x14ac:dyDescent="0.2">
      <c r="A12" s="8" t="s">
        <v>159</v>
      </c>
      <c r="B12" s="8">
        <v>0.2</v>
      </c>
      <c r="C12" s="8">
        <v>0.2</v>
      </c>
      <c r="D12" s="8">
        <v>0.1</v>
      </c>
      <c r="E12" s="8">
        <v>0.1</v>
      </c>
      <c r="F12" s="8">
        <v>0.2</v>
      </c>
      <c r="G12" s="8">
        <v>0.2</v>
      </c>
    </row>
    <row r="13" spans="1:12" x14ac:dyDescent="0.2">
      <c r="A13" s="8" t="s">
        <v>27</v>
      </c>
      <c r="F13" s="8">
        <v>0.30000000000000004</v>
      </c>
      <c r="G13" s="8">
        <v>0.7</v>
      </c>
    </row>
    <row r="14" spans="1:12" x14ac:dyDescent="0.2">
      <c r="A14" s="8" t="s">
        <v>480</v>
      </c>
      <c r="B14" s="8">
        <v>0.2</v>
      </c>
      <c r="C14" s="8">
        <v>0.1</v>
      </c>
      <c r="D14" s="8">
        <v>0.1</v>
      </c>
      <c r="E14" s="8">
        <v>0</v>
      </c>
      <c r="F14" s="8">
        <v>0.1</v>
      </c>
      <c r="G14" s="8">
        <v>0.1</v>
      </c>
    </row>
    <row r="15" spans="1:12" x14ac:dyDescent="0.2">
      <c r="A15" s="8" t="s">
        <v>481</v>
      </c>
      <c r="E15" s="8">
        <v>0</v>
      </c>
      <c r="F15" s="8">
        <v>0</v>
      </c>
      <c r="G15" s="8">
        <v>0</v>
      </c>
    </row>
    <row r="17" spans="1:12" x14ac:dyDescent="0.2">
      <c r="A17" s="5" t="s">
        <v>60</v>
      </c>
      <c r="B17" s="8">
        <v>86.9</v>
      </c>
      <c r="C17" s="8">
        <v>89.2</v>
      </c>
      <c r="D17" s="8">
        <v>91.5</v>
      </c>
      <c r="E17" s="8">
        <v>96.1</v>
      </c>
      <c r="F17" s="8">
        <v>96.15</v>
      </c>
      <c r="G17" s="8">
        <v>96.9</v>
      </c>
      <c r="H17" s="8">
        <v>100</v>
      </c>
      <c r="I17" s="8">
        <v>99</v>
      </c>
      <c r="J17" s="8">
        <v>100</v>
      </c>
      <c r="K17" s="8">
        <v>99</v>
      </c>
      <c r="L17" s="8">
        <v>100</v>
      </c>
    </row>
    <row r="18" spans="1:12" x14ac:dyDescent="0.2">
      <c r="A18" s="5" t="s">
        <v>63</v>
      </c>
      <c r="B18" s="8">
        <v>3049</v>
      </c>
      <c r="C18" s="8">
        <v>3523.9</v>
      </c>
      <c r="D18" s="8">
        <v>4573.1000000000004</v>
      </c>
      <c r="E18" s="8">
        <v>6510.4</v>
      </c>
      <c r="F18" s="8">
        <v>5743.2</v>
      </c>
      <c r="G18" s="8">
        <v>5957.4</v>
      </c>
      <c r="H18" s="8">
        <v>5063.22</v>
      </c>
      <c r="I18" s="8">
        <v>4797</v>
      </c>
      <c r="J18" s="8">
        <v>4338</v>
      </c>
      <c r="K18" s="8">
        <v>4207</v>
      </c>
      <c r="L18" s="8">
        <v>4105</v>
      </c>
    </row>
    <row r="19" spans="1:12" x14ac:dyDescent="0.2">
      <c r="A19" s="5"/>
    </row>
  </sheetData>
  <mergeCells count="1">
    <mergeCell ref="A1: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4"/>
  <sheetViews>
    <sheetView zoomScale="82" zoomScaleNormal="120" workbookViewId="0">
      <selection activeCell="G35" sqref="G35"/>
    </sheetView>
  </sheetViews>
  <sheetFormatPr baseColWidth="10" defaultColWidth="11" defaultRowHeight="16" x14ac:dyDescent="0.2"/>
  <cols>
    <col min="1" max="1" width="29.83203125" style="8" bestFit="1" customWidth="1"/>
    <col min="2" max="2" width="12" style="8" customWidth="1"/>
    <col min="3" max="3" width="16.33203125" style="8" customWidth="1"/>
    <col min="4" max="4" width="14.33203125" style="8" customWidth="1"/>
    <col min="5" max="5" width="16" style="8" customWidth="1"/>
    <col min="6" max="6" width="15.6640625" style="8" customWidth="1"/>
    <col min="7" max="7" width="9.5" style="8" customWidth="1"/>
    <col min="8" max="8" width="18.1640625" style="8" bestFit="1" customWidth="1"/>
    <col min="9" max="9" width="17.6640625" style="8" bestFit="1" customWidth="1"/>
    <col min="10" max="10" width="18.83203125" style="8" bestFit="1" customWidth="1"/>
    <col min="11" max="11" width="30.83203125" style="8" bestFit="1" customWidth="1"/>
    <col min="12" max="12" width="22.6640625" style="8" bestFit="1" customWidth="1"/>
    <col min="13" max="13" width="17.1640625" style="8" bestFit="1" customWidth="1"/>
    <col min="14" max="14" width="22.6640625" style="8" bestFit="1" customWidth="1"/>
    <col min="15" max="15" width="21" style="8" bestFit="1" customWidth="1"/>
    <col min="16" max="16" width="28.33203125" style="8" customWidth="1"/>
    <col min="17" max="16384" width="11" style="8"/>
  </cols>
  <sheetData>
    <row r="1" spans="1:15" ht="54" customHeight="1" x14ac:dyDescent="0.2">
      <c r="A1" s="32" t="s">
        <v>622</v>
      </c>
      <c r="B1" s="32"/>
      <c r="C1" s="32"/>
      <c r="D1" s="32"/>
      <c r="E1" s="32"/>
      <c r="F1" s="32"/>
      <c r="H1" s="31"/>
      <c r="I1" s="31"/>
      <c r="J1" s="31"/>
      <c r="K1" s="31"/>
      <c r="L1" s="31"/>
      <c r="M1" s="31"/>
      <c r="N1" s="31"/>
      <c r="O1" s="31"/>
    </row>
    <row r="2" spans="1:15" ht="53" customHeight="1" x14ac:dyDescent="0.2">
      <c r="A2" s="28"/>
      <c r="B2" s="28">
        <v>2014</v>
      </c>
      <c r="C2" s="28">
        <v>2016</v>
      </c>
      <c r="D2" s="28">
        <v>2018</v>
      </c>
      <c r="E2" s="28">
        <v>2020</v>
      </c>
      <c r="F2" s="28">
        <v>2022</v>
      </c>
    </row>
    <row r="3" spans="1:15" x14ac:dyDescent="0.2">
      <c r="A3" s="28" t="s">
        <v>27</v>
      </c>
      <c r="B3" s="27">
        <v>2028.4</v>
      </c>
      <c r="C3" s="27">
        <v>2769.52</v>
      </c>
      <c r="D3" s="27">
        <v>3784.06</v>
      </c>
      <c r="E3" s="27">
        <v>4724.4799999999996</v>
      </c>
      <c r="F3" s="27">
        <v>7281.79</v>
      </c>
    </row>
    <row r="4" spans="1:15" x14ac:dyDescent="0.2">
      <c r="A4" s="28" t="s">
        <v>478</v>
      </c>
      <c r="B4" s="27">
        <v>483.3</v>
      </c>
      <c r="C4" s="27">
        <v>1128.9000000000001</v>
      </c>
      <c r="D4" s="27">
        <v>2071</v>
      </c>
      <c r="E4" s="27">
        <v>2928.5</v>
      </c>
      <c r="F4" s="27">
        <v>3838.84</v>
      </c>
    </row>
    <row r="5" spans="1:15" x14ac:dyDescent="0.2">
      <c r="A5" s="28" t="s">
        <v>34</v>
      </c>
      <c r="B5" s="27"/>
      <c r="C5" s="27">
        <v>131.38999999999999</v>
      </c>
      <c r="D5" s="27">
        <v>435.53</v>
      </c>
      <c r="E5" s="27">
        <v>825.21</v>
      </c>
      <c r="F5" s="27">
        <v>1529.28</v>
      </c>
    </row>
    <row r="6" spans="1:15" x14ac:dyDescent="0.2">
      <c r="A6" s="28" t="s">
        <v>160</v>
      </c>
      <c r="B6" s="27">
        <v>125.81</v>
      </c>
      <c r="C6" s="27">
        <v>123.29096</v>
      </c>
      <c r="D6" s="27">
        <v>161.43539999999999</v>
      </c>
      <c r="E6" s="27">
        <v>207.07400000000001</v>
      </c>
      <c r="F6" s="27">
        <v>366.40849040000001</v>
      </c>
    </row>
    <row r="7" spans="1:15" x14ac:dyDescent="0.2">
      <c r="A7" s="28" t="s">
        <v>157</v>
      </c>
      <c r="B7" s="27"/>
      <c r="C7" s="27"/>
      <c r="D7" s="27"/>
      <c r="E7" s="27">
        <v>116.09</v>
      </c>
      <c r="F7" s="27">
        <v>339.48032419999998</v>
      </c>
    </row>
    <row r="8" spans="1:15" x14ac:dyDescent="0.2">
      <c r="A8" s="28" t="s">
        <v>156</v>
      </c>
      <c r="B8" s="27"/>
      <c r="C8" s="27"/>
      <c r="D8" s="27">
        <v>46.08</v>
      </c>
      <c r="E8" s="27">
        <v>103.09</v>
      </c>
      <c r="F8" s="27">
        <v>197.6973653</v>
      </c>
    </row>
    <row r="9" spans="1:15" x14ac:dyDescent="0.2">
      <c r="A9" s="28" t="s">
        <v>47</v>
      </c>
      <c r="B9" s="27">
        <v>99.9</v>
      </c>
      <c r="C9" s="27">
        <v>106.2</v>
      </c>
      <c r="D9" s="27">
        <v>86.9</v>
      </c>
      <c r="E9" s="27">
        <v>124.3</v>
      </c>
      <c r="F9" s="27">
        <v>165.24704019999999</v>
      </c>
    </row>
    <row r="10" spans="1:15" x14ac:dyDescent="0.2">
      <c r="A10" s="28" t="s">
        <v>206</v>
      </c>
      <c r="B10" s="27">
        <v>88</v>
      </c>
      <c r="C10" s="27">
        <v>93.8</v>
      </c>
      <c r="D10" s="27">
        <v>116.4</v>
      </c>
      <c r="E10" s="27">
        <v>92.2</v>
      </c>
      <c r="F10" s="27">
        <v>119.49</v>
      </c>
    </row>
    <row r="11" spans="1:15" x14ac:dyDescent="0.2">
      <c r="A11" s="28" t="s">
        <v>161</v>
      </c>
      <c r="B11" s="27">
        <v>52.5</v>
      </c>
      <c r="C11" s="27">
        <v>70</v>
      </c>
      <c r="D11" s="27">
        <v>95.4</v>
      </c>
      <c r="E11" s="27">
        <v>99.7</v>
      </c>
      <c r="F11" s="27">
        <v>101.8</v>
      </c>
    </row>
    <row r="12" spans="1:15" x14ac:dyDescent="0.2">
      <c r="A12" s="28" t="s">
        <v>18</v>
      </c>
      <c r="B12" s="27">
        <v>55.3</v>
      </c>
      <c r="C12" s="27">
        <v>55</v>
      </c>
      <c r="D12" s="27">
        <v>71.239999999999995</v>
      </c>
      <c r="E12" s="27">
        <v>74.61</v>
      </c>
      <c r="F12" s="27">
        <v>100.99</v>
      </c>
    </row>
    <row r="13" spans="1:15" x14ac:dyDescent="0.2">
      <c r="A13" s="28" t="s">
        <v>195</v>
      </c>
      <c r="B13" s="27">
        <v>19.7</v>
      </c>
      <c r="C13" s="27">
        <v>30.25</v>
      </c>
      <c r="D13" s="27">
        <v>42</v>
      </c>
      <c r="E13" s="27">
        <v>38.200000000000003</v>
      </c>
      <c r="F13" s="27">
        <v>85.7</v>
      </c>
    </row>
    <row r="14" spans="1:15" x14ac:dyDescent="0.2">
      <c r="A14" s="28" t="s">
        <v>24</v>
      </c>
      <c r="B14" s="27">
        <v>41.9</v>
      </c>
      <c r="C14" s="27">
        <v>47.9</v>
      </c>
      <c r="D14" s="27">
        <v>46.53</v>
      </c>
      <c r="E14" s="27">
        <v>38.85</v>
      </c>
      <c r="F14" s="27">
        <v>65.64</v>
      </c>
    </row>
    <row r="15" spans="1:15" x14ac:dyDescent="0.2">
      <c r="A15" s="28" t="s">
        <v>22</v>
      </c>
      <c r="B15" s="27">
        <v>34.799999999999997</v>
      </c>
      <c r="C15" s="27">
        <v>30.9</v>
      </c>
      <c r="D15" s="27">
        <v>38.39</v>
      </c>
      <c r="E15" s="27">
        <v>46.1</v>
      </c>
      <c r="F15" s="27">
        <v>59.81</v>
      </c>
    </row>
    <row r="16" spans="1:15" x14ac:dyDescent="0.2">
      <c r="A16" s="28" t="s">
        <v>41</v>
      </c>
      <c r="B16" s="27">
        <v>126</v>
      </c>
      <c r="C16" s="27">
        <v>133.1</v>
      </c>
      <c r="D16" s="27">
        <v>65.7</v>
      </c>
      <c r="E16" s="27">
        <v>76.340488500000006</v>
      </c>
      <c r="F16" s="27">
        <v>55.231777839999999</v>
      </c>
    </row>
    <row r="17" spans="1:6" x14ac:dyDescent="0.2">
      <c r="A17" s="28" t="s">
        <v>20</v>
      </c>
      <c r="B17" s="27">
        <v>41.2</v>
      </c>
      <c r="C17" s="27">
        <v>47.9</v>
      </c>
      <c r="D17" s="27">
        <v>49.2</v>
      </c>
      <c r="E17" s="27">
        <v>29.39</v>
      </c>
      <c r="F17" s="27">
        <v>51.29</v>
      </c>
    </row>
    <row r="18" spans="1:6" x14ac:dyDescent="0.2">
      <c r="A18" s="28" t="s">
        <v>450</v>
      </c>
      <c r="B18" s="27"/>
      <c r="C18" s="27">
        <v>9.8699999999999992</v>
      </c>
      <c r="D18" s="27">
        <v>19.309999999999999</v>
      </c>
      <c r="E18" s="27">
        <v>24.11</v>
      </c>
      <c r="F18" s="27">
        <v>49.454906780000002</v>
      </c>
    </row>
    <row r="19" spans="1:6" x14ac:dyDescent="0.2">
      <c r="A19" s="28" t="s">
        <v>163</v>
      </c>
      <c r="B19" s="27">
        <v>22.2</v>
      </c>
      <c r="C19" s="27">
        <v>18.100000000000001</v>
      </c>
      <c r="D19" s="27">
        <v>27.575500000000002</v>
      </c>
      <c r="E19" s="27">
        <v>12.5</v>
      </c>
      <c r="F19" s="27">
        <v>31.103000000000002</v>
      </c>
    </row>
    <row r="20" spans="1:6" x14ac:dyDescent="0.2">
      <c r="A20" s="28" t="s">
        <v>162</v>
      </c>
      <c r="B20" s="27">
        <v>49.3</v>
      </c>
      <c r="C20" s="27">
        <v>73.5</v>
      </c>
      <c r="D20" s="27">
        <v>50.8</v>
      </c>
      <c r="E20" s="27">
        <v>31.99</v>
      </c>
      <c r="F20" s="27">
        <v>26.14365282</v>
      </c>
    </row>
    <row r="21" spans="1:6" x14ac:dyDescent="0.2">
      <c r="A21" s="28" t="s">
        <v>164</v>
      </c>
      <c r="B21" s="27">
        <v>31.6</v>
      </c>
      <c r="C21" s="27">
        <v>14.8</v>
      </c>
      <c r="D21" s="27">
        <v>22.503599999999999</v>
      </c>
      <c r="E21" s="27">
        <v>10.28</v>
      </c>
      <c r="F21" s="27">
        <v>23.178803649999999</v>
      </c>
    </row>
    <row r="22" spans="1:6" x14ac:dyDescent="0.2">
      <c r="A22" s="28" t="s">
        <v>165</v>
      </c>
      <c r="B22" s="27"/>
      <c r="C22" s="27">
        <v>11.6</v>
      </c>
      <c r="D22" s="27">
        <v>18.3</v>
      </c>
      <c r="E22" s="27">
        <v>10.28</v>
      </c>
      <c r="F22" s="27">
        <v>17.514005919999999</v>
      </c>
    </row>
    <row r="23" spans="1:6" x14ac:dyDescent="0.2">
      <c r="A23" s="28" t="s">
        <v>482</v>
      </c>
      <c r="B23" s="27"/>
      <c r="C23" s="27"/>
      <c r="D23" s="27"/>
      <c r="E23" s="27"/>
      <c r="F23" s="27">
        <v>4.931226798</v>
      </c>
    </row>
    <row r="24" spans="1:6" x14ac:dyDescent="0.2">
      <c r="A24" s="28" t="s">
        <v>166</v>
      </c>
      <c r="B24" s="27">
        <v>3.9</v>
      </c>
      <c r="C24" s="27">
        <v>2.7</v>
      </c>
      <c r="D24" s="27">
        <v>2.2000000000000002</v>
      </c>
      <c r="E24" s="27">
        <v>2</v>
      </c>
      <c r="F24" s="27">
        <v>3.52</v>
      </c>
    </row>
    <row r="25" spans="1:6" x14ac:dyDescent="0.2">
      <c r="A25" s="28" t="s">
        <v>167</v>
      </c>
      <c r="B25" s="27">
        <v>14.228999999999999</v>
      </c>
      <c r="C25" s="27">
        <v>10.850844693600001</v>
      </c>
      <c r="D25" s="27">
        <v>7.6</v>
      </c>
      <c r="E25" s="27">
        <v>7</v>
      </c>
      <c r="F25" s="27">
        <v>2.1192049050000001</v>
      </c>
    </row>
    <row r="26" spans="1:6" x14ac:dyDescent="0.2">
      <c r="A26" s="28" t="s">
        <v>168</v>
      </c>
      <c r="B26" s="27">
        <v>29.9</v>
      </c>
      <c r="C26" s="27">
        <v>26.8</v>
      </c>
      <c r="D26" s="27">
        <v>16.2</v>
      </c>
      <c r="E26" s="27"/>
      <c r="F26" s="27"/>
    </row>
    <row r="27" spans="1:6" x14ac:dyDescent="0.2">
      <c r="A27" s="28" t="s">
        <v>169</v>
      </c>
      <c r="B27" s="27">
        <f>B28-SUM(B3:B26)</f>
        <v>445.06099999999969</v>
      </c>
      <c r="C27" s="27">
        <f>C28-SUM(C3:C26)</f>
        <v>548.6281953063999</v>
      </c>
      <c r="D27" s="27">
        <f>D28-SUM(D3:D26)</f>
        <v>317.64550000000145</v>
      </c>
      <c r="E27" s="27">
        <f>E28-SUM(E3:E26)</f>
        <v>1.7055114999966463</v>
      </c>
      <c r="F27" s="27"/>
    </row>
    <row r="28" spans="1:6" x14ac:dyDescent="0.2">
      <c r="A28" s="28" t="s">
        <v>170</v>
      </c>
      <c r="B28" s="27">
        <v>3793</v>
      </c>
      <c r="C28" s="27">
        <v>5485</v>
      </c>
      <c r="D28" s="27">
        <v>7592</v>
      </c>
      <c r="E28" s="27">
        <v>9624</v>
      </c>
      <c r="F28" s="27">
        <v>14391</v>
      </c>
    </row>
    <row r="29" spans="1:6" x14ac:dyDescent="0.2">
      <c r="A29" s="28"/>
      <c r="B29" s="27">
        <v>2014</v>
      </c>
      <c r="C29" s="27">
        <v>2016</v>
      </c>
      <c r="D29" s="27">
        <v>2018</v>
      </c>
      <c r="E29" s="27">
        <v>2020</v>
      </c>
      <c r="F29" s="27">
        <v>2022</v>
      </c>
    </row>
    <row r="30" spans="1:6" x14ac:dyDescent="0.2">
      <c r="A30" s="28" t="s">
        <v>171</v>
      </c>
      <c r="B30" s="27">
        <f>(B3+B4)/B28*100</f>
        <v>66.21935143685738</v>
      </c>
      <c r="C30" s="27">
        <f>(C3+C4)/C28*100</f>
        <v>71.074202370100267</v>
      </c>
      <c r="D30" s="27">
        <f>(D3+D4)/D28*100</f>
        <v>77.121443624868277</v>
      </c>
      <c r="E30" s="27">
        <f>(E3+E4)/E28*100</f>
        <v>79.519742310889441</v>
      </c>
      <c r="F30" s="27">
        <f>(F3+F4)/F28*100</f>
        <v>77.274894030991604</v>
      </c>
    </row>
    <row r="31" spans="1:6" x14ac:dyDescent="0.2">
      <c r="A31" s="28" t="s">
        <v>60</v>
      </c>
      <c r="B31" s="27">
        <f>(B3+B4+B6+B16)/B28*100</f>
        <v>72.858159767993683</v>
      </c>
      <c r="C31" s="27">
        <f>(C3+C4+C5+C16)/C28*100</f>
        <v>75.896262534184132</v>
      </c>
      <c r="D31" s="27">
        <f>(D3+D4+D5+D6)/D28*100</f>
        <v>84.984528451001054</v>
      </c>
      <c r="E31" s="27">
        <f>(E3+E4+E5+E6)/E28*100</f>
        <v>90.245885286783036</v>
      </c>
      <c r="F31" s="27">
        <f>(F3+F4+F5+F6)/F28*100</f>
        <v>90.447630396775764</v>
      </c>
    </row>
    <row r="32" spans="1:6" x14ac:dyDescent="0.2">
      <c r="A32" s="28" t="s">
        <v>61</v>
      </c>
      <c r="B32" s="27">
        <f>B31+(B9+B10+B11+B12+B20+B14)/B28</f>
        <v>72.960163459003439</v>
      </c>
      <c r="C32" s="27">
        <f>C31+(C6+C9+C10+C11+C14+C12)/C28</f>
        <v>75.986725790337275</v>
      </c>
      <c r="D32" s="27">
        <f>D31+(D6+D9+D10+D11+D16+D12)/D28</f>
        <v>85.0631737881981</v>
      </c>
      <c r="E32" s="27">
        <f>E31+(E8+E9+E10+E11+E16+E7)/E28</f>
        <v>90.30944726605361</v>
      </c>
      <c r="F32" s="27">
        <f>F31+(F7+F8+F9+F10+F11+F13)/F28</f>
        <v>90.517772480696266</v>
      </c>
    </row>
    <row r="33" spans="1:6" x14ac:dyDescent="0.2">
      <c r="A33" s="28" t="s">
        <v>63</v>
      </c>
      <c r="B33" s="27">
        <v>3067.6027186641081</v>
      </c>
      <c r="C33" s="27">
        <v>3003.5742008073012</v>
      </c>
      <c r="D33" s="27">
        <v>3275.2988206254727</v>
      </c>
      <c r="E33" s="27">
        <v>3422.3253051283118</v>
      </c>
      <c r="F33" s="27">
        <v>3403.0025141731066</v>
      </c>
    </row>
    <row r="34" spans="1:6" x14ac:dyDescent="0.2">
      <c r="A34" s="27"/>
      <c r="B34" s="27"/>
      <c r="C34" s="27"/>
      <c r="D34" s="27"/>
      <c r="E34" s="27"/>
      <c r="F34" s="27"/>
    </row>
    <row r="35" spans="1:6" x14ac:dyDescent="0.2">
      <c r="A35" s="28" t="s">
        <v>676</v>
      </c>
      <c r="B35" s="27">
        <v>66.21935143685738</v>
      </c>
      <c r="C35" s="27">
        <v>71.074202370100281</v>
      </c>
      <c r="D35" s="27">
        <v>77.121443624868277</v>
      </c>
      <c r="E35" s="27">
        <v>79.519742310889441</v>
      </c>
      <c r="F35" s="27">
        <v>77.274894030991604</v>
      </c>
    </row>
    <row r="36" spans="1:6" x14ac:dyDescent="0.2">
      <c r="A36" s="28" t="s">
        <v>677</v>
      </c>
      <c r="B36" s="27"/>
      <c r="C36" s="27">
        <v>73.469644484958991</v>
      </c>
      <c r="D36" s="27">
        <v>82.858140147523699</v>
      </c>
      <c r="E36" s="27">
        <v>88.094243557772231</v>
      </c>
      <c r="F36" s="27">
        <v>87.901535682023493</v>
      </c>
    </row>
    <row r="37" spans="1:6" x14ac:dyDescent="0.2">
      <c r="A37" s="28" t="s">
        <v>63</v>
      </c>
      <c r="B37" s="27">
        <v>3067.6027186641081</v>
      </c>
      <c r="C37" s="27">
        <v>3003.5742008073012</v>
      </c>
      <c r="D37" s="27">
        <v>3275.2988206254727</v>
      </c>
      <c r="E37" s="27">
        <v>3422.3253051283118</v>
      </c>
      <c r="F37" s="27">
        <v>3403.0025141731066</v>
      </c>
    </row>
    <row r="38" spans="1:6" x14ac:dyDescent="0.2">
      <c r="A38" s="27"/>
      <c r="B38" s="27"/>
      <c r="C38" s="27"/>
      <c r="D38" s="27"/>
      <c r="E38" s="27"/>
      <c r="F38" s="27"/>
    </row>
    <row r="39" spans="1:6" x14ac:dyDescent="0.2">
      <c r="A39" s="5"/>
    </row>
    <row r="40" spans="1:6" x14ac:dyDescent="0.2">
      <c r="A40" s="5"/>
    </row>
    <row r="51" ht="19" customHeight="1" x14ac:dyDescent="0.2"/>
    <row r="52" ht="16" customHeight="1" x14ac:dyDescent="0.2"/>
    <row r="53" ht="15" customHeight="1" x14ac:dyDescent="0.2"/>
    <row r="54" ht="20" customHeight="1" x14ac:dyDescent="0.2"/>
  </sheetData>
  <mergeCells count="2">
    <mergeCell ref="A1:F1"/>
    <mergeCell ref="H1:O1"/>
  </mergeCells>
  <phoneticPr fontId="4" type="noConversion"/>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5F6B8-E157-7245-8DC1-5B7F86CF40BC}">
  <dimension ref="A1:H1"/>
  <sheetViews>
    <sheetView zoomScale="63" workbookViewId="0">
      <selection activeCell="L24" sqref="L24"/>
    </sheetView>
  </sheetViews>
  <sheetFormatPr baseColWidth="10" defaultColWidth="11" defaultRowHeight="16" x14ac:dyDescent="0.2"/>
  <sheetData>
    <row r="1" spans="1:8" x14ac:dyDescent="0.2">
      <c r="A1" s="34" t="s">
        <v>623</v>
      </c>
      <c r="B1" s="34"/>
      <c r="C1" s="34"/>
      <c r="D1" s="34"/>
      <c r="E1" s="34"/>
      <c r="F1" s="34"/>
      <c r="G1" s="34"/>
      <c r="H1" s="34"/>
    </row>
  </sheetData>
  <mergeCells count="1">
    <mergeCell ref="A1:H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91D93-141E-C94B-8E61-24BC65627D08}">
  <dimension ref="A1:F38"/>
  <sheetViews>
    <sheetView zoomScale="57" zoomScaleNormal="130" workbookViewId="0">
      <selection activeCell="H20" sqref="H20"/>
    </sheetView>
  </sheetViews>
  <sheetFormatPr baseColWidth="10" defaultColWidth="11" defaultRowHeight="16" x14ac:dyDescent="0.2"/>
  <cols>
    <col min="1" max="1" width="23.83203125" style="7" customWidth="1"/>
    <col min="2" max="2" width="18" style="7" customWidth="1"/>
    <col min="3" max="4" width="16.5" style="7" customWidth="1"/>
    <col min="5" max="5" width="14.1640625" style="7" customWidth="1"/>
    <col min="6" max="6" width="13.83203125" style="7" customWidth="1"/>
    <col min="7" max="7" width="14.33203125" style="7" bestFit="1" customWidth="1"/>
    <col min="8" max="9" width="11.5" style="7" bestFit="1" customWidth="1"/>
    <col min="10" max="16384" width="11" style="7"/>
  </cols>
  <sheetData>
    <row r="1" spans="1:6" ht="42.5" customHeight="1" x14ac:dyDescent="0.2">
      <c r="A1" s="30" t="s">
        <v>624</v>
      </c>
      <c r="B1" s="30"/>
      <c r="C1" s="30"/>
      <c r="D1" s="30"/>
      <c r="E1" s="30"/>
      <c r="F1" s="30"/>
    </row>
    <row r="2" spans="1:6" ht="17" x14ac:dyDescent="0.2">
      <c r="B2" s="7" t="s">
        <v>172</v>
      </c>
      <c r="C2" s="7" t="s">
        <v>172</v>
      </c>
      <c r="D2" s="7" t="s">
        <v>449</v>
      </c>
      <c r="E2" s="7" t="s">
        <v>172</v>
      </c>
      <c r="F2" s="7" t="s">
        <v>172</v>
      </c>
    </row>
    <row r="3" spans="1:6" x14ac:dyDescent="0.2">
      <c r="B3" s="7">
        <v>2017</v>
      </c>
      <c r="C3" s="7">
        <v>2019</v>
      </c>
      <c r="D3" s="7">
        <v>2020</v>
      </c>
      <c r="E3" s="7">
        <v>2021</v>
      </c>
      <c r="F3" s="7">
        <v>2022</v>
      </c>
    </row>
    <row r="4" spans="1:6" ht="17" x14ac:dyDescent="0.2">
      <c r="A4" s="7" t="s">
        <v>27</v>
      </c>
      <c r="B4" s="7">
        <v>24.702327078179369</v>
      </c>
      <c r="C4" s="7">
        <v>28.616469355015418</v>
      </c>
      <c r="D4" s="7">
        <v>32.200000000000003</v>
      </c>
      <c r="E4" s="7">
        <v>32.819339833950117</v>
      </c>
      <c r="F4" s="7">
        <v>35.999456185885556</v>
      </c>
    </row>
    <row r="5" spans="1:6" ht="17" x14ac:dyDescent="0.2">
      <c r="A5" s="7" t="s">
        <v>28</v>
      </c>
      <c r="B5" s="7">
        <v>12.571365359032047</v>
      </c>
      <c r="C5" s="7">
        <v>17.152388014521602</v>
      </c>
      <c r="D5" s="7">
        <v>19.899999999999999</v>
      </c>
      <c r="E5" s="7">
        <v>22.383516806943433</v>
      </c>
      <c r="F5" s="7">
        <v>18.978321591892229</v>
      </c>
    </row>
    <row r="6" spans="1:6" ht="17" x14ac:dyDescent="0.2">
      <c r="A6" s="7" t="s">
        <v>18</v>
      </c>
      <c r="B6" s="7">
        <v>14.269911186582881</v>
      </c>
      <c r="C6" s="7">
        <v>13.087652635992317</v>
      </c>
      <c r="D6" s="7">
        <v>10.7</v>
      </c>
      <c r="E6" s="7">
        <v>10.11890807263171</v>
      </c>
      <c r="F6" s="7">
        <v>9.4913360524039057</v>
      </c>
    </row>
    <row r="7" spans="1:6" ht="17" x14ac:dyDescent="0.2">
      <c r="A7" s="7" t="s">
        <v>34</v>
      </c>
      <c r="C7" s="7">
        <v>3.5538383124196251</v>
      </c>
      <c r="D7" s="7">
        <v>5.6</v>
      </c>
      <c r="E7" s="7">
        <v>6.3671095378973224</v>
      </c>
      <c r="F7" s="7">
        <v>7.6864170065504878</v>
      </c>
    </row>
    <row r="8" spans="1:6" ht="17" x14ac:dyDescent="0.2">
      <c r="A8" s="7" t="s">
        <v>22</v>
      </c>
      <c r="B8" s="7">
        <v>7.8229578804308781</v>
      </c>
      <c r="C8" s="7">
        <v>7.2807293903736703</v>
      </c>
      <c r="D8" s="7">
        <v>4.9000000000000004</v>
      </c>
      <c r="E8" s="7">
        <v>5.2770576734374988</v>
      </c>
      <c r="F8" s="7">
        <v>4.7469534050179218</v>
      </c>
    </row>
    <row r="9" spans="1:6" ht="17" x14ac:dyDescent="0.2">
      <c r="A9" s="7" t="s">
        <v>20</v>
      </c>
      <c r="B9" s="7">
        <v>5.2338427677835151</v>
      </c>
      <c r="C9" s="7">
        <v>4.8083117403523872</v>
      </c>
      <c r="D9" s="7">
        <v>3.7</v>
      </c>
      <c r="E9" s="7">
        <v>3.4458428497263855</v>
      </c>
      <c r="F9" s="7">
        <v>3.623730070448647</v>
      </c>
    </row>
    <row r="10" spans="1:6" ht="17" x14ac:dyDescent="0.2">
      <c r="A10" s="7" t="s">
        <v>24</v>
      </c>
      <c r="B10" s="7">
        <v>2.9219211971278582</v>
      </c>
      <c r="C10" s="7">
        <v>2.2590101842996755</v>
      </c>
      <c r="D10" s="7">
        <v>2.2000000000000002</v>
      </c>
      <c r="E10" s="7">
        <v>1.9980329806218653</v>
      </c>
      <c r="F10" s="7">
        <v>1.5690025954764553</v>
      </c>
    </row>
    <row r="11" spans="1:6" ht="17" x14ac:dyDescent="0.2">
      <c r="A11" s="7" t="s">
        <v>30</v>
      </c>
      <c r="B11" s="7">
        <v>2.0608677912726665</v>
      </c>
      <c r="C11" s="7">
        <v>1.6206185125579742</v>
      </c>
      <c r="D11" s="7">
        <v>1.8</v>
      </c>
      <c r="E11" s="7">
        <v>1.8030257751847116</v>
      </c>
      <c r="F11" s="7">
        <v>1.8085774317142502</v>
      </c>
    </row>
    <row r="12" spans="1:6" ht="17" x14ac:dyDescent="0.2">
      <c r="A12" s="7" t="s">
        <v>160</v>
      </c>
      <c r="B12" s="7">
        <v>1.102009292222289</v>
      </c>
      <c r="C12" s="7">
        <v>1.3811322206477346</v>
      </c>
      <c r="D12" s="7">
        <v>1.9</v>
      </c>
      <c r="E12" s="7">
        <v>1.4505779319858703</v>
      </c>
      <c r="F12" s="7">
        <v>1.8114448152267952</v>
      </c>
    </row>
    <row r="13" spans="1:6" ht="17" x14ac:dyDescent="0.2">
      <c r="A13" s="7" t="s">
        <v>157</v>
      </c>
      <c r="D13" s="7">
        <v>0.7</v>
      </c>
      <c r="E13" s="7">
        <v>0.71455566094280221</v>
      </c>
      <c r="F13" s="7">
        <v>1.6783092324805342</v>
      </c>
    </row>
    <row r="14" spans="1:6" ht="17" x14ac:dyDescent="0.2">
      <c r="A14" s="7" t="s">
        <v>38</v>
      </c>
      <c r="B14" s="7">
        <v>3.0622096180534606</v>
      </c>
      <c r="C14" s="7">
        <v>2.1125521504495905</v>
      </c>
      <c r="D14" s="7">
        <v>1.6</v>
      </c>
      <c r="E14" s="7">
        <v>1.3365789341376157</v>
      </c>
      <c r="F14" s="7">
        <v>1.3289383265356569</v>
      </c>
    </row>
    <row r="15" spans="1:6" ht="17" x14ac:dyDescent="0.2">
      <c r="A15" s="7" t="s">
        <v>156</v>
      </c>
      <c r="C15" s="7">
        <v>0.40919009815821239</v>
      </c>
      <c r="D15" s="7">
        <v>1.5</v>
      </c>
      <c r="E15" s="7">
        <v>0.95356941708550103</v>
      </c>
      <c r="F15" s="7">
        <v>0.97738227660363364</v>
      </c>
    </row>
    <row r="16" spans="1:6" ht="17" x14ac:dyDescent="0.2">
      <c r="A16" s="7" t="s">
        <v>41</v>
      </c>
      <c r="B16" s="7">
        <v>2.6958348777271119</v>
      </c>
      <c r="C16" s="7">
        <v>1.8641430519249744</v>
      </c>
      <c r="D16" s="7">
        <v>0.8</v>
      </c>
      <c r="E16" s="7">
        <v>0.89382207908638101</v>
      </c>
      <c r="F16" s="7">
        <v>0.88639228772710421</v>
      </c>
    </row>
    <row r="17" spans="1:6" ht="17" x14ac:dyDescent="0.2">
      <c r="A17" s="7" t="s">
        <v>47</v>
      </c>
      <c r="B17" s="7">
        <v>0.66229351814339454</v>
      </c>
      <c r="C17" s="7">
        <v>0.68635799017557753</v>
      </c>
      <c r="D17" s="7">
        <v>0.8</v>
      </c>
      <c r="E17" s="7">
        <v>0.85951177019880898</v>
      </c>
      <c r="F17" s="7">
        <v>0.81695711284142869</v>
      </c>
    </row>
    <row r="18" spans="1:6" ht="17" x14ac:dyDescent="0.2">
      <c r="A18" s="7" t="s">
        <v>452</v>
      </c>
      <c r="C18" s="7">
        <v>0.99738445991097291</v>
      </c>
      <c r="D18" s="7">
        <v>0.83820356158208709</v>
      </c>
      <c r="E18" s="7">
        <v>0.64252953494848852</v>
      </c>
      <c r="F18" s="7">
        <v>0.61984921517735758</v>
      </c>
    </row>
    <row r="19" spans="1:6" ht="17" x14ac:dyDescent="0.2">
      <c r="A19" s="7" t="s">
        <v>173</v>
      </c>
      <c r="B19" s="7">
        <v>0.73930996120155446</v>
      </c>
      <c r="C19" s="7">
        <v>0.69770980014693262</v>
      </c>
      <c r="D19" s="7">
        <v>0.7</v>
      </c>
      <c r="E19" s="7">
        <v>0.60903032497623144</v>
      </c>
      <c r="F19" s="7">
        <v>0.53649734272648619</v>
      </c>
    </row>
    <row r="20" spans="1:6" ht="17" x14ac:dyDescent="0.2">
      <c r="A20" s="7" t="s">
        <v>163</v>
      </c>
      <c r="B20" s="7">
        <v>0.7460122489216221</v>
      </c>
      <c r="C20" s="7">
        <v>0.57762181641252652</v>
      </c>
      <c r="D20" s="7">
        <v>0.4</v>
      </c>
      <c r="E20" s="7">
        <v>0.49848803624567906</v>
      </c>
      <c r="F20" s="7">
        <v>0.40964034111976272</v>
      </c>
    </row>
    <row r="21" spans="1:6" ht="17" x14ac:dyDescent="0.2">
      <c r="A21" s="7" t="s">
        <v>32</v>
      </c>
      <c r="B21" s="7">
        <v>0.79374657000916582</v>
      </c>
      <c r="C21" s="7">
        <v>0.62795850535184294</v>
      </c>
      <c r="D21" s="7">
        <v>0.6</v>
      </c>
      <c r="E21" s="7">
        <v>0.48805467884539017</v>
      </c>
      <c r="F21" s="7">
        <v>0.4053887034977135</v>
      </c>
    </row>
    <row r="22" spans="1:6" ht="17" x14ac:dyDescent="0.2">
      <c r="A22" s="7" t="s">
        <v>174</v>
      </c>
      <c r="B22" s="7">
        <v>0.6555671444949186</v>
      </c>
      <c r="C22" s="7">
        <v>0.49558052167536165</v>
      </c>
      <c r="D22" s="7">
        <v>0.5</v>
      </c>
      <c r="E22" s="7">
        <v>0.39710969042323679</v>
      </c>
      <c r="F22" s="7">
        <v>0.37199357310592018</v>
      </c>
    </row>
    <row r="23" spans="1:6" ht="17" x14ac:dyDescent="0.2">
      <c r="A23" s="7" t="s">
        <v>175</v>
      </c>
      <c r="C23" s="7">
        <v>0.36811360658556308</v>
      </c>
      <c r="D23" s="7">
        <v>0.3</v>
      </c>
      <c r="E23" s="7">
        <v>0.28869189821889274</v>
      </c>
      <c r="F23" s="7">
        <v>0.2810035842293907</v>
      </c>
    </row>
    <row r="24" spans="1:6" ht="17" x14ac:dyDescent="0.2">
      <c r="A24" s="7" t="s">
        <v>176</v>
      </c>
      <c r="B24" s="7">
        <v>0.43537538107018592</v>
      </c>
      <c r="C24" s="7">
        <v>0.39593538362518493</v>
      </c>
      <c r="D24" s="7">
        <v>0.3</v>
      </c>
      <c r="E24" s="7">
        <v>0.28833046829409936</v>
      </c>
      <c r="F24" s="7">
        <v>0.25801507848226424</v>
      </c>
    </row>
    <row r="25" spans="1:6" ht="17" x14ac:dyDescent="0.2">
      <c r="A25" s="7" t="s">
        <v>450</v>
      </c>
      <c r="B25" s="7">
        <v>9.7404556464473199E-2</v>
      </c>
      <c r="C25" s="7">
        <v>0.14081493756374661</v>
      </c>
      <c r="D25" s="7">
        <v>0.16416805743090268</v>
      </c>
      <c r="E25" s="7">
        <v>0.21472259208187139</v>
      </c>
      <c r="F25" s="7">
        <v>0.24451860091459646</v>
      </c>
    </row>
    <row r="26" spans="1:6" ht="17" x14ac:dyDescent="0.2">
      <c r="A26" s="7" t="s">
        <v>453</v>
      </c>
      <c r="B26" s="7">
        <v>0.37187565546945267</v>
      </c>
      <c r="C26" s="7">
        <v>0.33819207278823388</v>
      </c>
      <c r="D26" s="7">
        <v>0.29578848671913777</v>
      </c>
      <c r="E26" s="7">
        <v>0.24630110536094696</v>
      </c>
      <c r="F26" s="7">
        <v>0.22039302929180571</v>
      </c>
    </row>
    <row r="27" spans="1:6" ht="17" x14ac:dyDescent="0.2">
      <c r="A27" s="7" t="s">
        <v>454</v>
      </c>
      <c r="B27" s="7">
        <v>0.36282478960328474</v>
      </c>
      <c r="C27" s="7">
        <v>0.32998989795343969</v>
      </c>
      <c r="D27" s="7">
        <v>0.28857081185904837</v>
      </c>
      <c r="E27" s="7">
        <v>0.24025655988534569</v>
      </c>
      <c r="F27" s="7">
        <v>0.2150043257940922</v>
      </c>
    </row>
    <row r="28" spans="1:6" ht="17" x14ac:dyDescent="0.2">
      <c r="A28" s="7" t="s">
        <v>166</v>
      </c>
      <c r="B28" s="7">
        <v>0.30672378768679981</v>
      </c>
      <c r="C28" s="7">
        <v>0.23228559132137133</v>
      </c>
      <c r="D28" s="7">
        <v>0.2</v>
      </c>
      <c r="E28" s="7">
        <v>0.13930700133488419</v>
      </c>
      <c r="F28" s="7">
        <v>0.1371400321344704</v>
      </c>
    </row>
    <row r="29" spans="1:6" ht="17" x14ac:dyDescent="0.2">
      <c r="A29" s="7" t="s">
        <v>451</v>
      </c>
      <c r="F29" s="7">
        <v>0.12789519218885181</v>
      </c>
    </row>
    <row r="30" spans="1:6" ht="17" x14ac:dyDescent="0.2">
      <c r="A30" s="7" t="s">
        <v>169</v>
      </c>
      <c r="B30" s="7">
        <v>13.854727153011925</v>
      </c>
      <c r="C30" s="7">
        <v>9.4512071837597293</v>
      </c>
      <c r="D30" s="7">
        <v>6.9109323083928871</v>
      </c>
      <c r="E30" s="7">
        <v>5.52572878555495</v>
      </c>
      <c r="F30" s="7">
        <v>4.7694425905326616</v>
      </c>
    </row>
    <row r="32" spans="1:6" ht="17" x14ac:dyDescent="0.2">
      <c r="A32" s="7" t="s">
        <v>170</v>
      </c>
      <c r="B32" s="7">
        <v>13921.32</v>
      </c>
      <c r="C32" s="7">
        <v>15239.860466</v>
      </c>
      <c r="D32" s="7">
        <v>14686.17</v>
      </c>
      <c r="E32" s="7">
        <v>17563.72</v>
      </c>
      <c r="F32" s="7">
        <v>20227.5</v>
      </c>
    </row>
    <row r="33" spans="1:6" x14ac:dyDescent="0.2">
      <c r="A33" s="6"/>
      <c r="B33" s="7">
        <v>2017</v>
      </c>
      <c r="C33" s="7">
        <v>2019</v>
      </c>
      <c r="D33" s="7">
        <v>2020</v>
      </c>
      <c r="E33" s="7">
        <v>2021</v>
      </c>
      <c r="F33" s="7">
        <v>2022</v>
      </c>
    </row>
    <row r="34" spans="1:6" ht="17" x14ac:dyDescent="0.2">
      <c r="A34" s="6" t="s">
        <v>171</v>
      </c>
      <c r="B34" s="7">
        <v>37.273692437211416</v>
      </c>
      <c r="C34" s="7">
        <v>45.768857369537017</v>
      </c>
      <c r="D34" s="7">
        <v>52.110114481856058</v>
      </c>
      <c r="E34" s="7">
        <v>55.20285664089355</v>
      </c>
      <c r="F34" s="7">
        <v>54.977777777777789</v>
      </c>
    </row>
    <row r="35" spans="1:6" ht="17" x14ac:dyDescent="0.2">
      <c r="A35" s="6" t="s">
        <v>60</v>
      </c>
      <c r="B35" s="7">
        <v>59.366561504225174</v>
      </c>
      <c r="C35" s="7">
        <v>66.137239395902995</v>
      </c>
      <c r="D35" s="7">
        <v>68.402381287973654</v>
      </c>
      <c r="E35" s="7">
        <v>71.688874251422575</v>
      </c>
      <c r="F35" s="7">
        <v>72.155530836732183</v>
      </c>
    </row>
    <row r="36" spans="1:6" ht="17" x14ac:dyDescent="0.2">
      <c r="A36" s="6" t="s">
        <v>61</v>
      </c>
      <c r="B36" s="7">
        <v>94.738271945476441</v>
      </c>
      <c r="C36" s="7">
        <v>82.631039622013262</v>
      </c>
      <c r="D36" s="7">
        <v>85.969902295833421</v>
      </c>
      <c r="E36" s="7">
        <v>86.999990396516537</v>
      </c>
      <c r="F36" s="7">
        <v>87.04417748115192</v>
      </c>
    </row>
    <row r="37" spans="1:6" ht="17" x14ac:dyDescent="0.2">
      <c r="A37" s="6" t="s">
        <v>63</v>
      </c>
      <c r="B37" s="7">
        <v>1101.1107092322734</v>
      </c>
      <c r="C37" s="7">
        <v>1396.2538447739194</v>
      </c>
      <c r="D37" s="7">
        <v>1653.1739550940756</v>
      </c>
      <c r="E37" s="7">
        <v>1776.8118862028969</v>
      </c>
      <c r="F37" s="7">
        <v>1858.590462660296</v>
      </c>
    </row>
    <row r="38" spans="1:6" ht="409.5" customHeight="1" x14ac:dyDescent="0.2">
      <c r="A38" s="33" t="s">
        <v>657</v>
      </c>
      <c r="B38" s="33"/>
      <c r="C38" s="33"/>
      <c r="D38" s="33"/>
      <c r="E38" s="33"/>
      <c r="F38" s="33"/>
    </row>
  </sheetData>
  <mergeCells count="2">
    <mergeCell ref="A1:F1"/>
    <mergeCell ref="A38:F38"/>
  </mergeCells>
  <pageMargins left="0.7" right="0.7" top="0.75" bottom="0.75" header="0.3" footer="0.3"/>
  <pageSetup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8"/>
  <sheetViews>
    <sheetView zoomScale="75" zoomScaleNormal="100" workbookViewId="0">
      <selection activeCell="M53" sqref="M53"/>
    </sheetView>
  </sheetViews>
  <sheetFormatPr baseColWidth="10" defaultColWidth="11" defaultRowHeight="16" x14ac:dyDescent="0.2"/>
  <cols>
    <col min="1" max="1" width="33.33203125" style="8" customWidth="1"/>
    <col min="2" max="2" width="41.6640625" style="8" customWidth="1"/>
    <col min="3" max="3" width="20" style="8" customWidth="1"/>
    <col min="4" max="4" width="17.33203125" style="8" customWidth="1"/>
    <col min="5" max="16384" width="11" style="8"/>
  </cols>
  <sheetData>
    <row r="1" spans="1:7" ht="30" customHeight="1" x14ac:dyDescent="0.2">
      <c r="A1" s="32" t="s">
        <v>643</v>
      </c>
      <c r="B1" s="32"/>
      <c r="C1" s="32"/>
    </row>
    <row r="2" spans="1:7" ht="27" customHeight="1" x14ac:dyDescent="0.2">
      <c r="A2" s="8" t="s">
        <v>192</v>
      </c>
      <c r="B2" s="8" t="s">
        <v>193</v>
      </c>
      <c r="C2" s="8" t="s">
        <v>194</v>
      </c>
      <c r="D2" s="8" t="s">
        <v>172</v>
      </c>
    </row>
    <row r="3" spans="1:7" x14ac:dyDescent="0.2">
      <c r="A3" s="8" t="s">
        <v>195</v>
      </c>
      <c r="B3" s="8" t="s">
        <v>196</v>
      </c>
      <c r="C3" s="8" t="s">
        <v>197</v>
      </c>
      <c r="D3" s="8">
        <f>E3/E44*100</f>
        <v>8.5943811832136703</v>
      </c>
      <c r="E3" s="8">
        <v>22552</v>
      </c>
      <c r="F3" s="8">
        <f>SUMSQ(D3)</f>
        <v>73.863387922377214</v>
      </c>
      <c r="G3" s="8">
        <f>E3/1000</f>
        <v>22.552</v>
      </c>
    </row>
    <row r="4" spans="1:7" x14ac:dyDescent="0.2">
      <c r="A4" s="8" t="s">
        <v>198</v>
      </c>
      <c r="B4" s="8" t="s">
        <v>199</v>
      </c>
      <c r="C4" s="8" t="s">
        <v>199</v>
      </c>
      <c r="D4" s="8">
        <f>E3/E44*100</f>
        <v>8.5943811832136703</v>
      </c>
      <c r="E4" s="8">
        <v>21209</v>
      </c>
      <c r="F4" s="8">
        <f t="shared" ref="F4:F43" si="0">SUMSQ(D4)</f>
        <v>73.863387922377214</v>
      </c>
      <c r="G4" s="8">
        <f t="shared" ref="G4:G10" si="1">E4/1000</f>
        <v>21.209</v>
      </c>
    </row>
    <row r="5" spans="1:7" x14ac:dyDescent="0.2">
      <c r="A5" s="8" t="s">
        <v>200</v>
      </c>
      <c r="B5" s="8" t="s">
        <v>201</v>
      </c>
      <c r="C5" s="8" t="s">
        <v>201</v>
      </c>
      <c r="D5" s="8">
        <f>E5/E44*100</f>
        <v>6.7338912516577487</v>
      </c>
      <c r="E5" s="8">
        <v>17670</v>
      </c>
      <c r="F5" s="8">
        <f t="shared" si="0"/>
        <v>45.345291389152763</v>
      </c>
      <c r="G5" s="8">
        <f t="shared" si="1"/>
        <v>17.670000000000002</v>
      </c>
    </row>
    <row r="6" spans="1:7" x14ac:dyDescent="0.2">
      <c r="A6" s="8" t="s">
        <v>204</v>
      </c>
      <c r="B6" s="8" t="s">
        <v>205</v>
      </c>
      <c r="C6" s="8" t="s">
        <v>205</v>
      </c>
      <c r="D6" s="8">
        <f>E6/E44*100</f>
        <v>6.6793951311717805</v>
      </c>
      <c r="E6" s="8">
        <v>17527</v>
      </c>
      <c r="F6" s="8">
        <f t="shared" si="0"/>
        <v>44.614319318321286</v>
      </c>
      <c r="G6" s="8">
        <f t="shared" si="1"/>
        <v>17.527000000000001</v>
      </c>
    </row>
    <row r="7" spans="1:7" x14ac:dyDescent="0.2">
      <c r="A7" s="8" t="s">
        <v>202</v>
      </c>
      <c r="B7" s="8" t="s">
        <v>203</v>
      </c>
      <c r="C7" s="8" t="s">
        <v>203</v>
      </c>
      <c r="D7" s="8">
        <f>E7/E44*100</f>
        <v>6.5608755964085912</v>
      </c>
      <c r="E7" s="8">
        <v>17216</v>
      </c>
      <c r="F7" s="8">
        <f t="shared" si="0"/>
        <v>43.045088591549785</v>
      </c>
      <c r="G7" s="8">
        <f t="shared" si="1"/>
        <v>17.216000000000001</v>
      </c>
    </row>
    <row r="8" spans="1:7" x14ac:dyDescent="0.2">
      <c r="A8" s="8" t="s">
        <v>206</v>
      </c>
      <c r="B8" s="8" t="s">
        <v>207</v>
      </c>
      <c r="C8" s="8" t="s">
        <v>208</v>
      </c>
      <c r="D8" s="8">
        <f>E8/E44*100</f>
        <v>4.8836907973963815</v>
      </c>
      <c r="E8" s="8">
        <v>12815</v>
      </c>
      <c r="F8" s="8">
        <f t="shared" si="0"/>
        <v>23.850435804574104</v>
      </c>
      <c r="G8" s="8">
        <f t="shared" si="1"/>
        <v>12.815</v>
      </c>
    </row>
    <row r="9" spans="1:7" x14ac:dyDescent="0.2">
      <c r="A9" s="8" t="s">
        <v>211</v>
      </c>
      <c r="B9" s="8" t="s">
        <v>212</v>
      </c>
      <c r="C9" s="8" t="s">
        <v>212</v>
      </c>
      <c r="D9" s="8">
        <f>E9/E44*100</f>
        <v>4.3623572811390074</v>
      </c>
      <c r="E9" s="8">
        <v>11447</v>
      </c>
      <c r="F9" s="8">
        <f t="shared" si="0"/>
        <v>19.030161048306514</v>
      </c>
      <c r="G9" s="8">
        <f t="shared" si="1"/>
        <v>11.446999999999999</v>
      </c>
    </row>
    <row r="10" spans="1:7" x14ac:dyDescent="0.2">
      <c r="A10" s="8" t="s">
        <v>213</v>
      </c>
      <c r="B10" s="8" t="s">
        <v>214</v>
      </c>
      <c r="C10" s="8" t="s">
        <v>215</v>
      </c>
      <c r="D10" s="8">
        <f>E10/E44*100</f>
        <v>4.3055746101431387</v>
      </c>
      <c r="E10" s="8">
        <v>11298</v>
      </c>
      <c r="F10" s="8">
        <f t="shared" si="0"/>
        <v>18.537972723509242</v>
      </c>
      <c r="G10" s="8">
        <f t="shared" si="1"/>
        <v>11.298</v>
      </c>
    </row>
    <row r="11" spans="1:7" x14ac:dyDescent="0.2">
      <c r="A11" s="8" t="s">
        <v>218</v>
      </c>
      <c r="B11" s="8" t="s">
        <v>219</v>
      </c>
      <c r="C11" s="8" t="s">
        <v>220</v>
      </c>
      <c r="D11" s="8">
        <f>E11/E44*100</f>
        <v>3.8116797000045728</v>
      </c>
      <c r="E11" s="8">
        <v>10002</v>
      </c>
      <c r="F11" s="8">
        <f t="shared" si="0"/>
        <v>14.52890213542695</v>
      </c>
      <c r="G11" s="8">
        <f t="shared" ref="G11:G43" si="2">E11/1000</f>
        <v>10.002000000000001</v>
      </c>
    </row>
    <row r="12" spans="1:7" x14ac:dyDescent="0.2">
      <c r="A12" s="8" t="s">
        <v>216</v>
      </c>
      <c r="B12" s="8" t="s">
        <v>217</v>
      </c>
      <c r="C12" s="8" t="s">
        <v>217</v>
      </c>
      <c r="D12" s="8">
        <f>E12/E44*100</f>
        <v>3.5620646026737397</v>
      </c>
      <c r="E12" s="8">
        <v>9347</v>
      </c>
      <c r="F12" s="8">
        <f t="shared" si="0"/>
        <v>12.688304233621228</v>
      </c>
      <c r="G12" s="8">
        <f t="shared" si="2"/>
        <v>9.3469999999999995</v>
      </c>
    </row>
    <row r="13" spans="1:7" x14ac:dyDescent="0.2">
      <c r="A13" s="8" t="s">
        <v>227</v>
      </c>
      <c r="B13" s="8" t="s">
        <v>49</v>
      </c>
      <c r="C13" s="8" t="s">
        <v>49</v>
      </c>
      <c r="D13" s="8">
        <f>E13/E44*100</f>
        <v>3.0380634441548149</v>
      </c>
      <c r="E13" s="8">
        <v>7972</v>
      </c>
      <c r="F13" s="8">
        <f t="shared" si="0"/>
        <v>9.2298294907098164</v>
      </c>
      <c r="G13" s="8">
        <f t="shared" si="2"/>
        <v>7.9720000000000004</v>
      </c>
    </row>
    <row r="14" spans="1:7" x14ac:dyDescent="0.2">
      <c r="A14" s="8" t="s">
        <v>223</v>
      </c>
      <c r="B14" s="8" t="s">
        <v>224</v>
      </c>
      <c r="C14" s="8" t="s">
        <v>224</v>
      </c>
      <c r="D14" s="8">
        <f>E14/E44*100</f>
        <v>2.9397417722290822</v>
      </c>
      <c r="E14" s="8">
        <v>7714</v>
      </c>
      <c r="F14" s="8">
        <f t="shared" si="0"/>
        <v>8.6420816873885844</v>
      </c>
      <c r="G14" s="8">
        <f t="shared" si="2"/>
        <v>7.7140000000000004</v>
      </c>
    </row>
    <row r="15" spans="1:7" x14ac:dyDescent="0.2">
      <c r="A15" s="8" t="s">
        <v>228</v>
      </c>
      <c r="B15" s="8" t="s">
        <v>229</v>
      </c>
      <c r="C15" s="8" t="s">
        <v>230</v>
      </c>
      <c r="D15" s="8">
        <f>E15/E44*100</f>
        <v>2.9294522949345283</v>
      </c>
      <c r="E15" s="8">
        <v>7687</v>
      </c>
      <c r="F15" s="8">
        <f t="shared" si="0"/>
        <v>8.5816907482971754</v>
      </c>
      <c r="G15" s="8">
        <f t="shared" si="2"/>
        <v>7.6870000000000003</v>
      </c>
    </row>
    <row r="16" spans="1:7" x14ac:dyDescent="0.2">
      <c r="A16" s="8" t="s">
        <v>221</v>
      </c>
      <c r="B16" s="8" t="s">
        <v>222</v>
      </c>
      <c r="C16" s="8" t="s">
        <v>222</v>
      </c>
      <c r="D16" s="8">
        <f>E16/E44*100</f>
        <v>2.8947729455343669</v>
      </c>
      <c r="E16" s="8">
        <v>7596</v>
      </c>
      <c r="F16" s="8">
        <f t="shared" si="0"/>
        <v>8.3797104061977148</v>
      </c>
      <c r="G16" s="8">
        <f t="shared" si="2"/>
        <v>7.5960000000000001</v>
      </c>
    </row>
    <row r="17" spans="1:7" x14ac:dyDescent="0.2">
      <c r="A17" s="8" t="s">
        <v>233</v>
      </c>
      <c r="B17" s="8" t="s">
        <v>44</v>
      </c>
      <c r="C17" s="8" t="s">
        <v>44</v>
      </c>
      <c r="D17" s="8">
        <f>E17/E44*100</f>
        <v>2.7309034923248121</v>
      </c>
      <c r="E17" s="8">
        <v>7166</v>
      </c>
      <c r="F17" s="8">
        <f t="shared" si="0"/>
        <v>7.4578338843918548</v>
      </c>
      <c r="G17" s="8">
        <f t="shared" si="2"/>
        <v>7.1660000000000004</v>
      </c>
    </row>
    <row r="18" spans="1:7" x14ac:dyDescent="0.2">
      <c r="A18" s="8" t="s">
        <v>225</v>
      </c>
      <c r="B18" s="8" t="s">
        <v>226</v>
      </c>
      <c r="C18" s="8" t="s">
        <v>226</v>
      </c>
      <c r="D18" s="8">
        <f>E18/E44*100</f>
        <v>2.7202329232786084</v>
      </c>
      <c r="E18" s="8">
        <v>7138</v>
      </c>
      <c r="F18" s="8">
        <f t="shared" si="0"/>
        <v>7.3996671568888832</v>
      </c>
      <c r="G18" s="8">
        <f t="shared" si="2"/>
        <v>7.1379999999999999</v>
      </c>
    </row>
    <row r="19" spans="1:7" x14ac:dyDescent="0.2">
      <c r="A19" s="8" t="s">
        <v>231</v>
      </c>
      <c r="B19" s="8" t="s">
        <v>232</v>
      </c>
      <c r="C19" s="8" t="s">
        <v>232</v>
      </c>
      <c r="D19" s="8">
        <f>E19/E44*100</f>
        <v>2.6886023078916481</v>
      </c>
      <c r="E19" s="8">
        <v>7055</v>
      </c>
      <c r="F19" s="8">
        <f t="shared" si="0"/>
        <v>7.2285823700002965</v>
      </c>
      <c r="G19" s="8">
        <f t="shared" si="2"/>
        <v>7.0549999999999997</v>
      </c>
    </row>
    <row r="20" spans="1:7" x14ac:dyDescent="0.2">
      <c r="A20" s="8" t="s">
        <v>236</v>
      </c>
      <c r="B20" s="8" t="s">
        <v>45</v>
      </c>
      <c r="C20" s="8" t="s">
        <v>237</v>
      </c>
      <c r="D20" s="8">
        <f>E20/E44*100</f>
        <v>2.3265651438240273</v>
      </c>
      <c r="E20" s="8">
        <v>6105</v>
      </c>
      <c r="F20" s="8">
        <f t="shared" si="0"/>
        <v>5.4129053684569168</v>
      </c>
      <c r="G20" s="8">
        <f t="shared" si="2"/>
        <v>6.1050000000000004</v>
      </c>
    </row>
    <row r="21" spans="1:7" x14ac:dyDescent="0.2">
      <c r="A21" s="8" t="s">
        <v>255</v>
      </c>
      <c r="B21" s="8" t="s">
        <v>256</v>
      </c>
      <c r="C21" s="8" t="s">
        <v>493</v>
      </c>
      <c r="D21" s="8">
        <f>E21/E44*100</f>
        <v>2.1638389658694228</v>
      </c>
      <c r="E21" s="8">
        <v>5678</v>
      </c>
      <c r="F21" s="8">
        <f t="shared" si="0"/>
        <v>4.6821990702148533</v>
      </c>
      <c r="G21" s="8">
        <f t="shared" si="2"/>
        <v>5.6779999999999999</v>
      </c>
    </row>
    <row r="22" spans="1:7" x14ac:dyDescent="0.2">
      <c r="A22" s="8" t="s">
        <v>238</v>
      </c>
      <c r="B22" s="8" t="s">
        <v>239</v>
      </c>
      <c r="C22" s="8" t="s">
        <v>239</v>
      </c>
      <c r="D22" s="8">
        <f>E22/E44*100</f>
        <v>2.1112483041417054</v>
      </c>
      <c r="E22" s="8">
        <v>5540</v>
      </c>
      <c r="F22" s="8">
        <f t="shared" si="0"/>
        <v>4.4573694017412269</v>
      </c>
      <c r="G22" s="8">
        <f t="shared" si="2"/>
        <v>5.54</v>
      </c>
    </row>
    <row r="23" spans="1:7" x14ac:dyDescent="0.2">
      <c r="A23" s="8" t="s">
        <v>240</v>
      </c>
      <c r="B23" s="8" t="s">
        <v>241</v>
      </c>
      <c r="C23" s="8" t="s">
        <v>241</v>
      </c>
      <c r="D23" s="8">
        <f>E23/E44*100</f>
        <v>2.0338866785567293</v>
      </c>
      <c r="E23" s="8">
        <v>5337</v>
      </c>
      <c r="F23" s="8">
        <f t="shared" si="0"/>
        <v>4.1366950212105245</v>
      </c>
      <c r="G23" s="8">
        <f t="shared" si="2"/>
        <v>5.3369999999999997</v>
      </c>
    </row>
    <row r="24" spans="1:7" x14ac:dyDescent="0.2">
      <c r="A24" s="8" t="s">
        <v>24</v>
      </c>
      <c r="B24" s="8" t="s">
        <v>234</v>
      </c>
      <c r="C24" s="8" t="s">
        <v>235</v>
      </c>
      <c r="D24" s="8">
        <f>E24/E44*100</f>
        <v>1.9820582003323119</v>
      </c>
      <c r="E24" s="8">
        <v>5201</v>
      </c>
      <c r="F24" s="8">
        <f t="shared" si="0"/>
        <v>3.9285547095045632</v>
      </c>
      <c r="G24" s="8">
        <f t="shared" si="2"/>
        <v>5.2009999999999996</v>
      </c>
    </row>
    <row r="25" spans="1:7" x14ac:dyDescent="0.2">
      <c r="A25" s="8" t="s">
        <v>250</v>
      </c>
      <c r="B25" s="8" t="s">
        <v>251</v>
      </c>
      <c r="C25" s="8" t="s">
        <v>251</v>
      </c>
      <c r="D25" s="8">
        <f>E25/E44*100</f>
        <v>1.9001234737275348</v>
      </c>
      <c r="E25" s="8">
        <v>4986</v>
      </c>
      <c r="F25" s="8">
        <f>SUMSQ(D25)</f>
        <v>3.6104692154103937</v>
      </c>
      <c r="G25" s="8">
        <f>E25/1000</f>
        <v>4.9859999999999998</v>
      </c>
    </row>
    <row r="26" spans="1:7" x14ac:dyDescent="0.2">
      <c r="A26" s="8" t="s">
        <v>252</v>
      </c>
      <c r="B26" s="8" t="s">
        <v>253</v>
      </c>
      <c r="C26" s="8" t="s">
        <v>254</v>
      </c>
      <c r="D26" s="8">
        <f>E26/E44*100</f>
        <v>1.867730674837274</v>
      </c>
      <c r="E26" s="8">
        <v>4901</v>
      </c>
      <c r="F26" s="8">
        <f t="shared" si="0"/>
        <v>3.4884178737280989</v>
      </c>
      <c r="G26" s="8">
        <f t="shared" si="2"/>
        <v>4.9009999999999998</v>
      </c>
    </row>
    <row r="27" spans="1:7" x14ac:dyDescent="0.2">
      <c r="A27" s="8" t="s">
        <v>245</v>
      </c>
      <c r="B27" s="8" t="s">
        <v>246</v>
      </c>
      <c r="C27" s="8" t="s">
        <v>247</v>
      </c>
      <c r="D27" s="8">
        <f>E27/E44*100</f>
        <v>1.85591683053612</v>
      </c>
      <c r="E27" s="8">
        <v>4870</v>
      </c>
      <c r="F27" s="8">
        <f t="shared" si="0"/>
        <v>3.4444272818672372</v>
      </c>
      <c r="G27" s="8">
        <f t="shared" si="2"/>
        <v>4.87</v>
      </c>
    </row>
    <row r="28" spans="1:7" x14ac:dyDescent="0.2">
      <c r="A28" s="8" t="s">
        <v>260</v>
      </c>
      <c r="B28" s="8" t="s">
        <v>261</v>
      </c>
      <c r="C28" s="8" t="s">
        <v>261</v>
      </c>
      <c r="D28" s="8">
        <f>E27/E44*100</f>
        <v>1.85591683053612</v>
      </c>
      <c r="E28" s="8">
        <v>4304</v>
      </c>
      <c r="F28" s="8">
        <f t="shared" si="0"/>
        <v>3.4444272818672372</v>
      </c>
      <c r="G28" s="8">
        <f t="shared" si="2"/>
        <v>4.3040000000000003</v>
      </c>
    </row>
    <row r="29" spans="1:7" x14ac:dyDescent="0.2">
      <c r="A29" s="8" t="s">
        <v>257</v>
      </c>
      <c r="B29" s="8" t="s">
        <v>258</v>
      </c>
      <c r="C29" s="8" t="s">
        <v>259</v>
      </c>
      <c r="D29" s="8">
        <f>E29/E44*100</f>
        <v>1.6394567155988475</v>
      </c>
      <c r="E29" s="8">
        <v>4302</v>
      </c>
      <c r="F29" s="8">
        <f t="shared" si="0"/>
        <v>2.6878183223221606</v>
      </c>
      <c r="G29" s="8">
        <f t="shared" si="2"/>
        <v>4.3019999999999996</v>
      </c>
    </row>
    <row r="30" spans="1:7" x14ac:dyDescent="0.2">
      <c r="A30" s="8" t="s">
        <v>164</v>
      </c>
      <c r="B30" s="8" t="s">
        <v>174</v>
      </c>
      <c r="C30" s="8" t="s">
        <v>174</v>
      </c>
      <c r="D30" s="8">
        <f>E30/E44*100</f>
        <v>1.6028719074404354</v>
      </c>
      <c r="E30" s="8">
        <v>4206</v>
      </c>
      <c r="F30" s="8">
        <f t="shared" si="0"/>
        <v>2.5691983516617398</v>
      </c>
      <c r="G30" s="8">
        <f t="shared" si="2"/>
        <v>4.2060000000000004</v>
      </c>
    </row>
    <row r="31" spans="1:7" x14ac:dyDescent="0.2">
      <c r="A31" s="8" t="s">
        <v>295</v>
      </c>
      <c r="B31" s="8" t="s">
        <v>20</v>
      </c>
      <c r="C31" s="8" t="s">
        <v>262</v>
      </c>
      <c r="D31" s="8">
        <f>E31/E44*100</f>
        <v>1.3578299111294034</v>
      </c>
      <c r="E31" s="8">
        <v>3563</v>
      </c>
      <c r="F31" s="8">
        <f t="shared" si="0"/>
        <v>1.8437020675576836</v>
      </c>
      <c r="G31" s="8">
        <f t="shared" si="2"/>
        <v>3.5630000000000002</v>
      </c>
    </row>
    <row r="32" spans="1:7" x14ac:dyDescent="0.2">
      <c r="A32" s="8" t="s">
        <v>209</v>
      </c>
      <c r="B32" s="8" t="s">
        <v>181</v>
      </c>
      <c r="C32" s="8" t="s">
        <v>210</v>
      </c>
      <c r="D32" s="8">
        <f>E32/E44*100</f>
        <v>0</v>
      </c>
      <c r="F32" s="8">
        <f t="shared" si="0"/>
        <v>0</v>
      </c>
      <c r="G32" s="8">
        <f t="shared" si="2"/>
        <v>0</v>
      </c>
    </row>
    <row r="33" spans="1:7" x14ac:dyDescent="0.2">
      <c r="A33" s="8" t="s">
        <v>242</v>
      </c>
      <c r="B33" s="8" t="s">
        <v>243</v>
      </c>
      <c r="C33" s="8" t="s">
        <v>244</v>
      </c>
      <c r="D33" s="8">
        <f>E33/E44*100</f>
        <v>0</v>
      </c>
      <c r="F33" s="8">
        <f t="shared" si="0"/>
        <v>0</v>
      </c>
      <c r="G33" s="8">
        <f t="shared" si="2"/>
        <v>0</v>
      </c>
    </row>
    <row r="34" spans="1:7" x14ac:dyDescent="0.2">
      <c r="A34" s="8" t="s">
        <v>248</v>
      </c>
      <c r="B34" s="8" t="s">
        <v>249</v>
      </c>
      <c r="C34" s="8" t="s">
        <v>249</v>
      </c>
      <c r="D34" s="8">
        <f>E34/E44*100</f>
        <v>0</v>
      </c>
      <c r="F34" s="8">
        <f t="shared" si="0"/>
        <v>0</v>
      </c>
      <c r="G34" s="8">
        <f t="shared" si="2"/>
        <v>0</v>
      </c>
    </row>
    <row r="35" spans="1:7" x14ac:dyDescent="0.2">
      <c r="A35" s="8" t="s">
        <v>263</v>
      </c>
      <c r="B35" s="8" t="s">
        <v>264</v>
      </c>
      <c r="C35" s="8" t="s">
        <v>265</v>
      </c>
      <c r="D35" s="8">
        <f>E35/E44*100</f>
        <v>0</v>
      </c>
      <c r="F35" s="8">
        <f t="shared" si="0"/>
        <v>0</v>
      </c>
      <c r="G35" s="8">
        <f t="shared" si="2"/>
        <v>0</v>
      </c>
    </row>
    <row r="36" spans="1:7" x14ac:dyDescent="0.2">
      <c r="A36" s="8" t="s">
        <v>266</v>
      </c>
      <c r="B36" s="8" t="s">
        <v>266</v>
      </c>
      <c r="C36" s="8" t="s">
        <v>494</v>
      </c>
      <c r="D36" s="8">
        <f>E36/E44*100</f>
        <v>0</v>
      </c>
      <c r="F36" s="8">
        <f t="shared" si="0"/>
        <v>0</v>
      </c>
      <c r="G36" s="8">
        <f t="shared" si="2"/>
        <v>0</v>
      </c>
    </row>
    <row r="37" spans="1:7" x14ac:dyDescent="0.2">
      <c r="A37" s="8" t="s">
        <v>267</v>
      </c>
      <c r="B37" s="8" t="s">
        <v>268</v>
      </c>
      <c r="C37" s="8" t="s">
        <v>268</v>
      </c>
      <c r="D37" s="8">
        <f>E37/E44*100</f>
        <v>0</v>
      </c>
      <c r="F37" s="8">
        <f t="shared" si="0"/>
        <v>0</v>
      </c>
      <c r="G37" s="8">
        <f t="shared" si="2"/>
        <v>0</v>
      </c>
    </row>
    <row r="38" spans="1:7" x14ac:dyDescent="0.2">
      <c r="A38" s="8" t="s">
        <v>269</v>
      </c>
      <c r="B38" s="8" t="s">
        <v>270</v>
      </c>
      <c r="C38" s="8" t="s">
        <v>270</v>
      </c>
      <c r="D38" s="8">
        <f>E38/E44*100</f>
        <v>0</v>
      </c>
      <c r="F38" s="8">
        <f t="shared" si="0"/>
        <v>0</v>
      </c>
      <c r="G38" s="8">
        <f t="shared" si="2"/>
        <v>0</v>
      </c>
    </row>
    <row r="39" spans="1:7" x14ac:dyDescent="0.2">
      <c r="A39" s="8" t="s">
        <v>271</v>
      </c>
      <c r="C39" s="8" t="s">
        <v>272</v>
      </c>
      <c r="D39" s="8">
        <f>E39/E44*100</f>
        <v>0</v>
      </c>
      <c r="F39" s="8">
        <f t="shared" si="0"/>
        <v>0</v>
      </c>
      <c r="G39" s="8">
        <f t="shared" si="2"/>
        <v>0</v>
      </c>
    </row>
    <row r="40" spans="1:7" x14ac:dyDescent="0.2">
      <c r="C40" s="8" t="s">
        <v>273</v>
      </c>
      <c r="D40" s="8">
        <f>E40/E44*100</f>
        <v>0</v>
      </c>
      <c r="F40" s="8">
        <f t="shared" si="0"/>
        <v>0</v>
      </c>
      <c r="G40" s="8">
        <f t="shared" si="2"/>
        <v>0</v>
      </c>
    </row>
    <row r="41" spans="1:7" x14ac:dyDescent="0.2">
      <c r="A41" s="8" t="s">
        <v>274</v>
      </c>
      <c r="B41" s="8" t="s">
        <v>275</v>
      </c>
      <c r="C41" s="8" t="s">
        <v>276</v>
      </c>
      <c r="D41" s="8">
        <f>E41/E44*100</f>
        <v>0</v>
      </c>
      <c r="F41" s="8">
        <f t="shared" si="0"/>
        <v>0</v>
      </c>
      <c r="G41" s="8">
        <f t="shared" si="2"/>
        <v>0</v>
      </c>
    </row>
    <row r="42" spans="1:7" x14ac:dyDescent="0.2">
      <c r="A42" s="8" t="s">
        <v>277</v>
      </c>
      <c r="B42" s="8" t="s">
        <v>278</v>
      </c>
      <c r="C42" s="8" t="s">
        <v>279</v>
      </c>
      <c r="D42" s="8">
        <f>E42/E44*100</f>
        <v>0</v>
      </c>
      <c r="F42" s="8">
        <f t="shared" si="0"/>
        <v>0</v>
      </c>
      <c r="G42" s="8">
        <f t="shared" si="2"/>
        <v>0</v>
      </c>
    </row>
    <row r="43" spans="1:7" x14ac:dyDescent="0.2">
      <c r="B43" s="8" t="s">
        <v>280</v>
      </c>
      <c r="C43" s="8" t="s">
        <v>280</v>
      </c>
      <c r="D43" s="8">
        <f>E43/E44*100</f>
        <v>0</v>
      </c>
      <c r="F43" s="8">
        <f t="shared" si="0"/>
        <v>0</v>
      </c>
      <c r="G43" s="8">
        <f t="shared" si="2"/>
        <v>0</v>
      </c>
    </row>
    <row r="44" spans="1:7" x14ac:dyDescent="0.2">
      <c r="B44" s="5" t="s">
        <v>281</v>
      </c>
      <c r="E44" s="8">
        <f>SUM(E3:E43)</f>
        <v>262404</v>
      </c>
      <c r="F44" s="8">
        <f>SUM(F3:F43)</f>
        <v>469.99283079863335</v>
      </c>
      <c r="G44" s="8">
        <f>SUM(G3:G43)</f>
        <v>262.404</v>
      </c>
    </row>
    <row r="45" spans="1:7" x14ac:dyDescent="0.2">
      <c r="B45" s="5" t="s">
        <v>169</v>
      </c>
      <c r="D45" s="8">
        <v>13.3</v>
      </c>
    </row>
    <row r="46" spans="1:7" x14ac:dyDescent="0.2">
      <c r="B46" s="5"/>
    </row>
    <row r="47" spans="1:7" x14ac:dyDescent="0.2">
      <c r="B47" s="5" t="s">
        <v>60</v>
      </c>
      <c r="D47" s="8">
        <f>D3+D4+D6+D5</f>
        <v>30.60204874925687</v>
      </c>
    </row>
    <row r="48" spans="1:7" x14ac:dyDescent="0.2">
      <c r="B48" s="5" t="s">
        <v>63</v>
      </c>
      <c r="D48" s="8">
        <v>400.3</v>
      </c>
    </row>
  </sheetData>
  <mergeCells count="1">
    <mergeCell ref="A1:C1"/>
  </mergeCells>
  <phoneticPr fontId="4" type="noConversion"/>
  <pageMargins left="0.7" right="0.7" top="0.75" bottom="0.75" header="0.3" footer="0.3"/>
  <pageSetup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3459D-6547-E948-B9FF-EEE8FEB27D64}">
  <dimension ref="A1:M34"/>
  <sheetViews>
    <sheetView zoomScale="84" zoomScaleNormal="150" workbookViewId="0">
      <selection activeCell="E39" sqref="E39"/>
    </sheetView>
  </sheetViews>
  <sheetFormatPr baseColWidth="10" defaultColWidth="11" defaultRowHeight="16" x14ac:dyDescent="0.2"/>
  <cols>
    <col min="1" max="2" width="11" style="8"/>
    <col min="3" max="7" width="11" style="8" customWidth="1"/>
    <col min="8" max="16384" width="11" style="8"/>
  </cols>
  <sheetData>
    <row r="1" spans="1:13" ht="32" customHeight="1" x14ac:dyDescent="0.2">
      <c r="A1" s="32" t="s">
        <v>649</v>
      </c>
      <c r="B1" s="32"/>
      <c r="C1" s="32"/>
      <c r="D1" s="32"/>
      <c r="E1" s="32"/>
      <c r="F1" s="32"/>
      <c r="G1" s="32"/>
      <c r="H1" s="32"/>
      <c r="I1" s="32"/>
      <c r="J1" s="32"/>
      <c r="K1" s="32"/>
    </row>
    <row r="3" spans="1:13" x14ac:dyDescent="0.2">
      <c r="B3" s="8">
        <v>2011</v>
      </c>
      <c r="C3" s="8">
        <v>2012</v>
      </c>
      <c r="D3" s="8">
        <v>2013</v>
      </c>
      <c r="E3" s="8">
        <v>2014</v>
      </c>
      <c r="F3" s="8">
        <v>2015</v>
      </c>
      <c r="G3" s="8">
        <v>2016</v>
      </c>
      <c r="H3" s="8">
        <v>2017</v>
      </c>
      <c r="I3" s="8">
        <v>2018</v>
      </c>
      <c r="J3" s="8">
        <v>2019</v>
      </c>
      <c r="K3" s="8">
        <v>2020</v>
      </c>
      <c r="L3" s="8">
        <v>2021</v>
      </c>
      <c r="M3" s="8">
        <v>2022</v>
      </c>
    </row>
    <row r="4" spans="1:13" x14ac:dyDescent="0.2">
      <c r="A4" s="8" t="s">
        <v>33</v>
      </c>
      <c r="B4" s="8">
        <v>58.5</v>
      </c>
      <c r="C4" s="8">
        <v>73.3</v>
      </c>
      <c r="D4" s="8">
        <v>78.7</v>
      </c>
      <c r="E4" s="8">
        <v>77.599999999999994</v>
      </c>
      <c r="F4" s="8">
        <v>65.099999999999994</v>
      </c>
      <c r="G4" s="8">
        <v>63.4</v>
      </c>
      <c r="H4" s="8">
        <v>62.9</v>
      </c>
      <c r="I4" s="8">
        <v>58.5</v>
      </c>
      <c r="J4" s="8">
        <v>45.5</v>
      </c>
      <c r="K4" s="8">
        <v>44.4</v>
      </c>
      <c r="L4" s="8">
        <v>42.9</v>
      </c>
      <c r="M4" s="8">
        <v>39.6</v>
      </c>
    </row>
    <row r="5" spans="1:13" x14ac:dyDescent="0.2">
      <c r="A5" s="8" t="s">
        <v>178</v>
      </c>
      <c r="F5" s="8">
        <v>7.9</v>
      </c>
      <c r="G5" s="8">
        <v>9.9</v>
      </c>
      <c r="H5" s="8">
        <v>16.600000000000001</v>
      </c>
      <c r="I5" s="8">
        <v>19.8</v>
      </c>
      <c r="J5" s="8">
        <v>24.2</v>
      </c>
      <c r="K5" s="8">
        <v>19.2</v>
      </c>
      <c r="L5" s="8">
        <v>16.5</v>
      </c>
      <c r="M5" s="8">
        <v>16.5</v>
      </c>
    </row>
    <row r="6" spans="1:13" x14ac:dyDescent="0.2">
      <c r="A6" s="8" t="s">
        <v>179</v>
      </c>
      <c r="K6" s="8">
        <v>9.6</v>
      </c>
      <c r="L6" s="8">
        <v>12.1</v>
      </c>
      <c r="M6" s="8">
        <v>12.9</v>
      </c>
    </row>
    <row r="7" spans="1:13" x14ac:dyDescent="0.2">
      <c r="A7" s="8" t="s">
        <v>20</v>
      </c>
      <c r="F7" s="8">
        <v>3</v>
      </c>
      <c r="G7" s="8">
        <v>5.6</v>
      </c>
      <c r="H7" s="8">
        <v>8.1</v>
      </c>
      <c r="I7" s="8">
        <v>8.8000000000000007</v>
      </c>
      <c r="J7" s="8">
        <v>8.1</v>
      </c>
      <c r="K7" s="8">
        <v>8.4</v>
      </c>
      <c r="L7" s="8">
        <v>8.8000000000000007</v>
      </c>
      <c r="M7" s="8">
        <v>9.1</v>
      </c>
    </row>
    <row r="8" spans="1:13" x14ac:dyDescent="0.2">
      <c r="A8" s="8" t="s">
        <v>37</v>
      </c>
      <c r="B8" s="8">
        <f t="shared" ref="B8:I8" si="0">B27/B17*100</f>
        <v>41.490773127487635</v>
      </c>
      <c r="C8" s="8">
        <f t="shared" si="0"/>
        <v>26.728614375512439</v>
      </c>
      <c r="D8" s="8">
        <f t="shared" si="0"/>
        <v>21.274401979653561</v>
      </c>
      <c r="E8" s="8">
        <f t="shared" si="0"/>
        <v>19.639709753473571</v>
      </c>
      <c r="F8" s="8">
        <f t="shared" si="0"/>
        <v>17.250434953878475</v>
      </c>
      <c r="G8" s="8">
        <f t="shared" si="0"/>
        <v>11.654529069342621</v>
      </c>
      <c r="H8" s="8">
        <f t="shared" si="0"/>
        <v>8.2505623121479346</v>
      </c>
      <c r="I8" s="8">
        <f t="shared" si="0"/>
        <v>6.8521123564913546</v>
      </c>
      <c r="J8" s="8">
        <f>J27/J17*100</f>
        <v>5.5257393209200441</v>
      </c>
      <c r="K8" s="8">
        <f>K27/K17*100</f>
        <v>6.3031531602869677</v>
      </c>
      <c r="L8" s="8">
        <f>L27/L17*100</f>
        <v>5.9248406333538961</v>
      </c>
      <c r="M8" s="8">
        <f>M27/M17*100</f>
        <v>5.7710804745110611</v>
      </c>
    </row>
    <row r="9" spans="1:13" x14ac:dyDescent="0.2">
      <c r="A9" s="8" t="s">
        <v>43</v>
      </c>
      <c r="F9" s="8">
        <v>0</v>
      </c>
      <c r="G9" s="8">
        <v>0</v>
      </c>
      <c r="H9" s="8">
        <v>0</v>
      </c>
      <c r="I9" s="8">
        <v>0</v>
      </c>
      <c r="J9" s="8">
        <v>2</v>
      </c>
      <c r="K9" s="8">
        <v>1.7</v>
      </c>
      <c r="L9" s="8">
        <v>3.2</v>
      </c>
      <c r="M9" s="8">
        <v>5</v>
      </c>
    </row>
    <row r="10" spans="1:13" x14ac:dyDescent="0.2">
      <c r="A10" s="8" t="s">
        <v>27</v>
      </c>
      <c r="J10" s="8">
        <v>5.9</v>
      </c>
      <c r="K10" s="8">
        <v>5.5</v>
      </c>
      <c r="L10" s="8">
        <v>4.5999999999999996</v>
      </c>
      <c r="M10" s="8">
        <v>4.5</v>
      </c>
    </row>
    <row r="11" spans="1:13" x14ac:dyDescent="0.2">
      <c r="A11" s="8" t="s">
        <v>22</v>
      </c>
      <c r="B11" s="8">
        <v>0</v>
      </c>
      <c r="C11" s="8">
        <v>0</v>
      </c>
      <c r="D11" s="8">
        <v>0</v>
      </c>
      <c r="E11" s="8">
        <v>0</v>
      </c>
      <c r="F11" s="8">
        <v>3</v>
      </c>
      <c r="G11" s="8">
        <v>5.6</v>
      </c>
      <c r="H11" s="8">
        <v>0</v>
      </c>
      <c r="I11" s="8">
        <v>0</v>
      </c>
      <c r="J11" s="8">
        <v>0</v>
      </c>
      <c r="K11" s="8">
        <v>0.8</v>
      </c>
      <c r="L11" s="8">
        <v>2.1</v>
      </c>
      <c r="M11" s="8">
        <v>2.8</v>
      </c>
    </row>
    <row r="12" spans="1:13" x14ac:dyDescent="0.2">
      <c r="A12" s="8" t="s">
        <v>24</v>
      </c>
      <c r="E12" s="8">
        <v>2.8</v>
      </c>
      <c r="F12" s="8">
        <v>3.9</v>
      </c>
      <c r="G12" s="8">
        <v>3.8</v>
      </c>
      <c r="H12" s="8">
        <v>4</v>
      </c>
      <c r="I12" s="8">
        <v>3.6</v>
      </c>
      <c r="J12" s="8">
        <v>2.9</v>
      </c>
      <c r="K12" s="8">
        <v>2.2000000000000002</v>
      </c>
      <c r="L12" s="8">
        <v>1.9</v>
      </c>
      <c r="M12" s="8">
        <v>1.7</v>
      </c>
    </row>
    <row r="13" spans="1:13" x14ac:dyDescent="0.2">
      <c r="A13" s="8" t="s">
        <v>180</v>
      </c>
      <c r="J13" s="8">
        <v>0.3</v>
      </c>
      <c r="L13" s="8">
        <v>0.8</v>
      </c>
      <c r="M13" s="8">
        <v>1</v>
      </c>
    </row>
    <row r="14" spans="1:13" x14ac:dyDescent="0.2">
      <c r="A14" s="8" t="s">
        <v>182</v>
      </c>
      <c r="J14" s="8">
        <f>J33/J17*100</f>
        <v>0.47645125958378964</v>
      </c>
      <c r="K14" s="8">
        <f>K33/K17*100</f>
        <v>0.53846032022551982</v>
      </c>
      <c r="L14" s="8">
        <f>L33/L17*100</f>
        <v>0.64582048118445412</v>
      </c>
      <c r="M14" s="8">
        <f>M33/M17*100</f>
        <v>0.64666532623994</v>
      </c>
    </row>
    <row r="15" spans="1:13" x14ac:dyDescent="0.2">
      <c r="A15" s="8" t="s">
        <v>34</v>
      </c>
      <c r="H15" s="8">
        <v>0.2</v>
      </c>
      <c r="I15" s="8">
        <v>0.2</v>
      </c>
      <c r="J15" s="8">
        <v>0.4</v>
      </c>
      <c r="K15" s="8">
        <v>0.7</v>
      </c>
      <c r="L15" s="8">
        <v>0.6</v>
      </c>
      <c r="M15" s="8">
        <v>0.5</v>
      </c>
    </row>
    <row r="17" spans="1:13" x14ac:dyDescent="0.2">
      <c r="A17" s="8" t="s">
        <v>183</v>
      </c>
      <c r="B17" s="8">
        <v>82.91</v>
      </c>
      <c r="C17" s="8">
        <v>182.95</v>
      </c>
      <c r="D17" s="8">
        <v>290.95999999999998</v>
      </c>
      <c r="E17" s="8">
        <v>436.87</v>
      </c>
      <c r="F17" s="8">
        <v>609.26</v>
      </c>
      <c r="G17" s="8">
        <v>821.14</v>
      </c>
      <c r="H17" s="8">
        <v>1004.78</v>
      </c>
      <c r="I17" s="8">
        <v>1322.22</v>
      </c>
      <c r="J17" s="8">
        <v>1826</v>
      </c>
      <c r="K17" s="8">
        <v>2525.7199999999998</v>
      </c>
      <c r="L17" s="8">
        <v>3112.32</v>
      </c>
      <c r="M17" s="8">
        <v>3680.42</v>
      </c>
    </row>
    <row r="18" spans="1:13" x14ac:dyDescent="0.2">
      <c r="A18" s="8" t="s">
        <v>60</v>
      </c>
      <c r="B18" s="8">
        <v>58.5</v>
      </c>
      <c r="C18" s="8">
        <v>73.3</v>
      </c>
      <c r="D18" s="8">
        <v>78.7</v>
      </c>
      <c r="E18" s="8">
        <v>80.400000000000006</v>
      </c>
      <c r="F18" s="8">
        <v>79.8</v>
      </c>
      <c r="G18" s="8">
        <v>84.5</v>
      </c>
      <c r="H18" s="8">
        <v>91.6</v>
      </c>
      <c r="I18" s="8">
        <v>90.6</v>
      </c>
      <c r="J18" s="8">
        <v>83.7</v>
      </c>
      <c r="K18" s="8">
        <f>K4+K5+K6+K7</f>
        <v>81.599999999999994</v>
      </c>
      <c r="L18" s="8">
        <f>L4+L5+L6+L7</f>
        <v>80.3</v>
      </c>
      <c r="M18" s="8">
        <f>M4+M5+M6+M7</f>
        <v>78.099999999999994</v>
      </c>
    </row>
    <row r="19" spans="1:13" x14ac:dyDescent="0.2">
      <c r="A19" s="8" t="s">
        <v>63</v>
      </c>
      <c r="B19" s="8">
        <f t="shared" ref="B19:M19" si="1">SUMSQ(B4:B15)</f>
        <v>5143.73425471665</v>
      </c>
      <c r="C19" s="8">
        <f t="shared" si="1"/>
        <v>6087.3088264348498</v>
      </c>
      <c r="D19" s="8">
        <f t="shared" si="1"/>
        <v>6646.2901795918879</v>
      </c>
      <c r="E19" s="8">
        <f t="shared" si="1"/>
        <v>6415.3181992006848</v>
      </c>
      <c r="F19" s="8">
        <f t="shared" si="1"/>
        <v>4631.2075060979914</v>
      </c>
      <c r="G19" s="8">
        <f t="shared" si="1"/>
        <v>4330.5580478281508</v>
      </c>
      <c r="H19" s="8">
        <f t="shared" si="1"/>
        <v>4381.6917784666357</v>
      </c>
      <c r="I19" s="8">
        <f t="shared" si="1"/>
        <v>3951.6814437459816</v>
      </c>
      <c r="J19" s="8">
        <f t="shared" si="1"/>
        <v>2799.7308008455207</v>
      </c>
      <c r="K19" s="8">
        <f t="shared" si="1"/>
        <v>2581.8496792784922</v>
      </c>
      <c r="L19" s="8">
        <f t="shared" si="1"/>
        <v>2412.4508206245582</v>
      </c>
      <c r="M19" s="8">
        <f t="shared" si="1"/>
        <v>2180.583545887444</v>
      </c>
    </row>
    <row r="20" spans="1:13" ht="51" customHeight="1" x14ac:dyDescent="0.2"/>
    <row r="21" spans="1:13" x14ac:dyDescent="0.2">
      <c r="A21" s="8" t="s">
        <v>184</v>
      </c>
    </row>
    <row r="22" spans="1:13" x14ac:dyDescent="0.2">
      <c r="B22" s="8">
        <v>2011</v>
      </c>
      <c r="C22" s="8">
        <v>2012</v>
      </c>
      <c r="D22" s="8">
        <v>2013</v>
      </c>
      <c r="E22" s="8">
        <v>2014</v>
      </c>
      <c r="F22" s="8">
        <v>2015</v>
      </c>
      <c r="G22" s="8">
        <v>2016</v>
      </c>
      <c r="H22" s="8">
        <v>2017</v>
      </c>
      <c r="I22" s="8">
        <v>2018</v>
      </c>
      <c r="J22" s="8">
        <v>2019</v>
      </c>
      <c r="K22" s="8">
        <v>2020</v>
      </c>
      <c r="L22" s="8">
        <v>2021</v>
      </c>
      <c r="M22" s="8">
        <v>2022</v>
      </c>
    </row>
    <row r="23" spans="1:13" x14ac:dyDescent="0.2">
      <c r="A23" s="8" t="s">
        <v>33</v>
      </c>
      <c r="B23" s="8">
        <v>48.5</v>
      </c>
      <c r="C23" s="8">
        <v>134.1</v>
      </c>
      <c r="D23" s="8">
        <v>229</v>
      </c>
      <c r="E23" s="8">
        <v>338.9</v>
      </c>
      <c r="F23" s="8">
        <v>396.6</v>
      </c>
      <c r="G23" s="8">
        <v>520.4</v>
      </c>
      <c r="H23" s="8">
        <v>631.5</v>
      </c>
      <c r="I23" s="8">
        <v>773.5</v>
      </c>
      <c r="J23" s="8">
        <v>831.5</v>
      </c>
      <c r="K23" s="8">
        <v>1121</v>
      </c>
      <c r="L23" s="8">
        <v>1335.3</v>
      </c>
      <c r="M23" s="8">
        <v>1456.9</v>
      </c>
    </row>
    <row r="24" spans="1:13" x14ac:dyDescent="0.2">
      <c r="A24" s="8" t="s">
        <v>178</v>
      </c>
      <c r="F24" s="8">
        <v>48</v>
      </c>
      <c r="G24" s="8">
        <v>81.599999999999994</v>
      </c>
      <c r="H24" s="8">
        <v>167.3</v>
      </c>
      <c r="I24" s="8">
        <v>261.8</v>
      </c>
      <c r="J24" s="8">
        <v>441</v>
      </c>
      <c r="K24" s="8">
        <v>486</v>
      </c>
      <c r="L24" s="8">
        <v>513</v>
      </c>
      <c r="M24" s="8">
        <v>608.6</v>
      </c>
    </row>
    <row r="25" spans="1:13" x14ac:dyDescent="0.2">
      <c r="A25" s="8" t="s">
        <v>179</v>
      </c>
      <c r="K25" s="8">
        <v>243.6</v>
      </c>
      <c r="L25" s="8">
        <v>376.1</v>
      </c>
      <c r="M25" s="8">
        <v>473.6</v>
      </c>
    </row>
    <row r="26" spans="1:13" x14ac:dyDescent="0.2">
      <c r="A26" s="8" t="s">
        <v>20</v>
      </c>
      <c r="F26" s="8">
        <v>18</v>
      </c>
      <c r="G26" s="8">
        <v>46</v>
      </c>
      <c r="H26" s="8">
        <v>81.7</v>
      </c>
      <c r="I26" s="8">
        <v>116.1</v>
      </c>
      <c r="J26" s="8">
        <v>147.1</v>
      </c>
      <c r="K26" s="8">
        <v>211.5</v>
      </c>
      <c r="L26" s="8">
        <v>275.3</v>
      </c>
      <c r="M26" s="8">
        <v>335</v>
      </c>
    </row>
    <row r="27" spans="1:13" x14ac:dyDescent="0.2">
      <c r="A27" s="8" t="s">
        <v>37</v>
      </c>
      <c r="B27" s="8">
        <v>34.4</v>
      </c>
      <c r="C27" s="8">
        <v>48.9</v>
      </c>
      <c r="D27" s="8">
        <v>61.9</v>
      </c>
      <c r="E27" s="8">
        <v>85.8</v>
      </c>
      <c r="F27" s="8">
        <v>105.1</v>
      </c>
      <c r="G27" s="8">
        <v>95.7</v>
      </c>
      <c r="H27" s="8">
        <v>82.9</v>
      </c>
      <c r="I27" s="8">
        <v>90.6</v>
      </c>
      <c r="J27" s="8">
        <v>100.9</v>
      </c>
      <c r="K27" s="8">
        <v>159.19999999999999</v>
      </c>
      <c r="L27" s="8">
        <v>184.4</v>
      </c>
      <c r="M27" s="8">
        <v>212.4</v>
      </c>
    </row>
    <row r="28" spans="1:13" x14ac:dyDescent="0.2">
      <c r="A28" s="8" t="s">
        <v>43</v>
      </c>
      <c r="J28" s="8">
        <v>36.9</v>
      </c>
      <c r="K28" s="8">
        <v>42</v>
      </c>
      <c r="L28" s="8">
        <v>99.5</v>
      </c>
      <c r="M28" s="8">
        <v>182.4</v>
      </c>
    </row>
    <row r="29" spans="1:13" x14ac:dyDescent="0.2">
      <c r="A29" s="8" t="s">
        <v>27</v>
      </c>
      <c r="G29" s="8">
        <v>0</v>
      </c>
      <c r="H29" s="8">
        <v>0</v>
      </c>
      <c r="I29" s="8">
        <v>28.7</v>
      </c>
      <c r="J29" s="8">
        <v>108.1</v>
      </c>
      <c r="K29" s="8">
        <v>138.80000000000001</v>
      </c>
      <c r="L29" s="8">
        <v>143.1</v>
      </c>
      <c r="M29" s="8">
        <v>165.6</v>
      </c>
    </row>
    <row r="30" spans="1:13" x14ac:dyDescent="0.2">
      <c r="A30" s="8" t="s">
        <v>22</v>
      </c>
      <c r="F30" s="8">
        <v>18</v>
      </c>
      <c r="G30" s="8">
        <v>46</v>
      </c>
      <c r="K30" s="8">
        <v>20.5</v>
      </c>
      <c r="L30" s="8">
        <v>64.3</v>
      </c>
      <c r="M30" s="8">
        <v>103.3</v>
      </c>
    </row>
    <row r="31" spans="1:13" x14ac:dyDescent="0.2">
      <c r="A31" s="8" t="s">
        <v>24</v>
      </c>
      <c r="E31" s="8">
        <v>12.2</v>
      </c>
      <c r="F31" s="8">
        <v>23.6</v>
      </c>
      <c r="G31" s="8">
        <v>31.4</v>
      </c>
      <c r="H31" s="8">
        <v>39.700000000000003</v>
      </c>
      <c r="I31" s="8">
        <v>47</v>
      </c>
      <c r="J31" s="8">
        <v>52.3</v>
      </c>
      <c r="K31" s="8">
        <v>55.7</v>
      </c>
      <c r="L31" s="8">
        <v>58.3</v>
      </c>
      <c r="M31" s="8">
        <v>63.3</v>
      </c>
    </row>
    <row r="32" spans="1:13" x14ac:dyDescent="0.2">
      <c r="A32" s="8" t="s">
        <v>180</v>
      </c>
      <c r="I32" s="8">
        <v>1.4</v>
      </c>
      <c r="J32" s="8">
        <v>92.1</v>
      </c>
      <c r="K32" s="8">
        <v>17.5</v>
      </c>
      <c r="L32" s="8">
        <v>24.9</v>
      </c>
      <c r="M32" s="8">
        <v>37.700000000000003</v>
      </c>
    </row>
    <row r="33" spans="1:13" x14ac:dyDescent="0.2">
      <c r="A33" s="8" t="s">
        <v>182</v>
      </c>
      <c r="J33" s="8">
        <v>8.6999999999999993</v>
      </c>
      <c r="K33" s="8">
        <v>13.6</v>
      </c>
      <c r="L33" s="8">
        <v>20.100000000000001</v>
      </c>
      <c r="M33" s="8">
        <v>23.8</v>
      </c>
    </row>
    <row r="34" spans="1:13" x14ac:dyDescent="0.2">
      <c r="A34" s="8" t="s">
        <v>34</v>
      </c>
      <c r="H34" s="8">
        <v>1.8</v>
      </c>
      <c r="I34" s="8">
        <v>3.1</v>
      </c>
      <c r="J34" s="8">
        <v>7.5</v>
      </c>
      <c r="K34" s="8">
        <v>16.399999999999999</v>
      </c>
      <c r="L34" s="8">
        <v>18</v>
      </c>
      <c r="M34" s="8">
        <v>18</v>
      </c>
    </row>
  </sheetData>
  <mergeCells count="1">
    <mergeCell ref="A1:K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7261-7517-5041-A3A5-44E333D2BEDE}">
  <dimension ref="A1:D17"/>
  <sheetViews>
    <sheetView zoomScale="94" zoomScaleNormal="140" workbookViewId="0">
      <selection activeCell="F16" sqref="F16"/>
    </sheetView>
  </sheetViews>
  <sheetFormatPr baseColWidth="10" defaultRowHeight="16" x14ac:dyDescent="0.2"/>
  <cols>
    <col min="1" max="1" width="20" style="7" customWidth="1"/>
    <col min="2" max="2" width="25.6640625" style="7" customWidth="1"/>
    <col min="3" max="3" width="12" style="7" customWidth="1"/>
    <col min="4" max="16384" width="10.83203125" style="7"/>
  </cols>
  <sheetData>
    <row r="1" spans="1:4" ht="34" customHeight="1" x14ac:dyDescent="0.2">
      <c r="A1" s="30" t="s">
        <v>648</v>
      </c>
      <c r="B1" s="30"/>
      <c r="C1" s="30"/>
      <c r="D1" s="30"/>
    </row>
    <row r="2" spans="1:4" ht="17" x14ac:dyDescent="0.2">
      <c r="B2" s="7" t="s">
        <v>172</v>
      </c>
    </row>
    <row r="3" spans="1:4" ht="17" customHeight="1" x14ac:dyDescent="0.2">
      <c r="A3" s="7" t="s">
        <v>33</v>
      </c>
      <c r="B3" s="7">
        <v>0.25629436185884558</v>
      </c>
    </row>
    <row r="4" spans="1:4" ht="17" x14ac:dyDescent="0.2">
      <c r="A4" s="7" t="s">
        <v>34</v>
      </c>
      <c r="B4" s="7">
        <v>0.16661309762957011</v>
      </c>
    </row>
    <row r="5" spans="1:4" ht="17" x14ac:dyDescent="0.2">
      <c r="A5" s="7" t="s">
        <v>31</v>
      </c>
      <c r="B5" s="7">
        <v>0.16014463640016069</v>
      </c>
    </row>
    <row r="6" spans="1:4" ht="17" x14ac:dyDescent="0.2">
      <c r="A6" s="7" t="s">
        <v>203</v>
      </c>
      <c r="B6" s="7">
        <v>0.1004419445560466</v>
      </c>
    </row>
    <row r="7" spans="1:4" ht="17" x14ac:dyDescent="0.2">
      <c r="A7" s="7" t="s">
        <v>27</v>
      </c>
      <c r="B7" s="7">
        <v>8.7016204633721714E-2</v>
      </c>
    </row>
    <row r="8" spans="1:4" ht="17" x14ac:dyDescent="0.2">
      <c r="A8" s="7" t="s">
        <v>43</v>
      </c>
      <c r="B8" s="7">
        <v>8.0541047274675232E-2</v>
      </c>
    </row>
    <row r="9" spans="1:4" ht="17" x14ac:dyDescent="0.2">
      <c r="A9" s="7" t="s">
        <v>20</v>
      </c>
      <c r="B9" s="7">
        <v>5.4663854292219101E-2</v>
      </c>
    </row>
    <row r="10" spans="1:4" ht="17" x14ac:dyDescent="0.2">
      <c r="A10" s="7" t="s">
        <v>634</v>
      </c>
      <c r="B10" s="7">
        <v>3.5857774206508639E-2</v>
      </c>
    </row>
    <row r="11" spans="1:4" ht="17" x14ac:dyDescent="0.2">
      <c r="A11" s="7" t="s">
        <v>181</v>
      </c>
      <c r="B11" s="7">
        <v>2.2184277487612161E-2</v>
      </c>
    </row>
    <row r="12" spans="1:4" ht="17" x14ac:dyDescent="0.2">
      <c r="A12" s="7" t="s">
        <v>234</v>
      </c>
      <c r="B12" s="7">
        <v>1.7684478371501274E-2</v>
      </c>
    </row>
    <row r="13" spans="1:4" ht="17" x14ac:dyDescent="0.2">
      <c r="A13" s="7" t="s">
        <v>196</v>
      </c>
      <c r="B13" s="7">
        <v>1.3301861524039105E-2</v>
      </c>
    </row>
    <row r="14" spans="1:4" ht="17" x14ac:dyDescent="0.2">
      <c r="A14" s="7" t="s">
        <v>180</v>
      </c>
      <c r="B14" s="7">
        <v>5.2564617650997722E-3</v>
      </c>
    </row>
    <row r="15" spans="1:4" ht="17" x14ac:dyDescent="0.2">
      <c r="A15" s="7" t="s">
        <v>640</v>
      </c>
      <c r="B15" s="7">
        <v>29.71</v>
      </c>
    </row>
    <row r="16" spans="1:4" ht="17" x14ac:dyDescent="0.2">
      <c r="A16" s="7" t="s">
        <v>60</v>
      </c>
      <c r="B16" s="7">
        <f>B3+B4+B5+B6</f>
        <v>0.68349404044462292</v>
      </c>
    </row>
    <row r="17" spans="1:2" ht="17" x14ac:dyDescent="0.2">
      <c r="A17" s="7" t="s">
        <v>63</v>
      </c>
      <c r="B17" s="7">
        <v>1485.2366297159042</v>
      </c>
    </row>
  </sheetData>
  <mergeCells count="1">
    <mergeCell ref="A1:D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558E9-C4F1-2440-9A36-3C12A7B5FDBE}">
  <dimension ref="A1:M36"/>
  <sheetViews>
    <sheetView zoomScale="75" zoomScaleNormal="120" workbookViewId="0">
      <selection activeCell="O23" sqref="O23"/>
    </sheetView>
  </sheetViews>
  <sheetFormatPr baseColWidth="10" defaultColWidth="11" defaultRowHeight="16" x14ac:dyDescent="0.2"/>
  <cols>
    <col min="1" max="1" width="15.33203125" style="8" customWidth="1"/>
    <col min="2" max="4" width="10.83203125" style="8"/>
    <col min="5" max="5" width="11.5" style="8" customWidth="1"/>
    <col min="6" max="8" width="11.6640625" style="8" bestFit="1" customWidth="1"/>
    <col min="9" max="9" width="10.83203125" style="8"/>
    <col min="10" max="10" width="11.6640625" style="8" bestFit="1" customWidth="1"/>
    <col min="11" max="12" width="10.83203125" style="8"/>
    <col min="13" max="13" width="11.6640625" style="8" bestFit="1" customWidth="1"/>
    <col min="14" max="21" width="11" style="8"/>
    <col min="22" max="23" width="11.6640625" style="8" bestFit="1" customWidth="1"/>
    <col min="24" max="16384" width="11" style="8"/>
  </cols>
  <sheetData>
    <row r="1" spans="1:13" ht="20" customHeight="1" x14ac:dyDescent="0.2">
      <c r="A1" s="32" t="s">
        <v>647</v>
      </c>
      <c r="B1" s="32"/>
      <c r="C1" s="32"/>
      <c r="D1" s="32"/>
      <c r="E1" s="32"/>
      <c r="F1" s="32"/>
      <c r="G1" s="32"/>
      <c r="H1" s="32"/>
      <c r="I1" s="32"/>
      <c r="J1" s="32"/>
      <c r="K1" s="32"/>
      <c r="L1" s="32"/>
      <c r="M1" s="32"/>
    </row>
    <row r="2" spans="1:13" ht="26" customHeight="1" x14ac:dyDescent="0.2">
      <c r="A2" s="8" t="s">
        <v>60</v>
      </c>
      <c r="I2" s="31"/>
      <c r="J2" s="31"/>
      <c r="K2" s="31"/>
      <c r="L2" s="31"/>
      <c r="M2" s="31"/>
    </row>
    <row r="3" spans="1:13" x14ac:dyDescent="0.2">
      <c r="B3" s="8">
        <v>2011</v>
      </c>
      <c r="C3" s="8">
        <v>2012</v>
      </c>
      <c r="D3" s="8">
        <v>2013</v>
      </c>
      <c r="E3" s="8">
        <v>2014</v>
      </c>
      <c r="F3" s="8">
        <v>2015</v>
      </c>
      <c r="G3" s="8">
        <v>2016</v>
      </c>
      <c r="H3" s="8">
        <v>2017</v>
      </c>
      <c r="I3" s="8">
        <v>2018</v>
      </c>
      <c r="J3" s="8">
        <v>2019</v>
      </c>
      <c r="K3" s="8">
        <v>2020</v>
      </c>
      <c r="L3" s="8">
        <v>2021</v>
      </c>
      <c r="M3" s="8">
        <v>2022</v>
      </c>
    </row>
    <row r="4" spans="1:13" x14ac:dyDescent="0.2">
      <c r="A4" s="8" t="s">
        <v>33</v>
      </c>
      <c r="B4" s="8">
        <f>B23/B17*100</f>
        <v>28.512639623750736</v>
      </c>
      <c r="C4" s="8">
        <f t="shared" ref="C4:M4" si="0">C23/C17*100</f>
        <v>46.368038740920099</v>
      </c>
      <c r="D4" s="8">
        <f t="shared" si="0"/>
        <v>57.658610271903335</v>
      </c>
      <c r="E4" s="8">
        <f t="shared" si="0"/>
        <v>58.390764989662301</v>
      </c>
      <c r="F4" s="8">
        <f t="shared" si="0"/>
        <v>51.737769080234827</v>
      </c>
      <c r="G4" s="8">
        <f t="shared" si="0"/>
        <v>49.60823563054047</v>
      </c>
      <c r="H4" s="8">
        <f t="shared" si="0"/>
        <v>48.628523024795939</v>
      </c>
      <c r="I4" s="8">
        <f t="shared" si="0"/>
        <v>45.910251083278922</v>
      </c>
      <c r="J4" s="8">
        <f t="shared" si="0"/>
        <v>35.899572557316176</v>
      </c>
      <c r="K4" s="8">
        <f t="shared" si="0"/>
        <v>35.180768265126787</v>
      </c>
      <c r="L4" s="8">
        <f t="shared" si="0"/>
        <v>34.130412555595321</v>
      </c>
      <c r="M4" s="8">
        <f t="shared" si="0"/>
        <v>31.596788465542367</v>
      </c>
    </row>
    <row r="5" spans="1:13" x14ac:dyDescent="0.2">
      <c r="A5" s="8" t="s">
        <v>27</v>
      </c>
      <c r="B5" s="8">
        <f>B24/B17*100</f>
        <v>51.258083480305707</v>
      </c>
      <c r="C5" s="8">
        <f>C24/C17*100</f>
        <v>36.731234866828082</v>
      </c>
      <c r="D5" s="8">
        <f>D24/D17*100</f>
        <v>26.734642497482376</v>
      </c>
      <c r="E5" s="8">
        <f>E24/E17*100</f>
        <v>24.727773949000692</v>
      </c>
      <c r="F5" s="8">
        <f t="shared" ref="F5:M5" si="1">F24/F17*100</f>
        <v>20.511415525114156</v>
      </c>
      <c r="G5" s="8">
        <f t="shared" si="1"/>
        <v>21.732913926222476</v>
      </c>
      <c r="H5" s="8">
        <f t="shared" si="1"/>
        <v>22.628985060834747</v>
      </c>
      <c r="I5" s="8">
        <f t="shared" si="1"/>
        <v>23.218970736629668</v>
      </c>
      <c r="J5" s="8">
        <f t="shared" si="1"/>
        <v>25.827036829152455</v>
      </c>
      <c r="K5" s="8">
        <f t="shared" si="1"/>
        <v>25.091011800150643</v>
      </c>
      <c r="L5" s="8">
        <f t="shared" si="1"/>
        <v>24.105107100863965</v>
      </c>
      <c r="M5" s="8">
        <f t="shared" si="1"/>
        <v>23.771601082656669</v>
      </c>
    </row>
    <row r="6" spans="1:13" x14ac:dyDescent="0.2">
      <c r="A6" s="8" t="s">
        <v>178</v>
      </c>
      <c r="K6" s="8">
        <f>K25/K36*100</f>
        <v>15.252130904708705</v>
      </c>
      <c r="L6" s="8">
        <f>L25/L17*100</f>
        <v>13.112826542610295</v>
      </c>
      <c r="M6" s="8">
        <f>M25/M17*100</f>
        <v>13.198348254563118</v>
      </c>
    </row>
    <row r="7" spans="1:13" ht="15" customHeight="1" x14ac:dyDescent="0.2">
      <c r="A7" s="8" t="s">
        <v>179</v>
      </c>
      <c r="F7" s="8">
        <f t="shared" ref="F7:L7" si="2">F26/F17*100</f>
        <v>0</v>
      </c>
      <c r="G7" s="8">
        <f t="shared" si="2"/>
        <v>0</v>
      </c>
      <c r="H7" s="8">
        <f t="shared" si="2"/>
        <v>0</v>
      </c>
      <c r="I7" s="8">
        <f t="shared" si="2"/>
        <v>0</v>
      </c>
      <c r="J7" s="8">
        <f t="shared" si="2"/>
        <v>0</v>
      </c>
      <c r="K7" s="8">
        <f t="shared" si="2"/>
        <v>7.6440497112729098</v>
      </c>
      <c r="L7" s="8">
        <f t="shared" si="2"/>
        <v>9.6135166913756986</v>
      </c>
      <c r="M7" s="8">
        <f>M26/M17*100</f>
        <v>10.270273787216324</v>
      </c>
    </row>
    <row r="8" spans="1:13" x14ac:dyDescent="0.2">
      <c r="A8" s="8" t="s">
        <v>20</v>
      </c>
      <c r="J8" s="8">
        <f>J27/J17*100</f>
        <v>6.3507620569060066</v>
      </c>
      <c r="K8" s="8">
        <f>K27/K17*100</f>
        <v>6.6363293999497861</v>
      </c>
      <c r="L8" s="8">
        <f>L27/L17*100</f>
        <v>7.0379837431624157</v>
      </c>
      <c r="M8" s="8">
        <f>M27/M17*100</f>
        <v>7.264339995835936</v>
      </c>
    </row>
    <row r="9" spans="1:13" x14ac:dyDescent="0.2">
      <c r="A9" s="8" t="s">
        <v>37</v>
      </c>
      <c r="B9" s="8">
        <f>B28/B17*100</f>
        <v>20.229276895943563</v>
      </c>
      <c r="C9" s="8">
        <f>C28/C17*100</f>
        <v>16.914562435143544</v>
      </c>
      <c r="D9" s="8">
        <f>D28/D17*100</f>
        <v>15.594159113796577</v>
      </c>
      <c r="E9" s="8">
        <f>E28/E17*100</f>
        <v>14.777739490006891</v>
      </c>
      <c r="F9" s="8">
        <f t="shared" ref="F9:K9" si="3">F28/F17*100</f>
        <v>13.710371819960862</v>
      </c>
      <c r="G9" s="8">
        <f t="shared" si="3"/>
        <v>9.1221046611381205</v>
      </c>
      <c r="H9" s="8">
        <f t="shared" si="3"/>
        <v>6.3845679963037121</v>
      </c>
      <c r="I9" s="8">
        <f t="shared" si="3"/>
        <v>5.3789992283492616</v>
      </c>
      <c r="J9" s="8">
        <f t="shared" si="3"/>
        <v>4.354734251543543</v>
      </c>
      <c r="K9" s="8">
        <f t="shared" si="3"/>
        <v>4.9962339944765244</v>
      </c>
      <c r="L9" s="8">
        <f>L28/L17*100</f>
        <v>4.7124380144164419</v>
      </c>
      <c r="M9" s="8">
        <f>M28/M17*100</f>
        <v>4.6054115483378437</v>
      </c>
    </row>
    <row r="10" spans="1:13" x14ac:dyDescent="0.2">
      <c r="A10" s="8" t="s">
        <v>43</v>
      </c>
      <c r="J10" s="8">
        <f>J29/J17*100</f>
        <v>1.5936272181684727</v>
      </c>
      <c r="K10" s="8">
        <f>K29/K17*100</f>
        <v>1.3187296008034146</v>
      </c>
      <c r="L10" s="8">
        <f>L29/L17*100</f>
        <v>2.5440928377894791</v>
      </c>
      <c r="M10" s="8">
        <f>M29/M17*100</f>
        <v>3.9567284336178772</v>
      </c>
    </row>
    <row r="11" spans="1:13" x14ac:dyDescent="0.2">
      <c r="A11" s="8" t="s">
        <v>22</v>
      </c>
      <c r="B11" s="8">
        <f t="shared" ref="B11:K11" si="4">B30/B17*100</f>
        <v>0</v>
      </c>
      <c r="C11" s="8">
        <f t="shared" si="4"/>
        <v>0</v>
      </c>
      <c r="D11" s="8">
        <f t="shared" si="4"/>
        <v>0</v>
      </c>
      <c r="E11" s="8">
        <f t="shared" si="4"/>
        <v>0</v>
      </c>
      <c r="F11" s="8">
        <f t="shared" si="4"/>
        <v>2.3483365949119372</v>
      </c>
      <c r="G11" s="8">
        <f t="shared" si="4"/>
        <v>4.3847107044133065</v>
      </c>
      <c r="H11" s="8">
        <f t="shared" si="4"/>
        <v>0</v>
      </c>
      <c r="I11" s="8">
        <f t="shared" si="4"/>
        <v>0</v>
      </c>
      <c r="J11" s="8">
        <f t="shared" si="4"/>
        <v>0</v>
      </c>
      <c r="K11" s="8">
        <f t="shared" si="4"/>
        <v>0.64179010795882496</v>
      </c>
      <c r="L11" s="8">
        <f>L30/L17*100</f>
        <v>1.6440877255764021</v>
      </c>
      <c r="M11" s="8">
        <f>M30/M17*100</f>
        <v>2.2401363731001456</v>
      </c>
    </row>
    <row r="12" spans="1:13" x14ac:dyDescent="0.2">
      <c r="A12" s="8" t="s">
        <v>24</v>
      </c>
      <c r="B12" s="8">
        <f>B31/B17*100</f>
        <v>0</v>
      </c>
      <c r="C12" s="8">
        <f>C31/C17*100</f>
        <v>0</v>
      </c>
      <c r="D12" s="8">
        <f>D31/D17*100</f>
        <v>0</v>
      </c>
      <c r="E12" s="8">
        <f>E31/E17*100</f>
        <v>2.1019986216402482</v>
      </c>
      <c r="F12" s="8">
        <f t="shared" ref="F12:K12" si="5">F31/F17*100</f>
        <v>3.0789302022178737</v>
      </c>
      <c r="G12" s="8">
        <f t="shared" si="5"/>
        <v>2.9930416547516923</v>
      </c>
      <c r="H12" s="8">
        <f t="shared" si="5"/>
        <v>3.0571384567996311</v>
      </c>
      <c r="I12" s="8">
        <f t="shared" si="5"/>
        <v>2.7898142102451473</v>
      </c>
      <c r="J12" s="8">
        <f t="shared" si="5"/>
        <v>2.2581062993825824</v>
      </c>
      <c r="K12" s="8">
        <f t="shared" si="5"/>
        <v>1.7480542304795381</v>
      </c>
      <c r="L12" s="8">
        <f>L31/L17*100</f>
        <v>1.4909769439190226</v>
      </c>
      <c r="M12" s="8">
        <f>M31/M17*100</f>
        <v>1.3730567700742591</v>
      </c>
    </row>
    <row r="13" spans="1:13" x14ac:dyDescent="0.2">
      <c r="A13" s="8" t="s">
        <v>180</v>
      </c>
      <c r="J13" s="8">
        <f>(J34/$J$17)*100</f>
        <v>0.32166141358317862</v>
      </c>
      <c r="L13" s="8">
        <f>L32/L17*100</f>
        <v>0.63672613874546291</v>
      </c>
      <c r="M13" s="8">
        <f>M32/M17*100</f>
        <v>0.81698070650288013</v>
      </c>
    </row>
    <row r="14" spans="1:13" x14ac:dyDescent="0.2">
      <c r="A14" s="8" t="s">
        <v>182</v>
      </c>
      <c r="F14" s="8">
        <f>F33/F17*100</f>
        <v>0</v>
      </c>
      <c r="G14" s="8">
        <f>G33/G17*100</f>
        <v>0</v>
      </c>
      <c r="H14" s="8">
        <f t="shared" ref="H14:M14" si="6">H33/H17*100</f>
        <v>0</v>
      </c>
      <c r="I14" s="8">
        <f t="shared" si="6"/>
        <v>0</v>
      </c>
      <c r="J14" s="8">
        <f t="shared" si="6"/>
        <v>0.37563144941928239</v>
      </c>
      <c r="K14" s="8">
        <f t="shared" si="6"/>
        <v>0.42681395932714034</v>
      </c>
      <c r="L14" s="8">
        <f t="shared" si="6"/>
        <v>0.51377741424262569</v>
      </c>
      <c r="M14" s="8">
        <f t="shared" si="6"/>
        <v>0.51703796238462074</v>
      </c>
    </row>
    <row r="15" spans="1:13" x14ac:dyDescent="0.2">
      <c r="A15" s="8" t="s">
        <v>34</v>
      </c>
      <c r="B15" s="8">
        <f t="shared" ref="B15:G15" si="7">B34/B17*100</f>
        <v>0</v>
      </c>
      <c r="C15" s="8">
        <f t="shared" si="7"/>
        <v>0</v>
      </c>
      <c r="D15" s="8">
        <f t="shared" si="7"/>
        <v>0</v>
      </c>
      <c r="E15" s="8">
        <f t="shared" si="7"/>
        <v>0</v>
      </c>
      <c r="F15" s="8">
        <f t="shared" si="7"/>
        <v>0</v>
      </c>
      <c r="G15" s="8">
        <f t="shared" si="7"/>
        <v>0</v>
      </c>
      <c r="H15" s="8">
        <f t="shared" ref="H15:M15" si="8">H34/H17*100</f>
        <v>0.13630063144925306</v>
      </c>
      <c r="I15" s="8">
        <f t="shared" si="8"/>
        <v>0.18400902237787142</v>
      </c>
      <c r="J15" s="8">
        <f t="shared" si="8"/>
        <v>0.32166141358317862</v>
      </c>
      <c r="K15" s="8">
        <f t="shared" si="8"/>
        <v>0.51562892292242024</v>
      </c>
      <c r="L15" s="8">
        <f t="shared" si="8"/>
        <v>0.45882112366443428</v>
      </c>
      <c r="M15" s="8">
        <f t="shared" si="8"/>
        <v>0.38929662016795052</v>
      </c>
    </row>
    <row r="17" spans="1:13" x14ac:dyDescent="0.2">
      <c r="A17" s="8" t="s">
        <v>183</v>
      </c>
      <c r="B17" s="8">
        <v>170.1</v>
      </c>
      <c r="C17" s="8">
        <v>289.10000000000002</v>
      </c>
      <c r="D17" s="8">
        <v>397.2</v>
      </c>
      <c r="E17" s="8">
        <v>580.4</v>
      </c>
      <c r="F17" s="8">
        <v>766.5</v>
      </c>
      <c r="G17" s="8">
        <v>1049.0999999999999</v>
      </c>
      <c r="H17" s="8">
        <v>1298.5999999999999</v>
      </c>
      <c r="I17" s="8">
        <v>1684.7</v>
      </c>
      <c r="J17" s="8">
        <v>2316.1</v>
      </c>
      <c r="K17" s="8">
        <v>3186.4</v>
      </c>
      <c r="L17" s="8">
        <v>3912.2</v>
      </c>
      <c r="M17" s="8">
        <v>4610.88</v>
      </c>
    </row>
    <row r="18" spans="1:13" x14ac:dyDescent="0.2">
      <c r="A18" s="8" t="s">
        <v>60</v>
      </c>
      <c r="B18" s="8">
        <f>SUM(B4+B5+B7+B11)</f>
        <v>79.770723104056444</v>
      </c>
      <c r="C18" s="8">
        <f>SUM(C4+C5+C7+C11)</f>
        <v>83.099273607748188</v>
      </c>
      <c r="D18" s="8">
        <f>SUM(D4+D5+D7+D11)</f>
        <v>84.393252769385711</v>
      </c>
      <c r="E18" s="8">
        <f>SUM(E4+E5+E11+E12)</f>
        <v>85.220537560303242</v>
      </c>
      <c r="F18" s="8">
        <f>SUM(F4+F5+F9+F12)</f>
        <v>89.038486627527718</v>
      </c>
      <c r="G18" s="8">
        <f>SUM(G4+G5+G11+G9)</f>
        <v>84.847964922314375</v>
      </c>
      <c r="H18" s="8">
        <f>SUM(H4:H5,H12,H9)</f>
        <v>80.69921453873404</v>
      </c>
      <c r="I18" s="8">
        <f>SUM(I4:I5,I12,I9)</f>
        <v>77.298035258502992</v>
      </c>
      <c r="J18" s="8">
        <f>SUM(J4:J5,J8,J9)</f>
        <v>72.432105694918178</v>
      </c>
      <c r="K18" s="8">
        <f>SUM(K4:K7)</f>
        <v>83.167960681259046</v>
      </c>
      <c r="L18" s="8">
        <f>SUM(L4:L7)</f>
        <v>80.961862890445275</v>
      </c>
      <c r="M18" s="8">
        <f>SUM(M4:M7)</f>
        <v>78.837011589978474</v>
      </c>
    </row>
    <row r="19" spans="1:13" x14ac:dyDescent="0.2">
      <c r="A19" s="8" t="s">
        <v>63</v>
      </c>
      <c r="B19" s="8">
        <f>SUMSQ(B4:B15)</f>
        <v>3849.5853841206253</v>
      </c>
      <c r="C19" s="8">
        <f t="shared" ref="C19:M19" si="9">SUMSQ(C4:C15)</f>
        <v>3785.2810538939229</v>
      </c>
      <c r="D19" s="8">
        <f t="shared" si="9"/>
        <v>4282.4342464218325</v>
      </c>
      <c r="E19" s="8">
        <f t="shared" si="9"/>
        <v>4243.7442231907371</v>
      </c>
      <c r="F19" s="8">
        <f t="shared" si="9"/>
        <v>3300.483707638306</v>
      </c>
      <c r="G19" s="8">
        <f t="shared" si="9"/>
        <v>3044.6933698570533</v>
      </c>
      <c r="H19" s="8">
        <f t="shared" si="9"/>
        <v>2926.9315983621932</v>
      </c>
      <c r="I19" s="8">
        <f t="shared" si="9"/>
        <v>2683.6223119447623</v>
      </c>
      <c r="J19" s="8">
        <f t="shared" si="9"/>
        <v>2023.0977531629776</v>
      </c>
      <c r="K19" s="8">
        <f t="shared" si="9"/>
        <v>2232.9622232722704</v>
      </c>
      <c r="L19" s="8">
        <f t="shared" si="9"/>
        <v>2094.3258091745897</v>
      </c>
      <c r="M19" s="8">
        <f t="shared" si="9"/>
        <v>1940.7469641361245</v>
      </c>
    </row>
    <row r="21" spans="1:13" x14ac:dyDescent="0.2">
      <c r="A21" s="8" t="s">
        <v>184</v>
      </c>
    </row>
    <row r="22" spans="1:13" x14ac:dyDescent="0.2">
      <c r="B22" s="8">
        <v>2011</v>
      </c>
      <c r="C22" s="8">
        <v>2012</v>
      </c>
      <c r="D22" s="8">
        <v>2013</v>
      </c>
      <c r="E22" s="8">
        <v>2014</v>
      </c>
      <c r="F22" s="8">
        <v>2015</v>
      </c>
      <c r="G22" s="8">
        <v>2016</v>
      </c>
      <c r="H22" s="8">
        <v>2017</v>
      </c>
      <c r="I22" s="8">
        <v>2018</v>
      </c>
      <c r="J22" s="8">
        <v>2019</v>
      </c>
      <c r="K22" s="8">
        <v>2020</v>
      </c>
      <c r="L22" s="8">
        <v>2021</v>
      </c>
      <c r="M22" s="8">
        <v>2022</v>
      </c>
    </row>
    <row r="23" spans="1:13" x14ac:dyDescent="0.2">
      <c r="A23" s="8" t="s">
        <v>33</v>
      </c>
      <c r="B23" s="8">
        <v>48.5</v>
      </c>
      <c r="C23" s="8">
        <v>134.05000000000001</v>
      </c>
      <c r="D23" s="8">
        <v>229.02</v>
      </c>
      <c r="E23" s="8">
        <v>338.9</v>
      </c>
      <c r="F23" s="8">
        <v>396.57</v>
      </c>
      <c r="G23" s="8">
        <v>520.44000000000005</v>
      </c>
      <c r="H23" s="8">
        <v>631.49</v>
      </c>
      <c r="I23" s="8">
        <v>773.45</v>
      </c>
      <c r="J23" s="8">
        <v>831.47</v>
      </c>
      <c r="K23" s="8">
        <v>1121</v>
      </c>
      <c r="L23" s="8">
        <v>1335.25</v>
      </c>
      <c r="M23" s="8">
        <v>1456.89</v>
      </c>
    </row>
    <row r="24" spans="1:13" x14ac:dyDescent="0.2">
      <c r="A24" s="8" t="s">
        <v>27</v>
      </c>
      <c r="B24" s="8">
        <v>87.19</v>
      </c>
      <c r="C24" s="8">
        <v>106.19</v>
      </c>
      <c r="D24" s="8">
        <v>106.19</v>
      </c>
      <c r="E24" s="8">
        <v>143.52000000000001</v>
      </c>
      <c r="F24" s="8">
        <v>157.22</v>
      </c>
      <c r="G24" s="8">
        <v>228</v>
      </c>
      <c r="H24" s="8">
        <v>293.86</v>
      </c>
      <c r="I24" s="8">
        <v>391.17</v>
      </c>
      <c r="J24" s="8">
        <v>598.17999999999995</v>
      </c>
      <c r="K24" s="8">
        <v>799.5</v>
      </c>
      <c r="L24" s="8">
        <v>943.04</v>
      </c>
      <c r="M24" s="8">
        <v>1096.08</v>
      </c>
    </row>
    <row r="25" spans="1:13" x14ac:dyDescent="0.2">
      <c r="A25" s="8" t="s">
        <v>178</v>
      </c>
      <c r="F25" s="8">
        <v>48</v>
      </c>
      <c r="G25" s="8">
        <v>81.599999999999994</v>
      </c>
      <c r="H25" s="8">
        <v>167.26</v>
      </c>
      <c r="I25" s="8">
        <v>261.79000000000002</v>
      </c>
      <c r="J25" s="8">
        <v>441</v>
      </c>
      <c r="K25" s="8">
        <v>486</v>
      </c>
      <c r="L25" s="8">
        <v>513</v>
      </c>
      <c r="M25" s="8">
        <v>608.55999999999995</v>
      </c>
    </row>
    <row r="26" spans="1:13" x14ac:dyDescent="0.2">
      <c r="A26" s="8" t="s">
        <v>179</v>
      </c>
      <c r="K26" s="8">
        <v>243.57</v>
      </c>
      <c r="L26" s="8">
        <v>376.1</v>
      </c>
      <c r="M26" s="8">
        <v>473.55</v>
      </c>
    </row>
    <row r="27" spans="1:13" x14ac:dyDescent="0.2">
      <c r="A27" s="8" t="s">
        <v>20</v>
      </c>
      <c r="F27" s="8">
        <v>18</v>
      </c>
      <c r="G27" s="8">
        <v>46</v>
      </c>
      <c r="H27" s="8">
        <v>81.650000000000006</v>
      </c>
      <c r="I27" s="8">
        <v>116.14</v>
      </c>
      <c r="J27" s="8">
        <v>147.09</v>
      </c>
      <c r="K27" s="8">
        <v>211.46</v>
      </c>
      <c r="L27" s="8">
        <v>275.33999999999997</v>
      </c>
      <c r="M27" s="8">
        <v>334.95</v>
      </c>
    </row>
    <row r="28" spans="1:13" x14ac:dyDescent="0.2">
      <c r="A28" s="8" t="s">
        <v>37</v>
      </c>
      <c r="B28" s="8">
        <v>34.409999999999997</v>
      </c>
      <c r="C28" s="8">
        <v>48.9</v>
      </c>
      <c r="D28" s="8">
        <v>61.94</v>
      </c>
      <c r="E28" s="8">
        <v>85.77</v>
      </c>
      <c r="F28" s="8">
        <v>105.09</v>
      </c>
      <c r="G28" s="8">
        <v>95.7</v>
      </c>
      <c r="H28" s="8">
        <v>82.91</v>
      </c>
      <c r="I28" s="8">
        <v>90.62</v>
      </c>
      <c r="J28" s="8">
        <v>100.86</v>
      </c>
      <c r="K28" s="8">
        <v>159.19999999999999</v>
      </c>
      <c r="L28" s="8">
        <v>184.36</v>
      </c>
      <c r="M28" s="8">
        <v>212.35</v>
      </c>
    </row>
    <row r="29" spans="1:13" x14ac:dyDescent="0.2">
      <c r="A29" s="8" t="s">
        <v>43</v>
      </c>
      <c r="J29" s="8">
        <v>36.909999999999997</v>
      </c>
      <c r="K29" s="8">
        <v>42.02</v>
      </c>
      <c r="L29" s="8">
        <v>99.53</v>
      </c>
      <c r="M29" s="8">
        <v>182.44</v>
      </c>
    </row>
    <row r="30" spans="1:13" x14ac:dyDescent="0.2">
      <c r="A30" s="8" t="s">
        <v>22</v>
      </c>
      <c r="F30" s="8">
        <v>18</v>
      </c>
      <c r="G30" s="8">
        <v>46</v>
      </c>
      <c r="K30" s="8">
        <v>20.45</v>
      </c>
      <c r="L30" s="8">
        <v>64.319999999999993</v>
      </c>
      <c r="M30" s="8">
        <v>103.29</v>
      </c>
    </row>
    <row r="31" spans="1:13" x14ac:dyDescent="0.2">
      <c r="A31" s="8" t="s">
        <v>24</v>
      </c>
      <c r="E31" s="8">
        <v>12.2</v>
      </c>
      <c r="F31" s="8">
        <v>23.6</v>
      </c>
      <c r="G31" s="8">
        <v>31.4</v>
      </c>
      <c r="H31" s="8">
        <v>39.700000000000003</v>
      </c>
      <c r="I31" s="8">
        <v>47</v>
      </c>
      <c r="J31" s="8">
        <v>52.3</v>
      </c>
      <c r="K31" s="8">
        <v>55.7</v>
      </c>
      <c r="L31" s="8">
        <v>58.33</v>
      </c>
      <c r="M31" s="8">
        <v>63.31</v>
      </c>
    </row>
    <row r="32" spans="1:13" x14ac:dyDescent="0.2">
      <c r="A32" s="8" t="s">
        <v>180</v>
      </c>
      <c r="I32" s="8">
        <v>1.4</v>
      </c>
      <c r="J32" s="8">
        <v>92.11</v>
      </c>
      <c r="K32" s="8">
        <v>17.510000000000002</v>
      </c>
      <c r="L32" s="8">
        <v>24.91</v>
      </c>
      <c r="M32" s="8">
        <v>37.67</v>
      </c>
    </row>
    <row r="33" spans="1:13" x14ac:dyDescent="0.2">
      <c r="A33" s="8" t="s">
        <v>182</v>
      </c>
      <c r="J33" s="8">
        <v>8.6999999999999993</v>
      </c>
      <c r="K33" s="8">
        <v>13.6</v>
      </c>
      <c r="L33" s="8">
        <v>20.100000000000001</v>
      </c>
      <c r="M33" s="8">
        <v>23.84</v>
      </c>
    </row>
    <row r="34" spans="1:13" x14ac:dyDescent="0.2">
      <c r="A34" s="8" t="s">
        <v>34</v>
      </c>
      <c r="H34" s="8">
        <v>1.77</v>
      </c>
      <c r="I34" s="8">
        <v>3.1</v>
      </c>
      <c r="J34" s="8">
        <v>7.45</v>
      </c>
      <c r="K34" s="8">
        <v>16.43</v>
      </c>
      <c r="L34" s="8">
        <v>17.95</v>
      </c>
      <c r="M34" s="8">
        <v>17.95</v>
      </c>
    </row>
    <row r="36" spans="1:13" x14ac:dyDescent="0.2">
      <c r="A36" s="8" t="s">
        <v>93</v>
      </c>
      <c r="B36" s="8">
        <f>SUM(B23:B34)</f>
        <v>170.1</v>
      </c>
      <c r="C36" s="8">
        <f t="shared" ref="C36:M36" si="10">SUM(C23:C34)</f>
        <v>289.14</v>
      </c>
      <c r="D36" s="8">
        <f t="shared" si="10"/>
        <v>397.15000000000003</v>
      </c>
      <c r="E36" s="8">
        <f t="shared" si="10"/>
        <v>580.39</v>
      </c>
      <c r="F36" s="8">
        <f t="shared" si="10"/>
        <v>766.48</v>
      </c>
      <c r="G36" s="8">
        <f t="shared" si="10"/>
        <v>1049.1400000000001</v>
      </c>
      <c r="H36" s="8">
        <f t="shared" si="10"/>
        <v>1298.6400000000003</v>
      </c>
      <c r="I36" s="8">
        <f t="shared" si="10"/>
        <v>1684.67</v>
      </c>
      <c r="J36" s="8">
        <f t="shared" si="10"/>
        <v>2316.0699999999997</v>
      </c>
      <c r="K36" s="8">
        <f t="shared" si="10"/>
        <v>3186.4399999999996</v>
      </c>
      <c r="L36" s="8">
        <f t="shared" si="10"/>
        <v>3912.23</v>
      </c>
      <c r="M36" s="8">
        <f t="shared" si="10"/>
        <v>4610.88</v>
      </c>
    </row>
  </sheetData>
  <mergeCells count="2">
    <mergeCell ref="I2:M2"/>
    <mergeCell ref="A1:M1"/>
  </mergeCells>
  <pageMargins left="0.7" right="0.7" top="0.75" bottom="0.75" header="0.3" footer="0.3"/>
  <pageSetup orientation="portrait" horizontalDpi="300" verticalDpi="0" r:id="rId1"/>
  <ignoredErrors>
    <ignoredError sqref="B36:M36"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C0587-5BE2-3A46-9786-2CA888F79EB7}">
  <dimension ref="A1:Q5"/>
  <sheetViews>
    <sheetView zoomScaleNormal="100" workbookViewId="0">
      <selection activeCell="C12" sqref="C12"/>
    </sheetView>
  </sheetViews>
  <sheetFormatPr baseColWidth="10" defaultColWidth="11" defaultRowHeight="16" x14ac:dyDescent="0.2"/>
  <cols>
    <col min="1" max="1" width="33.83203125" style="7" bestFit="1" customWidth="1"/>
    <col min="2" max="16384" width="11" style="7"/>
  </cols>
  <sheetData>
    <row r="1" spans="1:17" x14ac:dyDescent="0.2">
      <c r="A1" s="30" t="s">
        <v>656</v>
      </c>
      <c r="B1" s="30"/>
      <c r="C1" s="30"/>
      <c r="D1" s="30"/>
      <c r="E1" s="30"/>
      <c r="F1" s="30"/>
    </row>
    <row r="2" spans="1:17" x14ac:dyDescent="0.2">
      <c r="B2" s="7">
        <v>1984</v>
      </c>
      <c r="C2" s="7">
        <v>1988</v>
      </c>
      <c r="D2" s="7">
        <v>1992</v>
      </c>
      <c r="E2" s="7">
        <v>1996</v>
      </c>
      <c r="F2" s="7">
        <v>2000</v>
      </c>
      <c r="G2" s="7">
        <v>2004</v>
      </c>
      <c r="H2" s="7">
        <v>2008</v>
      </c>
      <c r="I2" s="7">
        <v>2010</v>
      </c>
      <c r="J2" s="7">
        <v>2012</v>
      </c>
      <c r="K2" s="7">
        <v>2014</v>
      </c>
      <c r="L2" s="7">
        <v>2016</v>
      </c>
      <c r="M2" s="7">
        <v>2018</v>
      </c>
      <c r="N2" s="7">
        <v>2019</v>
      </c>
      <c r="O2" s="7">
        <v>2020</v>
      </c>
      <c r="P2" s="7">
        <v>2021</v>
      </c>
      <c r="Q2" s="7">
        <v>2022</v>
      </c>
    </row>
    <row r="3" spans="1:17" ht="17" x14ac:dyDescent="0.2">
      <c r="A3" s="7" t="s">
        <v>189</v>
      </c>
      <c r="B3" s="7">
        <v>1459.3229999999999</v>
      </c>
      <c r="C3" s="7">
        <v>1956.7870000000003</v>
      </c>
      <c r="D3" s="7">
        <v>2346.9160000000002</v>
      </c>
      <c r="E3" s="7">
        <v>2471.192</v>
      </c>
      <c r="F3" s="7">
        <v>2989.9110000000001</v>
      </c>
      <c r="G3" s="7">
        <v>2927.9520000000002</v>
      </c>
      <c r="H3" s="7">
        <v>3187.317</v>
      </c>
      <c r="I3" s="7">
        <v>3354.5639999999999</v>
      </c>
      <c r="J3" s="7">
        <v>3967.587</v>
      </c>
      <c r="K3" s="7">
        <v>3067.53</v>
      </c>
      <c r="L3" s="7">
        <v>2756.17</v>
      </c>
      <c r="M3" s="7">
        <v>2623.1</v>
      </c>
      <c r="N3" s="7">
        <v>2564.12</v>
      </c>
      <c r="O3" s="7">
        <v>2315.7900000000004</v>
      </c>
      <c r="P3" s="7">
        <v>2526.6999999999998</v>
      </c>
      <c r="Q3" s="7">
        <v>2580.4499999999998</v>
      </c>
    </row>
    <row r="4" spans="1:17" ht="17" x14ac:dyDescent="0.2">
      <c r="A4" s="7" t="s">
        <v>288</v>
      </c>
      <c r="B4" s="7">
        <v>93.8</v>
      </c>
      <c r="C4" s="7">
        <v>142.4</v>
      </c>
      <c r="D4" s="7">
        <v>395.18400000000003</v>
      </c>
      <c r="E4" s="7">
        <v>664.48</v>
      </c>
      <c r="F4" s="7">
        <v>1270.431</v>
      </c>
      <c r="G4" s="7">
        <v>2065.201</v>
      </c>
      <c r="H4" s="7">
        <v>2931.1410000000001</v>
      </c>
      <c r="I4" s="7">
        <v>3474.62</v>
      </c>
      <c r="J4" s="7">
        <v>182.95</v>
      </c>
      <c r="K4" s="7">
        <v>4235.6000000000004</v>
      </c>
      <c r="L4" s="7">
        <v>4415.6000000000004</v>
      </c>
      <c r="M4" s="7">
        <v>4247.16</v>
      </c>
      <c r="N4" s="7">
        <v>4233.1289999999999</v>
      </c>
      <c r="O4" s="7">
        <v>3929.1</v>
      </c>
      <c r="P4" s="7">
        <v>3960</v>
      </c>
      <c r="Q4" s="7">
        <v>4091.87</v>
      </c>
    </row>
    <row r="5" spans="1:17" ht="17" x14ac:dyDescent="0.2">
      <c r="A5" s="7" t="s">
        <v>455</v>
      </c>
      <c r="J5" s="7">
        <f>SUM(J3:J4)</f>
        <v>4150.5370000000003</v>
      </c>
      <c r="K5" s="7">
        <v>436.86999999999995</v>
      </c>
      <c r="L5" s="7">
        <v>821.1400000000001</v>
      </c>
      <c r="M5" s="7">
        <v>1322.22</v>
      </c>
      <c r="N5" s="7">
        <v>1825.9999999999998</v>
      </c>
      <c r="O5" s="7">
        <v>2525.7199999999993</v>
      </c>
      <c r="P5" s="7">
        <v>3112.3154297000001</v>
      </c>
      <c r="Q5" s="7">
        <v>3680.42</v>
      </c>
    </row>
  </sheetData>
  <mergeCells count="1">
    <mergeCell ref="A1:F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23"/>
  <sheetViews>
    <sheetView zoomScaleNormal="100" zoomScaleSheetLayoutView="130" workbookViewId="0">
      <selection activeCell="D14" sqref="D14"/>
    </sheetView>
  </sheetViews>
  <sheetFormatPr baseColWidth="10" defaultColWidth="11" defaultRowHeight="16" x14ac:dyDescent="0.2"/>
  <cols>
    <col min="1" max="1" width="16.6640625" style="8" customWidth="1"/>
    <col min="2" max="8" width="11.6640625" style="8" bestFit="1" customWidth="1"/>
    <col min="9" max="16" width="13.33203125" style="8" bestFit="1" customWidth="1"/>
    <col min="17" max="19" width="11.6640625" style="8" bestFit="1" customWidth="1"/>
    <col min="20" max="16384" width="11" style="8"/>
  </cols>
  <sheetData>
    <row r="1" spans="1:17" ht="28.25" customHeight="1" x14ac:dyDescent="0.2">
      <c r="A1" s="32" t="s">
        <v>646</v>
      </c>
      <c r="B1" s="32"/>
      <c r="C1" s="32"/>
      <c r="D1" s="32"/>
      <c r="E1" s="32"/>
      <c r="F1" s="32"/>
      <c r="G1" s="32"/>
      <c r="H1" s="32"/>
      <c r="I1" s="32"/>
      <c r="J1" s="32"/>
      <c r="K1" s="32"/>
      <c r="L1" s="32"/>
      <c r="M1" s="32"/>
      <c r="N1" s="32"/>
    </row>
    <row r="2" spans="1:17" x14ac:dyDescent="0.2">
      <c r="B2" s="8">
        <v>1984</v>
      </c>
      <c r="C2" s="8">
        <v>1988</v>
      </c>
      <c r="D2" s="8">
        <v>1992</v>
      </c>
      <c r="E2" s="8">
        <v>1996</v>
      </c>
      <c r="F2" s="8">
        <v>2000</v>
      </c>
      <c r="G2" s="8">
        <v>2004</v>
      </c>
      <c r="H2" s="8">
        <v>2008</v>
      </c>
      <c r="I2" s="8">
        <v>2010</v>
      </c>
      <c r="J2" s="8">
        <v>2012</v>
      </c>
      <c r="K2" s="8">
        <v>2014</v>
      </c>
      <c r="L2" s="8">
        <v>2016</v>
      </c>
      <c r="M2" s="8">
        <v>2018</v>
      </c>
      <c r="N2" s="8">
        <v>2019</v>
      </c>
      <c r="O2" s="8">
        <v>2020</v>
      </c>
      <c r="P2" s="8">
        <v>2021</v>
      </c>
      <c r="Q2" s="8">
        <v>2022</v>
      </c>
    </row>
    <row r="3" spans="1:17" x14ac:dyDescent="0.2">
      <c r="A3" s="8" t="s">
        <v>185</v>
      </c>
      <c r="B3" s="8">
        <v>77.599999999999994</v>
      </c>
      <c r="C3" s="8">
        <v>74.599999999999994</v>
      </c>
      <c r="D3" s="8">
        <v>70.900000000000006</v>
      </c>
      <c r="E3" s="8">
        <v>76</v>
      </c>
      <c r="F3" s="8">
        <v>92.1</v>
      </c>
      <c r="G3" s="8">
        <v>92.4</v>
      </c>
      <c r="H3" s="8">
        <v>89.2</v>
      </c>
      <c r="I3" s="8">
        <v>88.2</v>
      </c>
      <c r="J3" s="8">
        <v>87.3</v>
      </c>
      <c r="K3" s="8">
        <v>87.2</v>
      </c>
      <c r="L3" s="8">
        <v>86.2</v>
      </c>
      <c r="M3" s="8">
        <v>85.7</v>
      </c>
      <c r="N3" s="8">
        <v>85.8</v>
      </c>
      <c r="O3" s="8">
        <v>87.1</v>
      </c>
      <c r="P3" s="8">
        <v>87.1</v>
      </c>
      <c r="Q3" s="8">
        <v>86.3</v>
      </c>
    </row>
    <row r="4" spans="1:17" x14ac:dyDescent="0.2">
      <c r="A4" s="8" t="s">
        <v>186</v>
      </c>
      <c r="B4" s="8">
        <v>100</v>
      </c>
      <c r="C4" s="8">
        <v>79.5</v>
      </c>
      <c r="D4" s="8">
        <v>66.2</v>
      </c>
      <c r="E4" s="8">
        <v>65</v>
      </c>
      <c r="F4" s="8">
        <v>45.8</v>
      </c>
      <c r="G4" s="8">
        <v>52.9</v>
      </c>
      <c r="H4" s="8">
        <v>71.3</v>
      </c>
      <c r="I4" s="8">
        <v>74.599999999999994</v>
      </c>
      <c r="J4" s="8">
        <v>76.8</v>
      </c>
      <c r="K4" s="8">
        <v>78.400000000000006</v>
      </c>
      <c r="L4" s="8">
        <v>78</v>
      </c>
      <c r="M4" s="8">
        <v>80.5</v>
      </c>
      <c r="N4" s="8">
        <v>79.3</v>
      </c>
      <c r="O4" s="8">
        <v>78.8</v>
      </c>
      <c r="P4" s="8">
        <v>79.3</v>
      </c>
      <c r="Q4" s="8">
        <v>79.2</v>
      </c>
    </row>
    <row r="5" spans="1:17" x14ac:dyDescent="0.2">
      <c r="A5" s="8" t="s">
        <v>187</v>
      </c>
      <c r="J5" s="8">
        <v>100</v>
      </c>
      <c r="K5" s="8">
        <v>100</v>
      </c>
      <c r="L5" s="8">
        <v>88.2</v>
      </c>
      <c r="M5" s="8">
        <v>91.6</v>
      </c>
      <c r="N5" s="8">
        <v>87.1</v>
      </c>
      <c r="O5" s="8">
        <v>83.2</v>
      </c>
      <c r="P5" s="8">
        <v>81</v>
      </c>
      <c r="Q5" s="8">
        <v>78.8</v>
      </c>
    </row>
    <row r="6" spans="1:17" x14ac:dyDescent="0.2">
      <c r="A6" s="8" t="s">
        <v>188</v>
      </c>
      <c r="B6" s="8">
        <v>74.479226693571604</v>
      </c>
      <c r="C6" s="8">
        <v>69.820935438338736</v>
      </c>
      <c r="D6" s="8">
        <v>62.798730899675419</v>
      </c>
      <c r="E6" s="8">
        <v>62.682002454338331</v>
      </c>
      <c r="F6" s="8">
        <v>70.404911155019931</v>
      </c>
      <c r="G6" s="8">
        <v>67.136937321968702</v>
      </c>
      <c r="H6" s="8">
        <v>70.977033755890773</v>
      </c>
      <c r="I6" s="8">
        <v>75.532116282120981</v>
      </c>
      <c r="J6" s="8">
        <v>73.17075793137586</v>
      </c>
      <c r="K6" s="8">
        <v>76.017312063646699</v>
      </c>
      <c r="L6" s="8">
        <v>72.180695324483537</v>
      </c>
      <c r="M6" s="8">
        <v>70.050368617861281</v>
      </c>
      <c r="N6" s="8">
        <v>66.782036270210668</v>
      </c>
      <c r="O6" s="8">
        <v>61.614533687189393</v>
      </c>
      <c r="P6" s="8">
        <v>61.184460574437949</v>
      </c>
      <c r="Q6" s="8">
        <v>60.634877893156045</v>
      </c>
    </row>
    <row r="8" spans="1:17" x14ac:dyDescent="0.2">
      <c r="Q8" s="8">
        <f>Q4+5.2</f>
        <v>84.4</v>
      </c>
    </row>
    <row r="18" spans="24:27" x14ac:dyDescent="0.2">
      <c r="Y18" s="8">
        <v>2013</v>
      </c>
      <c r="Z18" s="8">
        <v>2017</v>
      </c>
    </row>
    <row r="19" spans="24:27" x14ac:dyDescent="0.2">
      <c r="Y19" s="8">
        <v>34.5</v>
      </c>
      <c r="Z19" s="8">
        <v>34.5</v>
      </c>
      <c r="AA19" s="8">
        <v>35.700000000000003</v>
      </c>
    </row>
    <row r="20" spans="24:27" x14ac:dyDescent="0.2">
      <c r="X20" s="8" t="s">
        <v>632</v>
      </c>
      <c r="Y20" s="8">
        <v>14.1</v>
      </c>
      <c r="Z20" s="8">
        <v>19.7</v>
      </c>
      <c r="AA20" s="8">
        <v>16.399999999999999</v>
      </c>
    </row>
    <row r="21" spans="24:27" x14ac:dyDescent="0.2">
      <c r="X21" s="8" t="s">
        <v>633</v>
      </c>
      <c r="Y21" s="8">
        <v>12.9</v>
      </c>
      <c r="Z21" s="8">
        <v>18.7</v>
      </c>
      <c r="AA21" s="8">
        <v>21.8</v>
      </c>
    </row>
    <row r="22" spans="24:27" x14ac:dyDescent="0.2">
      <c r="Y22" s="8">
        <v>12.5</v>
      </c>
    </row>
    <row r="23" spans="24:27" x14ac:dyDescent="0.2">
      <c r="Y23" s="8">
        <f>SUM(Y19:Y22)</f>
        <v>74</v>
      </c>
      <c r="Z23" s="8">
        <f>SUM(Z19:Z21)</f>
        <v>72.900000000000006</v>
      </c>
      <c r="AA23" s="8">
        <f>SUM(AA19:AA21)</f>
        <v>73.900000000000006</v>
      </c>
    </row>
  </sheetData>
  <mergeCells count="1">
    <mergeCell ref="A1:N1"/>
  </mergeCells>
  <phoneticPr fontId="4" type="noConversion"/>
  <pageMargins left="0.7" right="0.7" top="0.75" bottom="0.75" header="0.3" footer="0.3"/>
  <pageSetup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
  <sheetViews>
    <sheetView zoomScaleNormal="100" workbookViewId="0">
      <selection sqref="A1:L1"/>
    </sheetView>
  </sheetViews>
  <sheetFormatPr baseColWidth="10" defaultColWidth="11" defaultRowHeight="16" x14ac:dyDescent="0.2"/>
  <cols>
    <col min="1" max="1" width="17.1640625" style="7" customWidth="1"/>
    <col min="2" max="10" width="11" style="7"/>
    <col min="11" max="18" width="11.6640625" style="7" bestFit="1" customWidth="1"/>
    <col min="19" max="16384" width="11" style="7"/>
  </cols>
  <sheetData>
    <row r="1" spans="1:17" x14ac:dyDescent="0.2">
      <c r="A1" s="30" t="s">
        <v>645</v>
      </c>
      <c r="B1" s="30"/>
      <c r="C1" s="30"/>
      <c r="D1" s="30"/>
      <c r="E1" s="30"/>
      <c r="F1" s="30"/>
      <c r="G1" s="30"/>
      <c r="H1" s="30"/>
      <c r="I1" s="30"/>
      <c r="J1" s="30"/>
      <c r="K1" s="30"/>
      <c r="L1" s="30"/>
    </row>
    <row r="2" spans="1:17" x14ac:dyDescent="0.2">
      <c r="B2" s="7">
        <v>1984</v>
      </c>
      <c r="C2" s="7">
        <v>1988</v>
      </c>
      <c r="D2" s="7">
        <v>1992</v>
      </c>
      <c r="E2" s="7">
        <v>1996</v>
      </c>
      <c r="F2" s="7">
        <v>2000</v>
      </c>
      <c r="G2" s="7">
        <v>2004</v>
      </c>
      <c r="H2" s="7">
        <v>2008</v>
      </c>
      <c r="I2" s="7">
        <v>2010</v>
      </c>
      <c r="J2" s="7">
        <v>2012</v>
      </c>
      <c r="K2" s="7">
        <v>2014</v>
      </c>
      <c r="L2" s="7">
        <v>2016</v>
      </c>
      <c r="M2" s="7">
        <v>2018</v>
      </c>
      <c r="N2" s="7">
        <v>2019</v>
      </c>
      <c r="O2" s="7">
        <v>2020</v>
      </c>
      <c r="P2" s="7">
        <v>2021</v>
      </c>
      <c r="Q2" s="7">
        <v>2022</v>
      </c>
    </row>
    <row r="3" spans="1:17" ht="17" x14ac:dyDescent="0.2">
      <c r="A3" s="7" t="s">
        <v>189</v>
      </c>
      <c r="B3" s="7">
        <v>3354.5</v>
      </c>
      <c r="C3" s="7">
        <v>2828.3</v>
      </c>
      <c r="D3" s="7">
        <v>2294.1999999999998</v>
      </c>
      <c r="E3" s="7">
        <v>2354.9</v>
      </c>
      <c r="F3" s="7">
        <v>2562.1999999999998</v>
      </c>
      <c r="G3" s="7">
        <v>2646.6</v>
      </c>
      <c r="H3" s="7">
        <v>2458.6999999999998</v>
      </c>
      <c r="I3" s="7">
        <v>2467.4</v>
      </c>
      <c r="J3" s="7">
        <v>2501.3000000000002</v>
      </c>
      <c r="K3" s="7">
        <v>2630</v>
      </c>
      <c r="L3" s="7">
        <v>2505.4</v>
      </c>
      <c r="M3" s="7">
        <v>2554.6</v>
      </c>
      <c r="N3" s="7">
        <v>2464</v>
      </c>
      <c r="O3" s="7">
        <v>2665.8</v>
      </c>
      <c r="P3" s="7">
        <v>2723.1</v>
      </c>
      <c r="Q3" s="7">
        <v>2607.8000000000002</v>
      </c>
    </row>
    <row r="4" spans="1:17" ht="17" x14ac:dyDescent="0.2">
      <c r="A4" s="7" t="s">
        <v>186</v>
      </c>
      <c r="B4" s="7">
        <v>9851.2999999999993</v>
      </c>
      <c r="C4" s="7">
        <v>1788</v>
      </c>
      <c r="D4" s="7">
        <v>1385.6</v>
      </c>
      <c r="E4" s="7">
        <v>1512.5</v>
      </c>
      <c r="F4" s="7">
        <v>727.6</v>
      </c>
      <c r="G4" s="7">
        <v>871.3</v>
      </c>
      <c r="H4" s="7">
        <v>1374.8</v>
      </c>
      <c r="I4" s="7">
        <v>1599.3</v>
      </c>
      <c r="J4" s="7">
        <v>1681.5</v>
      </c>
      <c r="K4" s="7">
        <v>2117.9</v>
      </c>
      <c r="L4" s="7">
        <v>1978.5</v>
      </c>
      <c r="M4" s="7">
        <v>2111.6999999999998</v>
      </c>
      <c r="N4" s="7">
        <v>2027.1</v>
      </c>
      <c r="O4" s="7">
        <v>2027.9</v>
      </c>
      <c r="P4" s="7">
        <v>2029.3</v>
      </c>
      <c r="Q4" s="7">
        <v>2067.1</v>
      </c>
    </row>
    <row r="5" spans="1:17" ht="17" x14ac:dyDescent="0.2">
      <c r="A5" s="7" t="s">
        <v>190</v>
      </c>
      <c r="J5" s="7">
        <v>5371</v>
      </c>
      <c r="K5" s="7">
        <v>6025.3</v>
      </c>
      <c r="L5" s="7">
        <v>4193.6000000000004</v>
      </c>
      <c r="M5" s="7">
        <v>3903.5</v>
      </c>
      <c r="N5" s="7">
        <v>2799.6</v>
      </c>
      <c r="O5" s="7">
        <v>2581.9</v>
      </c>
      <c r="P5" s="7">
        <v>2411.8000000000002</v>
      </c>
      <c r="Q5" s="7">
        <v>2179</v>
      </c>
    </row>
    <row r="6" spans="1:17" ht="17" x14ac:dyDescent="0.2">
      <c r="A6" s="7" t="s">
        <v>191</v>
      </c>
      <c r="B6" s="7">
        <v>3009.5698590905376</v>
      </c>
      <c r="C6" s="7">
        <v>2472.977124743612</v>
      </c>
      <c r="D6" s="7">
        <v>1816.3467438409568</v>
      </c>
      <c r="E6" s="7">
        <v>1710.2564658737426</v>
      </c>
      <c r="F6" s="7">
        <v>1561.3903218898879</v>
      </c>
      <c r="G6" s="7">
        <v>1406.994743728281</v>
      </c>
      <c r="H6" s="7">
        <v>1575.6702357937124</v>
      </c>
      <c r="I6" s="7">
        <v>1662.7603387801496</v>
      </c>
      <c r="J6" s="7">
        <v>1580.8644684815688</v>
      </c>
      <c r="K6" s="7">
        <v>1722.3400181735417</v>
      </c>
      <c r="L6" s="7">
        <v>1607.717066688781</v>
      </c>
      <c r="M6" s="7">
        <v>1627.1349822076136</v>
      </c>
      <c r="N6" s="7">
        <v>1561.8813955434857</v>
      </c>
      <c r="O6" s="7">
        <v>1462.6204618127533</v>
      </c>
      <c r="P6" s="7">
        <v>1402.312918910121</v>
      </c>
      <c r="Q6" s="7">
        <v>1375.7422412217054</v>
      </c>
    </row>
  </sheetData>
  <mergeCells count="1">
    <mergeCell ref="A1:L1"/>
  </mergeCells>
  <phoneticPr fontId="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3"/>
  <sheetViews>
    <sheetView zoomScaleNormal="120" workbookViewId="0">
      <selection activeCell="D12" sqref="D12"/>
    </sheetView>
  </sheetViews>
  <sheetFormatPr baseColWidth="10" defaultColWidth="11" defaultRowHeight="16" x14ac:dyDescent="0.2"/>
  <cols>
    <col min="1" max="1" width="32" style="7" customWidth="1"/>
    <col min="2" max="3" width="11" style="7"/>
    <col min="4" max="4" width="19.83203125" style="7" customWidth="1"/>
    <col min="5" max="10" width="11" style="7"/>
    <col min="11" max="11" width="11.6640625" style="7" bestFit="1" customWidth="1"/>
    <col min="12" max="16384" width="11" style="7"/>
  </cols>
  <sheetData>
    <row r="1" spans="1:6" ht="28.5" customHeight="1" x14ac:dyDescent="0.2">
      <c r="A1" s="30" t="s">
        <v>644</v>
      </c>
      <c r="B1" s="30"/>
      <c r="C1" s="30"/>
      <c r="D1" s="30"/>
      <c r="E1" s="30"/>
      <c r="F1" s="30"/>
    </row>
    <row r="2" spans="1:6" ht="34" x14ac:dyDescent="0.2">
      <c r="B2" s="7" t="s">
        <v>172</v>
      </c>
      <c r="C2" s="7" t="s">
        <v>543</v>
      </c>
    </row>
    <row r="3" spans="1:6" ht="17" x14ac:dyDescent="0.2">
      <c r="A3" s="7" t="s">
        <v>40</v>
      </c>
      <c r="B3" s="7">
        <f t="shared" ref="B3:B17" si="0">(C3/$C$21)*100</f>
        <v>13.135878360285474</v>
      </c>
      <c r="C3" s="7">
        <v>564.14</v>
      </c>
      <c r="D3" s="7">
        <f t="shared" ref="D3:D20" si="1">SUMSQ(B3)</f>
        <v>172.5513002962162</v>
      </c>
    </row>
    <row r="4" spans="1:6" ht="17" x14ac:dyDescent="0.2">
      <c r="A4" s="7" t="s">
        <v>37</v>
      </c>
      <c r="B4" s="7">
        <f t="shared" si="0"/>
        <v>12.63874820998219</v>
      </c>
      <c r="C4" s="7">
        <v>542.79</v>
      </c>
      <c r="D4" s="7">
        <f t="shared" si="1"/>
        <v>159.73795631532801</v>
      </c>
    </row>
    <row r="5" spans="1:6" ht="17" x14ac:dyDescent="0.2">
      <c r="A5" s="7" t="s">
        <v>459</v>
      </c>
      <c r="B5" s="7">
        <f t="shared" si="0"/>
        <v>9.5868114980266181</v>
      </c>
      <c r="C5" s="7">
        <v>411.72</v>
      </c>
      <c r="D5" s="7">
        <f t="shared" si="1"/>
        <v>91.906954698695372</v>
      </c>
    </row>
    <row r="6" spans="1:6" ht="17" x14ac:dyDescent="0.2">
      <c r="A6" s="7" t="s">
        <v>458</v>
      </c>
      <c r="B6" s="7">
        <f t="shared" si="0"/>
        <v>8.0642194358096724</v>
      </c>
      <c r="C6" s="7">
        <v>346.33</v>
      </c>
      <c r="D6" s="7">
        <f t="shared" si="1"/>
        <v>65.03163510889047</v>
      </c>
    </row>
    <row r="7" spans="1:6" ht="17" x14ac:dyDescent="0.2">
      <c r="A7" s="7" t="s">
        <v>499</v>
      </c>
      <c r="B7" s="7">
        <f t="shared" si="0"/>
        <v>7.4308732958448322</v>
      </c>
      <c r="C7" s="7">
        <v>319.13</v>
      </c>
      <c r="D7" s="7">
        <f t="shared" si="1"/>
        <v>55.217877938899839</v>
      </c>
    </row>
    <row r="8" spans="1:6" ht="17" x14ac:dyDescent="0.2">
      <c r="A8" s="7" t="s">
        <v>500</v>
      </c>
      <c r="B8" s="7">
        <f t="shared" si="0"/>
        <v>6.7067164961056207</v>
      </c>
      <c r="C8" s="7">
        <v>288.02999999999997</v>
      </c>
      <c r="D8" s="7">
        <f t="shared" si="1"/>
        <v>44.980046159135256</v>
      </c>
    </row>
    <row r="9" spans="1:6" ht="17" x14ac:dyDescent="0.2">
      <c r="A9" s="7" t="s">
        <v>457</v>
      </c>
      <c r="B9" s="7">
        <f t="shared" si="0"/>
        <v>6.2275156299116352</v>
      </c>
      <c r="C9" s="7">
        <v>267.45</v>
      </c>
      <c r="D9" s="7">
        <f t="shared" si="1"/>
        <v>38.781950920793712</v>
      </c>
    </row>
    <row r="10" spans="1:6" ht="17" x14ac:dyDescent="0.2">
      <c r="A10" s="7" t="s">
        <v>460</v>
      </c>
      <c r="B10" s="7">
        <f t="shared" si="0"/>
        <v>6.1909585181563118</v>
      </c>
      <c r="C10" s="7">
        <v>265.88</v>
      </c>
      <c r="D10" s="7">
        <f t="shared" si="1"/>
        <v>38.327967373532196</v>
      </c>
    </row>
    <row r="11" spans="1:6" ht="17" x14ac:dyDescent="0.2">
      <c r="A11" s="7" t="s">
        <v>27</v>
      </c>
      <c r="B11" s="7">
        <f t="shared" si="0"/>
        <v>6.1592912111580702</v>
      </c>
      <c r="C11" s="7">
        <v>264.52</v>
      </c>
      <c r="D11" s="7">
        <f t="shared" si="1"/>
        <v>37.936868223849046</v>
      </c>
    </row>
    <row r="12" spans="1:6" ht="17" x14ac:dyDescent="0.2">
      <c r="A12" s="7" t="s">
        <v>501</v>
      </c>
      <c r="B12" s="7">
        <f t="shared" si="0"/>
        <v>4.6322750398751955</v>
      </c>
      <c r="C12" s="7">
        <v>198.94</v>
      </c>
      <c r="D12" s="7">
        <f t="shared" si="1"/>
        <v>21.457972045050745</v>
      </c>
    </row>
    <row r="13" spans="1:6" ht="17" x14ac:dyDescent="0.2">
      <c r="A13" s="7" t="s">
        <v>490</v>
      </c>
      <c r="B13" s="7">
        <f t="shared" si="0"/>
        <v>4.422711978857417</v>
      </c>
      <c r="C13" s="7">
        <v>189.94</v>
      </c>
      <c r="D13" s="7">
        <f t="shared" si="1"/>
        <v>19.560381247928888</v>
      </c>
    </row>
    <row r="14" spans="1:6" ht="17" x14ac:dyDescent="0.2">
      <c r="A14" s="7" t="s">
        <v>503</v>
      </c>
      <c r="B14" s="7">
        <f t="shared" si="0"/>
        <v>4.3346954932299502</v>
      </c>
      <c r="C14" s="7">
        <v>186.16</v>
      </c>
      <c r="D14" s="7">
        <f t="shared" si="1"/>
        <v>18.789585019028042</v>
      </c>
    </row>
    <row r="15" spans="1:6" ht="17" x14ac:dyDescent="0.2">
      <c r="A15" s="7" t="s">
        <v>491</v>
      </c>
      <c r="B15" s="7">
        <f t="shared" si="0"/>
        <v>3.4708299861455543</v>
      </c>
      <c r="C15" s="7">
        <v>149.06</v>
      </c>
      <c r="D15" s="7">
        <f t="shared" si="1"/>
        <v>12.046660792727149</v>
      </c>
    </row>
    <row r="16" spans="1:6" ht="17" x14ac:dyDescent="0.2">
      <c r="A16" s="7" t="s">
        <v>492</v>
      </c>
      <c r="B16" s="7">
        <f t="shared" si="0"/>
        <v>2.4761039898478345</v>
      </c>
      <c r="C16" s="7">
        <v>106.34</v>
      </c>
      <c r="D16" s="7">
        <f t="shared" si="1"/>
        <v>6.1310909685403647</v>
      </c>
    </row>
    <row r="17" spans="1:4" ht="17" x14ac:dyDescent="0.2">
      <c r="A17" s="7" t="s">
        <v>461</v>
      </c>
      <c r="B17" s="7">
        <f t="shared" si="0"/>
        <v>1.8851361577777008</v>
      </c>
      <c r="C17" s="7">
        <v>80.959999999999994</v>
      </c>
      <c r="D17" s="7">
        <f t="shared" si="1"/>
        <v>3.5537383333608727</v>
      </c>
    </row>
    <row r="18" spans="1:4" ht="17" x14ac:dyDescent="0.2">
      <c r="A18" s="7" t="s">
        <v>463</v>
      </c>
      <c r="B18" s="7">
        <f>(C20/$C$21)*100</f>
        <v>1.4764881887930337</v>
      </c>
      <c r="C18" s="7">
        <v>30.62</v>
      </c>
      <c r="D18" s="7">
        <f t="shared" si="1"/>
        <v>2.180017371645333</v>
      </c>
    </row>
    <row r="19" spans="1:4" ht="17" x14ac:dyDescent="0.2">
      <c r="A19" s="7" t="s">
        <v>462</v>
      </c>
      <c r="B19" s="7">
        <f>(C18/$C$21)*100</f>
        <v>0.71298010315159577</v>
      </c>
      <c r="C19" s="7">
        <v>19.23</v>
      </c>
      <c r="D19" s="7">
        <f t="shared" si="1"/>
        <v>0.50834062749006015</v>
      </c>
    </row>
    <row r="20" spans="1:4" ht="17" x14ac:dyDescent="0.2">
      <c r="A20" s="7" t="s">
        <v>169</v>
      </c>
      <c r="B20" s="7">
        <f>(C19/$C$21)*100</f>
        <v>0.44776640704131904</v>
      </c>
      <c r="C20" s="7">
        <v>63.41</v>
      </c>
      <c r="D20" s="7">
        <f t="shared" si="1"/>
        <v>0.20049475527469221</v>
      </c>
    </row>
    <row r="21" spans="1:4" ht="34" x14ac:dyDescent="0.2">
      <c r="A21" s="7" t="s">
        <v>465</v>
      </c>
      <c r="C21" s="7">
        <f>SUM(C3:C20)</f>
        <v>4294.6499999999987</v>
      </c>
    </row>
    <row r="22" spans="1:4" ht="17" x14ac:dyDescent="0.2">
      <c r="A22" s="7" t="s">
        <v>60</v>
      </c>
      <c r="B22" s="7">
        <f>SUM(B3:B6)</f>
        <v>43.425657504103953</v>
      </c>
    </row>
    <row r="23" spans="1:4" ht="17" x14ac:dyDescent="0.2">
      <c r="A23" s="7" t="s">
        <v>464</v>
      </c>
      <c r="B23" s="7">
        <f>SUMSQ(B3:B19)</f>
        <v>788.7003434411115</v>
      </c>
    </row>
  </sheetData>
  <mergeCells count="1">
    <mergeCell ref="A1:F1"/>
  </mergeCells>
  <phoneticPr fontId="4" type="noConversion"/>
  <conditionalFormatting sqref="A18">
    <cfRule type="cellIs" dxfId="2" priority="1"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A49A7-088D-4A2D-95F4-71092C03E115}">
  <dimension ref="A1:C13"/>
  <sheetViews>
    <sheetView zoomScaleNormal="120" workbookViewId="0">
      <selection activeCell="D11" sqref="D11"/>
    </sheetView>
  </sheetViews>
  <sheetFormatPr baseColWidth="10" defaultColWidth="22.6640625" defaultRowHeight="16" x14ac:dyDescent="0.2"/>
  <cols>
    <col min="1" max="11" width="22.6640625" style="7"/>
    <col min="12" max="13" width="68" style="7" customWidth="1"/>
    <col min="14" max="16384" width="22.6640625" style="7"/>
  </cols>
  <sheetData>
    <row r="1" spans="1:3" ht="68" customHeight="1" x14ac:dyDescent="0.2">
      <c r="A1" s="30" t="s">
        <v>625</v>
      </c>
      <c r="B1" s="30"/>
      <c r="C1" s="30"/>
    </row>
    <row r="2" spans="1:3" ht="17" x14ac:dyDescent="0.2">
      <c r="B2" s="7" t="s">
        <v>483</v>
      </c>
      <c r="C2" s="7" t="s">
        <v>172</v>
      </c>
    </row>
    <row r="3" spans="1:3" ht="17" x14ac:dyDescent="0.2">
      <c r="A3" s="7" t="s">
        <v>450</v>
      </c>
      <c r="B3" s="7">
        <v>361.44</v>
      </c>
      <c r="C3" s="7">
        <f>(B3/$B$11)*100</f>
        <v>15.476842970676897</v>
      </c>
    </row>
    <row r="4" spans="1:3" ht="17" x14ac:dyDescent="0.2">
      <c r="A4" s="7" t="s">
        <v>484</v>
      </c>
      <c r="B4" s="7">
        <v>329.68</v>
      </c>
      <c r="C4" s="7">
        <f t="shared" ref="C4:C10" si="0">(B4/$B$11)*100</f>
        <v>14.1168813373527</v>
      </c>
    </row>
    <row r="5" spans="1:3" ht="17" x14ac:dyDescent="0.2">
      <c r="A5" s="7" t="s">
        <v>485</v>
      </c>
      <c r="B5" s="7">
        <v>247.82</v>
      </c>
      <c r="C5" s="7">
        <f t="shared" si="0"/>
        <v>10.611640175390518</v>
      </c>
    </row>
    <row r="6" spans="1:3" ht="17" x14ac:dyDescent="0.2">
      <c r="A6" s="7" t="s">
        <v>486</v>
      </c>
      <c r="B6" s="7">
        <v>227.79</v>
      </c>
      <c r="C6" s="7">
        <f t="shared" si="0"/>
        <v>9.7539565634420384</v>
      </c>
    </row>
    <row r="7" spans="1:3" ht="17" x14ac:dyDescent="0.2">
      <c r="A7" s="7" t="s">
        <v>487</v>
      </c>
      <c r="B7" s="7">
        <v>189.61</v>
      </c>
      <c r="C7" s="7">
        <f t="shared" si="0"/>
        <v>8.1190908468073442</v>
      </c>
    </row>
    <row r="8" spans="1:3" ht="17" x14ac:dyDescent="0.2">
      <c r="A8" s="7" t="s">
        <v>488</v>
      </c>
      <c r="B8" s="7">
        <v>174.62</v>
      </c>
      <c r="C8" s="7">
        <f t="shared" si="0"/>
        <v>7.4772197862428058</v>
      </c>
    </row>
    <row r="9" spans="1:3" ht="17" x14ac:dyDescent="0.2">
      <c r="A9" s="7" t="s">
        <v>489</v>
      </c>
      <c r="B9" s="7">
        <v>147.77000000000001</v>
      </c>
      <c r="C9" s="7">
        <f t="shared" si="0"/>
        <v>6.3275041107152656</v>
      </c>
    </row>
    <row r="10" spans="1:3" ht="17" x14ac:dyDescent="0.2">
      <c r="A10" s="7" t="s">
        <v>169</v>
      </c>
      <c r="B10" s="7">
        <v>73.820000000000164</v>
      </c>
      <c r="C10" s="7">
        <f t="shared" si="0"/>
        <v>3.1609687585639969</v>
      </c>
    </row>
    <row r="11" spans="1:3" ht="34" x14ac:dyDescent="0.2">
      <c r="A11" s="7" t="s">
        <v>465</v>
      </c>
      <c r="B11" s="7">
        <v>2335.36</v>
      </c>
      <c r="C11" s="7">
        <f>(B11/$B$11)*100</f>
        <v>100</v>
      </c>
    </row>
    <row r="12" spans="1:3" ht="17" x14ac:dyDescent="0.2">
      <c r="A12" s="7" t="s">
        <v>60</v>
      </c>
      <c r="B12" s="7">
        <f>SUM(C3:C6)</f>
        <v>49.959321046862151</v>
      </c>
    </row>
    <row r="13" spans="1:3" ht="17" x14ac:dyDescent="0.2">
      <c r="A13" s="7" t="s">
        <v>464</v>
      </c>
      <c r="B13" s="7">
        <f>SUMSQ(C3:C9)</f>
        <v>808.43134306697436</v>
      </c>
    </row>
  </sheetData>
  <mergeCells count="1">
    <mergeCell ref="A1:C1"/>
  </mergeCells>
  <conditionalFormatting sqref="A10">
    <cfRule type="cellIs" dxfId="1" priority="2" operator="equal">
      <formula>0</formula>
    </cfRule>
  </conditionalFormatting>
  <conditionalFormatting sqref="A22">
    <cfRule type="cellIs" dxfId="0" priority="1"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25AC4-1E67-3249-A82A-EF923F797E08}">
  <dimension ref="A1:G12"/>
  <sheetViews>
    <sheetView zoomScaleNormal="100" workbookViewId="0">
      <selection sqref="A1:G1"/>
    </sheetView>
  </sheetViews>
  <sheetFormatPr baseColWidth="10" defaultColWidth="11" defaultRowHeight="16" x14ac:dyDescent="0.2"/>
  <cols>
    <col min="1" max="1" width="11" style="7"/>
    <col min="2" max="2" width="11.6640625" style="7" bestFit="1" customWidth="1"/>
    <col min="3" max="5" width="11" style="7"/>
    <col min="6" max="6" width="13.83203125" style="7" customWidth="1"/>
    <col min="7" max="16384" width="11" style="7"/>
  </cols>
  <sheetData>
    <row r="1" spans="1:7" ht="40.5" customHeight="1" x14ac:dyDescent="0.2">
      <c r="A1" s="30" t="s">
        <v>635</v>
      </c>
      <c r="B1" s="30"/>
      <c r="C1" s="30"/>
      <c r="D1" s="30"/>
      <c r="E1" s="30"/>
      <c r="F1" s="30"/>
      <c r="G1" s="30"/>
    </row>
    <row r="2" spans="1:7" ht="51" x14ac:dyDescent="0.2">
      <c r="B2" s="7" t="s">
        <v>282</v>
      </c>
      <c r="C2" s="7" t="s">
        <v>283</v>
      </c>
      <c r="D2" s="7" t="s">
        <v>284</v>
      </c>
      <c r="E2" s="7" t="s">
        <v>285</v>
      </c>
      <c r="F2" s="7" t="s">
        <v>477</v>
      </c>
      <c r="G2" s="7" t="s">
        <v>93</v>
      </c>
    </row>
    <row r="3" spans="1:7" ht="17" x14ac:dyDescent="0.2">
      <c r="A3" s="7" t="s">
        <v>27</v>
      </c>
      <c r="B3" s="7">
        <v>7281.79</v>
      </c>
      <c r="C3" s="7">
        <v>165.62</v>
      </c>
      <c r="D3" s="7">
        <v>264.52</v>
      </c>
      <c r="E3" s="7">
        <v>247.82</v>
      </c>
      <c r="F3" s="7">
        <v>187.11</v>
      </c>
      <c r="G3" s="7">
        <f>SUM(B3:F3)</f>
        <v>8146.86</v>
      </c>
    </row>
    <row r="4" spans="1:7" ht="17" x14ac:dyDescent="0.2">
      <c r="A4" s="7" t="s">
        <v>28</v>
      </c>
      <c r="B4" s="7">
        <v>3838.84</v>
      </c>
      <c r="G4" s="7">
        <f t="shared" ref="G4:G11" si="0">SUM(B4:E4)</f>
        <v>3838.84</v>
      </c>
    </row>
    <row r="5" spans="1:7" ht="17" x14ac:dyDescent="0.2">
      <c r="A5" s="7" t="s">
        <v>34</v>
      </c>
      <c r="B5" s="7">
        <v>1529.28</v>
      </c>
      <c r="C5" s="7">
        <v>17.95</v>
      </c>
      <c r="E5" s="7">
        <v>147.77000000000001</v>
      </c>
      <c r="G5" s="7">
        <f t="shared" si="0"/>
        <v>1695</v>
      </c>
    </row>
    <row r="6" spans="1:7" ht="17" x14ac:dyDescent="0.2">
      <c r="A6" s="7" t="s">
        <v>33</v>
      </c>
      <c r="C6" s="7">
        <v>1456.89</v>
      </c>
      <c r="G6" s="7">
        <f t="shared" si="0"/>
        <v>1456.89</v>
      </c>
    </row>
    <row r="7" spans="1:7" ht="17" customHeight="1" x14ac:dyDescent="0.2">
      <c r="A7" s="7" t="s">
        <v>37</v>
      </c>
      <c r="C7" s="7">
        <v>212.35000000000002</v>
      </c>
      <c r="D7" s="7">
        <v>542.79</v>
      </c>
      <c r="E7" s="7">
        <v>227.79</v>
      </c>
      <c r="F7" s="7">
        <v>319.13</v>
      </c>
      <c r="G7" s="7">
        <f>SUM(B7:F7)</f>
        <v>1302.06</v>
      </c>
    </row>
    <row r="8" spans="1:7" ht="17" x14ac:dyDescent="0.2">
      <c r="A8" s="7" t="s">
        <v>40</v>
      </c>
      <c r="B8" s="7">
        <v>366.40849040000001</v>
      </c>
      <c r="D8" s="7">
        <v>564.14</v>
      </c>
      <c r="G8" s="7">
        <f>SUM(B8:E8)</f>
        <v>930.54849039999999</v>
      </c>
    </row>
    <row r="9" spans="1:7" ht="15" customHeight="1" x14ac:dyDescent="0.2">
      <c r="A9" s="7" t="s">
        <v>157</v>
      </c>
      <c r="B9" s="7">
        <v>339.48032419999998</v>
      </c>
      <c r="G9" s="7">
        <f>SUM(B9:E9)</f>
        <v>339.48032419999998</v>
      </c>
    </row>
    <row r="10" spans="1:7" ht="17" x14ac:dyDescent="0.2">
      <c r="A10" s="7" t="s">
        <v>156</v>
      </c>
      <c r="B10" s="7">
        <v>197.6973653</v>
      </c>
      <c r="G10" s="7">
        <f t="shared" si="0"/>
        <v>197.6973653</v>
      </c>
    </row>
    <row r="11" spans="1:7" ht="17" x14ac:dyDescent="0.2">
      <c r="A11" s="7" t="s">
        <v>47</v>
      </c>
      <c r="B11" s="7">
        <v>165.24704019999999</v>
      </c>
      <c r="G11" s="7">
        <f t="shared" si="0"/>
        <v>165.24704019999999</v>
      </c>
    </row>
    <row r="12" spans="1:7" x14ac:dyDescent="0.2">
      <c r="G12" s="7">
        <f>SUM(G3:G11)</f>
        <v>18072.623220100002</v>
      </c>
    </row>
  </sheetData>
  <mergeCells count="1">
    <mergeCell ref="A1:G1"/>
  </mergeCells>
  <pageMargins left="0.7" right="0.7" top="0.75" bottom="0.75" header="0.3" footer="0.3"/>
  <pageSetup paperSize="9" orientation="portrait" verticalDpi="0" r:id="rId1"/>
  <ignoredErrors>
    <ignoredError sqref="G7"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0F00-6FB4-0E44-A3D2-B94FD9BFB4B0}">
  <dimension ref="A1:G28"/>
  <sheetViews>
    <sheetView topLeftCell="A10" zoomScale="120" zoomScaleNormal="120" workbookViewId="0">
      <selection activeCell="A11" sqref="A11"/>
    </sheetView>
  </sheetViews>
  <sheetFormatPr baseColWidth="10" defaultColWidth="11" defaultRowHeight="33" customHeight="1" x14ac:dyDescent="0.2"/>
  <cols>
    <col min="1" max="1" width="39.83203125" style="7" customWidth="1"/>
    <col min="2" max="2" width="13.6640625" style="7" customWidth="1"/>
    <col min="3" max="4" width="15.6640625" style="7" bestFit="1" customWidth="1"/>
    <col min="5" max="5" width="15.1640625" style="7" customWidth="1"/>
    <col min="6" max="6" width="15.6640625" style="7" bestFit="1" customWidth="1"/>
    <col min="7" max="7" width="13.1640625" style="7" bestFit="1" customWidth="1"/>
    <col min="8" max="16384" width="11" style="7"/>
  </cols>
  <sheetData>
    <row r="1" spans="1:7" ht="33" customHeight="1" x14ac:dyDescent="0.2">
      <c r="A1" s="30" t="s">
        <v>636</v>
      </c>
      <c r="B1" s="30"/>
      <c r="C1" s="30"/>
      <c r="D1" s="30"/>
      <c r="E1" s="30"/>
      <c r="F1" s="30"/>
      <c r="G1" s="30"/>
    </row>
    <row r="2" spans="1:7" ht="33" customHeight="1" x14ac:dyDescent="0.2">
      <c r="A2" s="30"/>
      <c r="B2" s="30"/>
      <c r="C2" s="30"/>
      <c r="D2" s="30"/>
      <c r="E2" s="30"/>
      <c r="F2" s="30"/>
      <c r="G2" s="30"/>
    </row>
    <row r="3" spans="1:7" ht="33" customHeight="1" x14ac:dyDescent="0.2">
      <c r="B3" s="7">
        <v>2012</v>
      </c>
      <c r="C3" s="7">
        <v>2017</v>
      </c>
      <c r="D3" s="7">
        <v>2020</v>
      </c>
      <c r="E3" s="7">
        <v>2022</v>
      </c>
    </row>
    <row r="4" spans="1:7" ht="33" customHeight="1" x14ac:dyDescent="0.2">
      <c r="A4" s="7" t="s">
        <v>27</v>
      </c>
      <c r="B4" s="7">
        <v>1251.1099999999999</v>
      </c>
      <c r="C4" s="7">
        <v>3601.46</v>
      </c>
      <c r="D4" s="7">
        <v>5363.07</v>
      </c>
      <c r="E4" s="7">
        <v>8146.86</v>
      </c>
    </row>
    <row r="5" spans="1:7" ht="33" customHeight="1" x14ac:dyDescent="0.2">
      <c r="A5" s="7" t="s">
        <v>28</v>
      </c>
      <c r="B5" s="7">
        <v>225.4</v>
      </c>
      <c r="C5" s="7">
        <v>1750.1</v>
      </c>
      <c r="D5" s="7">
        <v>2928.5</v>
      </c>
      <c r="E5" s="7">
        <v>3838.84</v>
      </c>
    </row>
    <row r="6" spans="1:7" ht="33" customHeight="1" x14ac:dyDescent="0.2">
      <c r="A6" s="7" t="s">
        <v>34</v>
      </c>
      <c r="C6" s="7">
        <v>215.95000000000002</v>
      </c>
      <c r="D6" s="7">
        <v>930.51</v>
      </c>
      <c r="E6" s="7">
        <v>1695</v>
      </c>
    </row>
    <row r="7" spans="1:7" ht="33" customHeight="1" x14ac:dyDescent="0.2">
      <c r="A7" s="7" t="s">
        <v>33</v>
      </c>
      <c r="B7" s="7">
        <v>134.05000000000001</v>
      </c>
      <c r="C7" s="7">
        <v>631.49</v>
      </c>
      <c r="D7" s="7">
        <v>1121</v>
      </c>
      <c r="E7" s="7">
        <v>1456.89</v>
      </c>
    </row>
    <row r="8" spans="1:7" ht="33" customHeight="1" x14ac:dyDescent="0.2">
      <c r="A8" s="7" t="s">
        <v>37</v>
      </c>
      <c r="B8" s="7">
        <v>99.36</v>
      </c>
      <c r="C8" s="7">
        <v>443.54</v>
      </c>
      <c r="D8" s="7">
        <v>954.90000000000009</v>
      </c>
      <c r="E8" s="7">
        <v>1302.06</v>
      </c>
    </row>
    <row r="9" spans="1:7" ht="33" customHeight="1" x14ac:dyDescent="0.2">
      <c r="A9" s="7" t="s">
        <v>40</v>
      </c>
      <c r="B9" s="7">
        <v>229.19</v>
      </c>
      <c r="C9" s="7">
        <v>484.51424000000003</v>
      </c>
      <c r="D9" s="7">
        <v>622.404</v>
      </c>
      <c r="E9" s="7">
        <v>930.54849039999999</v>
      </c>
    </row>
    <row r="10" spans="1:7" ht="33" customHeight="1" x14ac:dyDescent="0.2">
      <c r="A10" s="7" t="s">
        <v>450</v>
      </c>
      <c r="C10" s="7">
        <v>159.6</v>
      </c>
      <c r="D10" s="7">
        <v>324.73</v>
      </c>
      <c r="E10" s="7">
        <v>460.35490677999996</v>
      </c>
    </row>
    <row r="11" spans="1:7" ht="33" customHeight="1" x14ac:dyDescent="0.2">
      <c r="A11" s="7" t="s">
        <v>157</v>
      </c>
      <c r="D11" s="7">
        <v>116.09</v>
      </c>
      <c r="E11" s="7">
        <v>339.48032419999998</v>
      </c>
      <c r="F11" s="7">
        <v>339.48032419999998</v>
      </c>
    </row>
    <row r="12" spans="1:7" ht="33" customHeight="1" x14ac:dyDescent="0.2">
      <c r="A12" s="7" t="s">
        <v>156</v>
      </c>
      <c r="D12" s="7">
        <v>103.09</v>
      </c>
      <c r="E12" s="7">
        <v>197.6973653</v>
      </c>
      <c r="F12" s="7">
        <v>197.6973653</v>
      </c>
    </row>
    <row r="13" spans="1:7" ht="33" customHeight="1" x14ac:dyDescent="0.2">
      <c r="A13" s="7" t="s">
        <v>47</v>
      </c>
      <c r="C13" s="7">
        <v>92.2</v>
      </c>
      <c r="D13" s="7">
        <v>124.3</v>
      </c>
      <c r="E13" s="7">
        <v>165.24704019999999</v>
      </c>
      <c r="F13" s="7">
        <v>165.24704019999999</v>
      </c>
    </row>
    <row r="14" spans="1:7" ht="33" customHeight="1" x14ac:dyDescent="0.2">
      <c r="A14" s="7" t="s">
        <v>530</v>
      </c>
      <c r="B14" s="7">
        <f>SUM(B4:B13)</f>
        <v>1939.11</v>
      </c>
      <c r="C14" s="7">
        <f>SUM(C4:C13)</f>
        <v>7378.8542399999997</v>
      </c>
      <c r="D14" s="7">
        <f>SUM(D4:D13)</f>
        <v>12588.593999999999</v>
      </c>
      <c r="E14" s="7">
        <f>SUM(E4:E13)</f>
        <v>18532.978126880003</v>
      </c>
      <c r="F14" s="7">
        <f>SUM(F11:F13)</f>
        <v>702.42472970000006</v>
      </c>
      <c r="G14" s="7">
        <f>E14-F14</f>
        <v>17830.553397180003</v>
      </c>
    </row>
    <row r="15" spans="1:7" ht="33" customHeight="1" x14ac:dyDescent="0.2">
      <c r="A15" s="7" t="s">
        <v>529</v>
      </c>
      <c r="B15" s="7">
        <v>21789.655729862498</v>
      </c>
      <c r="C15" s="7">
        <v>27599.969153454716</v>
      </c>
      <c r="D15" s="7">
        <v>29272.275333983067</v>
      </c>
      <c r="E15" s="7">
        <v>36777.453882258713</v>
      </c>
    </row>
    <row r="18" spans="1:5" ht="33" customHeight="1" x14ac:dyDescent="0.2">
      <c r="A18" s="7" t="s">
        <v>544</v>
      </c>
      <c r="B18" s="7">
        <f t="shared" ref="B18:B23" si="0">B4/$B$15</f>
        <v>5.7417612077522023E-2</v>
      </c>
      <c r="C18" s="7">
        <f t="shared" ref="C18:C23" si="1">C4/$C$15</f>
        <v>0.13048782699632841</v>
      </c>
      <c r="D18" s="7">
        <f t="shared" ref="D18:D23" si="2">D4/$D$15</f>
        <v>0.18321329445046078</v>
      </c>
      <c r="E18" s="7">
        <f t="shared" ref="E18:E23" si="3">E4/$E$15</f>
        <v>0.22151778168444691</v>
      </c>
    </row>
    <row r="19" spans="1:5" ht="33" customHeight="1" x14ac:dyDescent="0.2">
      <c r="A19" s="7" t="s">
        <v>545</v>
      </c>
      <c r="B19" s="7">
        <f t="shared" si="0"/>
        <v>1.0344358019897104E-2</v>
      </c>
      <c r="C19" s="7">
        <f t="shared" si="1"/>
        <v>6.340949115810654E-2</v>
      </c>
      <c r="D19" s="7">
        <f t="shared" si="2"/>
        <v>0.10004347002708792</v>
      </c>
      <c r="E19" s="7">
        <f t="shared" si="3"/>
        <v>0.10438025460625593</v>
      </c>
    </row>
    <row r="20" spans="1:5" ht="33" customHeight="1" x14ac:dyDescent="0.2">
      <c r="A20" s="7" t="s">
        <v>546</v>
      </c>
      <c r="B20" s="7">
        <f t="shared" si="0"/>
        <v>0</v>
      </c>
      <c r="C20" s="7">
        <f t="shared" si="1"/>
        <v>7.824284106961378E-3</v>
      </c>
      <c r="D20" s="7">
        <f t="shared" si="2"/>
        <v>3.1788099468979196E-2</v>
      </c>
      <c r="E20" s="7">
        <f t="shared" si="3"/>
        <v>4.6088019182253963E-2</v>
      </c>
    </row>
    <row r="21" spans="1:5" ht="33" customHeight="1" x14ac:dyDescent="0.2">
      <c r="A21" s="7" t="s">
        <v>547</v>
      </c>
      <c r="B21" s="7">
        <f t="shared" si="0"/>
        <v>6.15200174164688E-3</v>
      </c>
      <c r="C21" s="7">
        <f t="shared" si="1"/>
        <v>2.2880098035216671E-2</v>
      </c>
      <c r="D21" s="7">
        <f t="shared" si="2"/>
        <v>3.8295622298229658E-2</v>
      </c>
      <c r="E21" s="7">
        <f t="shared" si="3"/>
        <v>3.9613672133589371E-2</v>
      </c>
    </row>
    <row r="22" spans="1:5" ht="33" customHeight="1" x14ac:dyDescent="0.2">
      <c r="A22" s="7" t="s">
        <v>548</v>
      </c>
      <c r="B22" s="7">
        <f t="shared" si="0"/>
        <v>4.5599619026485188E-3</v>
      </c>
      <c r="C22" s="7">
        <f t="shared" si="1"/>
        <v>1.6070307815705717E-2</v>
      </c>
      <c r="D22" s="7">
        <f t="shared" si="2"/>
        <v>3.2621311090615078E-2</v>
      </c>
      <c r="E22" s="7">
        <f t="shared" si="3"/>
        <v>3.5403755903507722E-2</v>
      </c>
    </row>
    <row r="23" spans="1:5" ht="33" customHeight="1" x14ac:dyDescent="0.2">
      <c r="A23" s="7" t="s">
        <v>549</v>
      </c>
      <c r="B23" s="7">
        <f t="shared" si="0"/>
        <v>1.0518293764774698E-2</v>
      </c>
      <c r="C23" s="7">
        <f t="shared" si="1"/>
        <v>1.7554883387953094E-2</v>
      </c>
      <c r="D23" s="7">
        <f t="shared" si="2"/>
        <v>2.1262576718026168E-2</v>
      </c>
      <c r="E23" s="7">
        <f t="shared" si="3"/>
        <v>2.5302145531311309E-2</v>
      </c>
    </row>
    <row r="24" spans="1:5" ht="33" customHeight="1" x14ac:dyDescent="0.2">
      <c r="A24" s="7" t="s">
        <v>550</v>
      </c>
      <c r="B24" s="7">
        <f>B10/B15</f>
        <v>0</v>
      </c>
      <c r="C24" s="7">
        <f>C10/C15</f>
        <v>5.7826151584674038E-3</v>
      </c>
      <c r="D24" s="7">
        <f>D10/D15</f>
        <v>1.1093432139967991E-2</v>
      </c>
      <c r="E24" s="7">
        <f>E10/E15</f>
        <v>1.2517313141192551E-2</v>
      </c>
    </row>
    <row r="25" spans="1:5" ht="33" customHeight="1" x14ac:dyDescent="0.2">
      <c r="A25" s="7" t="s">
        <v>551</v>
      </c>
      <c r="B25" s="7">
        <f>B11/$B$15</f>
        <v>0</v>
      </c>
      <c r="C25" s="7">
        <f>C11/$C$15</f>
        <v>0</v>
      </c>
      <c r="D25" s="7">
        <f>D11/$D$15</f>
        <v>3.9658686820709024E-3</v>
      </c>
      <c r="E25" s="7">
        <f>E11/$E$15</f>
        <v>9.2306641260928579E-3</v>
      </c>
    </row>
    <row r="26" spans="1:5" ht="33" customHeight="1" x14ac:dyDescent="0.2">
      <c r="A26" s="7" t="s">
        <v>552</v>
      </c>
      <c r="B26" s="7">
        <f>B12/$B$15</f>
        <v>0</v>
      </c>
      <c r="C26" s="7">
        <f>C12/$C$15</f>
        <v>0</v>
      </c>
      <c r="D26" s="7">
        <f>D12/$D$15</f>
        <v>3.5217624466766244E-3</v>
      </c>
      <c r="E26" s="7">
        <f>E12/$E$15</f>
        <v>5.3755044036740227E-3</v>
      </c>
    </row>
    <row r="27" spans="1:5" ht="33" customHeight="1" x14ac:dyDescent="0.2">
      <c r="A27" s="7" t="s">
        <v>553</v>
      </c>
      <c r="B27" s="7">
        <f>B13/$B$15</f>
        <v>0</v>
      </c>
      <c r="C27" s="7">
        <f>C13/$C$15</f>
        <v>3.3405834436760315E-3</v>
      </c>
      <c r="D27" s="7">
        <f>D13/$D$15</f>
        <v>4.2463388507314424E-3</v>
      </c>
      <c r="E27" s="7">
        <f>E13/$E$15</f>
        <v>4.493161509468018E-3</v>
      </c>
    </row>
    <row r="28" spans="1:5" ht="33" customHeight="1" x14ac:dyDescent="0.2">
      <c r="A28" s="7" t="s">
        <v>554</v>
      </c>
      <c r="B28" s="7">
        <f>B14/B15</f>
        <v>8.8992227506489219E-2</v>
      </c>
      <c r="C28" s="7">
        <f>C14/C15</f>
        <v>0.26735009010241523</v>
      </c>
      <c r="D28" s="7">
        <f>D14/D15</f>
        <v>0.43005177617284573</v>
      </c>
      <c r="E28" s="7">
        <f>E14/$E$15</f>
        <v>0.50392227222179276</v>
      </c>
    </row>
  </sheetData>
  <mergeCells count="1">
    <mergeCell ref="A1:G2"/>
  </mergeCells>
  <pageMargins left="0.7" right="0.7" top="0.75" bottom="0.75" header="0.3" footer="0.3"/>
  <ignoredErrors>
    <ignoredError sqref="B14:E14" formulaRange="1"/>
    <ignoredError sqref="B24:D24 E24" 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E8C73-A2A3-FE47-BA21-60B83DEC482C}">
  <dimension ref="A1:S138"/>
  <sheetViews>
    <sheetView topLeftCell="C2" zoomScale="91" zoomScaleNormal="120" workbookViewId="0">
      <selection activeCell="H25" sqref="H25"/>
    </sheetView>
  </sheetViews>
  <sheetFormatPr baseColWidth="10" defaultColWidth="11" defaultRowHeight="16" x14ac:dyDescent="0.2"/>
  <cols>
    <col min="1" max="1" width="17.5" style="8" customWidth="1"/>
    <col min="2" max="2" width="12.1640625" style="8" customWidth="1"/>
    <col min="3" max="3" width="13.6640625" style="8" customWidth="1"/>
    <col min="4" max="4" width="13" style="8" customWidth="1"/>
    <col min="5" max="5" width="12.5" style="8" customWidth="1"/>
    <col min="6" max="6" width="12.1640625" style="8" customWidth="1"/>
    <col min="7" max="7" width="15.1640625" style="8" bestFit="1" customWidth="1"/>
    <col min="8" max="8" width="14.6640625" style="8" bestFit="1" customWidth="1"/>
    <col min="9" max="9" width="12" style="8" customWidth="1"/>
    <col min="10" max="10" width="10.83203125" style="8" customWidth="1"/>
    <col min="11" max="12" width="10.6640625" style="8" customWidth="1"/>
    <col min="13" max="13" width="10.1640625" style="8" customWidth="1"/>
    <col min="14" max="14" width="12.83203125" style="8" bestFit="1" customWidth="1"/>
    <col min="15" max="16384" width="11" style="8"/>
  </cols>
  <sheetData>
    <row r="1" spans="1:19" x14ac:dyDescent="0.2">
      <c r="A1" s="30" t="s">
        <v>641</v>
      </c>
      <c r="B1" s="30"/>
      <c r="C1" s="30"/>
      <c r="D1" s="30"/>
      <c r="E1" s="30"/>
      <c r="F1" s="30"/>
      <c r="G1" s="30"/>
      <c r="H1" s="30"/>
      <c r="I1" s="30"/>
      <c r="J1" s="30"/>
      <c r="K1" s="7"/>
      <c r="L1" s="7"/>
      <c r="M1" s="7"/>
      <c r="N1" s="7"/>
      <c r="O1" s="7"/>
      <c r="P1" s="7"/>
    </row>
    <row r="2" spans="1:19" ht="38" customHeight="1" x14ac:dyDescent="0.2">
      <c r="A2" s="7">
        <v>2022</v>
      </c>
      <c r="B2" s="7"/>
      <c r="C2" s="7"/>
      <c r="D2" s="7"/>
      <c r="E2" s="7"/>
      <c r="F2" s="7"/>
      <c r="G2" s="7"/>
      <c r="H2" s="7"/>
      <c r="I2" s="7"/>
      <c r="J2" s="7"/>
      <c r="K2" s="7"/>
      <c r="L2" s="7"/>
      <c r="M2" s="7"/>
      <c r="N2" s="7"/>
      <c r="O2" s="7"/>
      <c r="P2" s="7"/>
    </row>
    <row r="3" spans="1:19" ht="90" customHeight="1" x14ac:dyDescent="0.2">
      <c r="A3" s="7"/>
      <c r="B3" s="7" t="s">
        <v>286</v>
      </c>
      <c r="C3" s="7" t="s">
        <v>287</v>
      </c>
      <c r="D3" s="7" t="s">
        <v>189</v>
      </c>
      <c r="E3" s="7" t="s">
        <v>448</v>
      </c>
      <c r="F3" s="7" t="s">
        <v>283</v>
      </c>
      <c r="G3" s="7" t="s">
        <v>284</v>
      </c>
      <c r="H3" s="7" t="s">
        <v>290</v>
      </c>
      <c r="I3" s="7" t="s">
        <v>289</v>
      </c>
      <c r="J3" s="7" t="s">
        <v>143</v>
      </c>
      <c r="K3" s="7" t="s">
        <v>144</v>
      </c>
      <c r="L3" s="7" t="s">
        <v>477</v>
      </c>
      <c r="M3" s="7" t="s">
        <v>93</v>
      </c>
      <c r="N3" s="7" t="s">
        <v>57</v>
      </c>
      <c r="O3" s="7"/>
      <c r="P3" s="7"/>
    </row>
    <row r="4" spans="1:19" ht="17" x14ac:dyDescent="0.2">
      <c r="A4" s="7" t="s">
        <v>27</v>
      </c>
      <c r="B4" s="7">
        <v>7281.79</v>
      </c>
      <c r="C4" s="7"/>
      <c r="D4" s="7"/>
      <c r="E4" s="7"/>
      <c r="F4" s="7">
        <v>165.61999999999989</v>
      </c>
      <c r="G4" s="7">
        <v>264.52</v>
      </c>
      <c r="H4" s="7"/>
      <c r="I4" s="7">
        <v>247.82</v>
      </c>
      <c r="J4" s="7"/>
      <c r="K4" s="7"/>
      <c r="L4" s="7">
        <v>187.11</v>
      </c>
      <c r="M4" s="7">
        <f>SUM(B4:L4)</f>
        <v>8146.86</v>
      </c>
      <c r="N4" s="7">
        <f t="shared" ref="N4:N24" si="0">(M4/$M$24)*100</f>
        <v>18.419104106692018</v>
      </c>
      <c r="O4" s="7"/>
      <c r="P4" s="7"/>
    </row>
    <row r="5" spans="1:19" ht="17" x14ac:dyDescent="0.2">
      <c r="A5" s="7" t="s">
        <v>18</v>
      </c>
      <c r="B5" s="7">
        <v>100.74</v>
      </c>
      <c r="C5" s="7">
        <v>2160.232</v>
      </c>
      <c r="D5" s="7">
        <v>612.28</v>
      </c>
      <c r="E5" s="7">
        <v>1462.48</v>
      </c>
      <c r="F5" s="7">
        <v>608.55999999999995</v>
      </c>
      <c r="G5" s="7"/>
      <c r="H5" s="7">
        <v>226.702</v>
      </c>
      <c r="I5" s="7"/>
      <c r="J5" s="7"/>
      <c r="K5" s="7">
        <v>4.8644145711540006</v>
      </c>
      <c r="L5" s="7"/>
      <c r="M5" s="7">
        <f t="shared" ref="M5:M23" si="1">SUM(B5:L5)</f>
        <v>5175.8584145711538</v>
      </c>
      <c r="N5" s="7">
        <f t="shared" si="0"/>
        <v>11.70201463870546</v>
      </c>
      <c r="O5" s="7"/>
      <c r="P5" s="7"/>
    </row>
    <row r="6" spans="1:19" ht="17" x14ac:dyDescent="0.2">
      <c r="A6" s="7" t="s">
        <v>28</v>
      </c>
      <c r="B6" s="7">
        <v>3838.84</v>
      </c>
      <c r="C6" s="7"/>
      <c r="D6" s="7"/>
      <c r="E6" s="7"/>
      <c r="F6" s="7"/>
      <c r="G6" s="7"/>
      <c r="H6" s="7"/>
      <c r="I6" s="7"/>
      <c r="J6" s="7"/>
      <c r="K6" s="7"/>
      <c r="L6" s="7"/>
      <c r="M6" s="7">
        <f t="shared" si="1"/>
        <v>3838.84</v>
      </c>
      <c r="N6" s="7">
        <f t="shared" si="0"/>
        <v>8.6791713137249911</v>
      </c>
      <c r="O6" s="7"/>
      <c r="P6" s="7"/>
    </row>
    <row r="7" spans="1:19" ht="17" x14ac:dyDescent="0.2">
      <c r="A7" s="7" t="s">
        <v>22</v>
      </c>
      <c r="B7" s="7">
        <v>59.72</v>
      </c>
      <c r="C7" s="7">
        <v>1522.6179999999999</v>
      </c>
      <c r="D7" s="7">
        <v>324.89999999999998</v>
      </c>
      <c r="E7" s="7">
        <v>671.36</v>
      </c>
      <c r="F7" s="7">
        <v>103.28800000000001</v>
      </c>
      <c r="G7" s="7"/>
      <c r="H7" s="7">
        <v>79.099999999999994</v>
      </c>
      <c r="I7" s="7"/>
      <c r="J7" s="7"/>
      <c r="K7" s="7"/>
      <c r="L7" s="7"/>
      <c r="M7" s="7">
        <f t="shared" si="1"/>
        <v>2760.9859999999999</v>
      </c>
      <c r="N7" s="7">
        <f t="shared" si="0"/>
        <v>6.2422686251045381</v>
      </c>
      <c r="O7" s="7"/>
      <c r="P7" s="7"/>
    </row>
    <row r="8" spans="1:19" ht="17" x14ac:dyDescent="0.2">
      <c r="A8" s="7" t="s">
        <v>20</v>
      </c>
      <c r="B8" s="7">
        <v>51.14</v>
      </c>
      <c r="C8" s="7">
        <v>1137.77</v>
      </c>
      <c r="D8" s="7">
        <v>204.99</v>
      </c>
      <c r="E8" s="7">
        <v>890.6</v>
      </c>
      <c r="F8" s="7">
        <v>334.95</v>
      </c>
      <c r="G8" s="7"/>
      <c r="H8" s="7">
        <v>136.5</v>
      </c>
      <c r="I8" s="7"/>
      <c r="J8" s="7"/>
      <c r="K8" s="7"/>
      <c r="L8" s="7"/>
      <c r="M8" s="7">
        <f t="shared" si="1"/>
        <v>2755.95</v>
      </c>
      <c r="N8" s="7">
        <f t="shared" si="0"/>
        <v>6.2308828140949837</v>
      </c>
      <c r="O8" s="7"/>
      <c r="P8" s="7"/>
    </row>
    <row r="9" spans="1:19" ht="17" x14ac:dyDescent="0.2">
      <c r="A9" s="7" t="s">
        <v>30</v>
      </c>
      <c r="B9" s="7">
        <v>85.7</v>
      </c>
      <c r="C9" s="7"/>
      <c r="D9" s="7">
        <v>1083.77</v>
      </c>
      <c r="E9" s="7">
        <v>158.1</v>
      </c>
      <c r="F9" s="7">
        <v>23.84</v>
      </c>
      <c r="G9" s="7"/>
      <c r="H9" s="7">
        <v>358.4</v>
      </c>
      <c r="I9" s="7"/>
      <c r="J9" s="7"/>
      <c r="K9" s="7"/>
      <c r="L9" s="7"/>
      <c r="M9" s="7">
        <f t="shared" si="1"/>
        <v>1709.81</v>
      </c>
      <c r="N9" s="7">
        <f t="shared" si="0"/>
        <v>3.8656817955215965</v>
      </c>
      <c r="O9" s="7"/>
      <c r="P9" s="7"/>
    </row>
    <row r="10" spans="1:19" ht="17" x14ac:dyDescent="0.2">
      <c r="A10" s="7" t="s">
        <v>34</v>
      </c>
      <c r="B10" s="7">
        <v>1529.28</v>
      </c>
      <c r="C10" s="7"/>
      <c r="D10" s="7"/>
      <c r="E10" s="7"/>
      <c r="F10" s="7">
        <v>17.95</v>
      </c>
      <c r="G10" s="7"/>
      <c r="H10" s="7"/>
      <c r="I10" s="7">
        <v>147.77000000000001</v>
      </c>
      <c r="J10" s="7"/>
      <c r="K10" s="7"/>
      <c r="L10" s="7"/>
      <c r="M10" s="7">
        <f t="shared" si="1"/>
        <v>1695</v>
      </c>
      <c r="N10" s="7">
        <f t="shared" si="0"/>
        <v>3.8321981058767385</v>
      </c>
      <c r="O10" s="7"/>
      <c r="P10" s="7"/>
      <c r="S10" s="8" t="s">
        <v>495</v>
      </c>
    </row>
    <row r="11" spans="1:19" ht="17" x14ac:dyDescent="0.2">
      <c r="A11" s="7" t="s">
        <v>24</v>
      </c>
      <c r="B11" s="7">
        <v>65.64</v>
      </c>
      <c r="C11" s="7">
        <v>799.2</v>
      </c>
      <c r="D11" s="7">
        <v>196.27</v>
      </c>
      <c r="E11" s="7">
        <v>214.64</v>
      </c>
      <c r="F11" s="7">
        <v>63.31</v>
      </c>
      <c r="G11" s="7"/>
      <c r="H11" s="7"/>
      <c r="I11" s="7"/>
      <c r="J11" s="7">
        <v>172.324938</v>
      </c>
      <c r="K11" s="7">
        <v>40.549999999999997</v>
      </c>
      <c r="L11" s="7"/>
      <c r="M11" s="7">
        <f t="shared" si="1"/>
        <v>1551.9349379999999</v>
      </c>
      <c r="N11" s="7">
        <f t="shared" si="0"/>
        <v>3.5087446193790757</v>
      </c>
      <c r="O11" s="7"/>
      <c r="P11" s="7"/>
    </row>
    <row r="12" spans="1:19" ht="15" customHeight="1" x14ac:dyDescent="0.2">
      <c r="A12" s="7" t="s">
        <v>33</v>
      </c>
      <c r="B12" s="7"/>
      <c r="C12" s="7"/>
      <c r="D12" s="7"/>
      <c r="E12" s="7"/>
      <c r="F12" s="7">
        <v>1456.89</v>
      </c>
      <c r="G12" s="7"/>
      <c r="H12" s="7"/>
      <c r="I12" s="7"/>
      <c r="J12" s="7"/>
      <c r="K12" s="7"/>
      <c r="L12" s="7"/>
      <c r="M12" s="7">
        <f t="shared" si="1"/>
        <v>1456.89</v>
      </c>
      <c r="N12" s="7">
        <f t="shared" si="0"/>
        <v>3.2938590551449924</v>
      </c>
      <c r="O12" s="7"/>
      <c r="P12" s="7"/>
    </row>
    <row r="13" spans="1:19" ht="17" x14ac:dyDescent="0.2">
      <c r="A13" s="7" t="s">
        <v>37</v>
      </c>
      <c r="B13" s="7"/>
      <c r="C13" s="7"/>
      <c r="D13" s="7"/>
      <c r="E13" s="7"/>
      <c r="F13" s="7">
        <v>212.35000000000002</v>
      </c>
      <c r="G13" s="7">
        <v>542.79</v>
      </c>
      <c r="H13" s="7"/>
      <c r="I13" s="7">
        <v>227.79</v>
      </c>
      <c r="J13" s="7"/>
      <c r="K13" s="7"/>
      <c r="L13" s="7">
        <v>319.13</v>
      </c>
      <c r="M13" s="7">
        <f t="shared" si="1"/>
        <v>1302.06</v>
      </c>
      <c r="N13" s="7">
        <f t="shared" si="0"/>
        <v>2.9438064104648181</v>
      </c>
      <c r="O13" s="7"/>
      <c r="P13" s="7"/>
    </row>
    <row r="14" spans="1:19" ht="15" customHeight="1" x14ac:dyDescent="0.2">
      <c r="A14" s="7" t="s">
        <v>40</v>
      </c>
      <c r="B14" s="7">
        <v>366.40849040000001</v>
      </c>
      <c r="C14" s="7"/>
      <c r="D14" s="7"/>
      <c r="E14" s="7"/>
      <c r="F14" s="7"/>
      <c r="G14" s="7">
        <v>564.14</v>
      </c>
      <c r="H14" s="7"/>
      <c r="I14" s="7"/>
      <c r="J14" s="7"/>
      <c r="K14" s="7"/>
      <c r="L14" s="7"/>
      <c r="M14" s="7">
        <f t="shared" si="1"/>
        <v>930.54849039999999</v>
      </c>
      <c r="N14" s="7">
        <f t="shared" si="0"/>
        <v>2.1038620426768957</v>
      </c>
      <c r="O14" s="7"/>
      <c r="P14" s="7"/>
    </row>
    <row r="15" spans="1:19" ht="17" x14ac:dyDescent="0.2">
      <c r="A15" s="7" t="s">
        <v>26</v>
      </c>
      <c r="B15" s="7"/>
      <c r="C15" s="7">
        <v>838.76400000000001</v>
      </c>
      <c r="D15" s="7"/>
      <c r="E15" s="7"/>
      <c r="F15" s="7"/>
      <c r="G15" s="7"/>
      <c r="H15" s="7"/>
      <c r="I15" s="7"/>
      <c r="J15" s="7"/>
      <c r="K15" s="7"/>
      <c r="L15" s="7"/>
      <c r="M15" s="7">
        <f t="shared" si="1"/>
        <v>838.76400000000001</v>
      </c>
      <c r="N15" s="7">
        <f t="shared" si="0"/>
        <v>1.8963479717271958</v>
      </c>
      <c r="O15" s="7"/>
      <c r="P15" s="7"/>
    </row>
    <row r="16" spans="1:19" ht="17" x14ac:dyDescent="0.2">
      <c r="A16" s="7" t="s">
        <v>459</v>
      </c>
      <c r="B16" s="7"/>
      <c r="C16" s="7"/>
      <c r="D16" s="7"/>
      <c r="E16" s="7"/>
      <c r="F16" s="7"/>
      <c r="G16" s="7">
        <v>411.72</v>
      </c>
      <c r="H16" s="7"/>
      <c r="I16" s="7">
        <v>174.62</v>
      </c>
      <c r="J16" s="7"/>
      <c r="K16" s="7"/>
      <c r="L16" s="7"/>
      <c r="M16" s="7">
        <f t="shared" si="1"/>
        <v>586.34</v>
      </c>
      <c r="N16" s="7">
        <f t="shared" si="0"/>
        <v>1.3256466297343759</v>
      </c>
      <c r="O16" s="7"/>
      <c r="P16" s="7"/>
    </row>
    <row r="17" spans="1:16" ht="18" customHeight="1" x14ac:dyDescent="0.2">
      <c r="A17" s="7" t="s">
        <v>38</v>
      </c>
      <c r="B17" s="7">
        <v>119.49</v>
      </c>
      <c r="C17" s="7"/>
      <c r="D17" s="7"/>
      <c r="E17" s="7"/>
      <c r="F17" s="7"/>
      <c r="G17" s="7"/>
      <c r="H17" s="7"/>
      <c r="I17" s="7"/>
      <c r="J17" s="7">
        <v>458.22399999999999</v>
      </c>
      <c r="K17" s="7">
        <v>1.9170989284050002</v>
      </c>
      <c r="L17" s="7"/>
      <c r="M17" s="7">
        <f t="shared" si="1"/>
        <v>579.63109892840498</v>
      </c>
      <c r="N17" s="7">
        <f t="shared" si="0"/>
        <v>1.3104785837290185</v>
      </c>
      <c r="O17" s="7"/>
      <c r="P17" s="7"/>
    </row>
    <row r="18" spans="1:16" ht="17" x14ac:dyDescent="0.2">
      <c r="A18" s="7" t="s">
        <v>32</v>
      </c>
      <c r="B18" s="7"/>
      <c r="C18" s="7">
        <v>474.01499999999999</v>
      </c>
      <c r="D18" s="7"/>
      <c r="E18" s="7">
        <v>5.0599999999999996</v>
      </c>
      <c r="F18" s="7"/>
      <c r="G18" s="7"/>
      <c r="H18" s="7">
        <v>82</v>
      </c>
      <c r="I18" s="7"/>
      <c r="J18" s="7"/>
      <c r="K18" s="7"/>
      <c r="L18" s="7"/>
      <c r="M18" s="7">
        <f t="shared" si="1"/>
        <v>561.07500000000005</v>
      </c>
      <c r="N18" s="7">
        <f t="shared" si="0"/>
        <v>1.2685253995603489</v>
      </c>
      <c r="O18" s="7"/>
      <c r="P18" s="7"/>
    </row>
    <row r="19" spans="1:16" ht="17" x14ac:dyDescent="0.2">
      <c r="A19" s="7" t="s">
        <v>472</v>
      </c>
      <c r="B19" s="7"/>
      <c r="C19" s="7"/>
      <c r="D19" s="7"/>
      <c r="E19" s="7"/>
      <c r="F19" s="7"/>
      <c r="G19" s="7"/>
      <c r="H19" s="7"/>
      <c r="I19" s="7">
        <v>533.35</v>
      </c>
      <c r="J19" s="7"/>
      <c r="K19" s="7"/>
      <c r="L19" s="7"/>
      <c r="M19" s="7">
        <f t="shared" si="1"/>
        <v>533.35</v>
      </c>
      <c r="N19" s="7">
        <f t="shared" si="0"/>
        <v>1.2058423951441644</v>
      </c>
      <c r="O19" s="7"/>
      <c r="P19" s="7"/>
    </row>
    <row r="20" spans="1:16" ht="17" x14ac:dyDescent="0.2">
      <c r="A20" s="7" t="s">
        <v>496</v>
      </c>
      <c r="B20" s="7"/>
      <c r="C20" s="7"/>
      <c r="D20" s="7"/>
      <c r="E20" s="7"/>
      <c r="F20" s="7"/>
      <c r="G20" s="7"/>
      <c r="H20" s="7">
        <v>481.53</v>
      </c>
      <c r="I20" s="7"/>
      <c r="J20" s="7"/>
      <c r="K20" s="7"/>
      <c r="L20" s="7"/>
      <c r="M20" s="7">
        <f t="shared" si="1"/>
        <v>481.53</v>
      </c>
      <c r="N20" s="7">
        <f t="shared" si="0"/>
        <v>1.0886833946447352</v>
      </c>
      <c r="O20" s="7"/>
      <c r="P20" s="7"/>
    </row>
    <row r="21" spans="1:16" ht="17" x14ac:dyDescent="0.2">
      <c r="A21" s="7" t="s">
        <v>31</v>
      </c>
      <c r="B21" s="7"/>
      <c r="C21" s="7"/>
      <c r="D21" s="7"/>
      <c r="E21" s="7"/>
      <c r="F21" s="7">
        <v>473.55</v>
      </c>
      <c r="G21" s="7"/>
      <c r="H21" s="7"/>
      <c r="I21" s="7"/>
      <c r="J21" s="7"/>
      <c r="K21" s="7"/>
      <c r="L21" s="7"/>
      <c r="M21" s="7">
        <f t="shared" si="1"/>
        <v>473.55</v>
      </c>
      <c r="N21" s="7">
        <f t="shared" si="0"/>
        <v>1.0706415416152977</v>
      </c>
      <c r="O21" s="7"/>
      <c r="P21" s="7"/>
    </row>
    <row r="22" spans="1:16" ht="17" x14ac:dyDescent="0.2">
      <c r="A22" s="7" t="s">
        <v>450</v>
      </c>
      <c r="B22" s="7">
        <v>49.454906780000002</v>
      </c>
      <c r="C22" s="7"/>
      <c r="D22" s="7"/>
      <c r="E22" s="7"/>
      <c r="F22" s="7"/>
      <c r="G22" s="7"/>
      <c r="H22" s="7"/>
      <c r="I22" s="7">
        <v>410.9</v>
      </c>
      <c r="J22" s="7"/>
      <c r="K22" s="7"/>
      <c r="L22" s="7"/>
      <c r="M22" s="7">
        <f t="shared" si="1"/>
        <v>460.35490677999996</v>
      </c>
      <c r="N22" s="7">
        <f t="shared" si="0"/>
        <v>1.0408089686096629</v>
      </c>
      <c r="O22" s="7"/>
      <c r="P22" s="7"/>
    </row>
    <row r="23" spans="1:16" ht="17" x14ac:dyDescent="0.2">
      <c r="A23" s="7" t="s">
        <v>458</v>
      </c>
      <c r="B23" s="7"/>
      <c r="C23" s="7"/>
      <c r="D23" s="7"/>
      <c r="E23" s="7"/>
      <c r="F23" s="7"/>
      <c r="G23" s="7">
        <v>346.33</v>
      </c>
      <c r="H23" s="7"/>
      <c r="I23" s="7"/>
      <c r="J23" s="7"/>
      <c r="K23" s="7"/>
      <c r="L23" s="7"/>
      <c r="M23" s="7">
        <f t="shared" si="1"/>
        <v>346.33</v>
      </c>
      <c r="N23" s="7">
        <f t="shared" si="0"/>
        <v>0.78301189970990615</v>
      </c>
      <c r="O23" s="7"/>
      <c r="P23" s="7"/>
    </row>
    <row r="24" spans="1:16" ht="17" x14ac:dyDescent="0.2">
      <c r="A24" s="7" t="s">
        <v>292</v>
      </c>
      <c r="B24" s="7">
        <v>14391</v>
      </c>
      <c r="C24" s="7">
        <v>7421.49</v>
      </c>
      <c r="D24" s="7">
        <v>2580.4499999999998</v>
      </c>
      <c r="E24" s="7">
        <v>4091.87</v>
      </c>
      <c r="F24" s="7">
        <v>3680.5</v>
      </c>
      <c r="G24" s="7">
        <v>4294.6400000000003</v>
      </c>
      <c r="H24" s="7">
        <v>1956.51</v>
      </c>
      <c r="I24" s="7">
        <v>2335.36</v>
      </c>
      <c r="J24" s="7">
        <v>2025.77</v>
      </c>
      <c r="K24" s="7">
        <v>946.7</v>
      </c>
      <c r="L24" s="7">
        <v>506.2</v>
      </c>
      <c r="M24" s="7">
        <f>SUM(B24:L24)</f>
        <v>44230.489999999991</v>
      </c>
      <c r="N24" s="7">
        <f t="shared" si="0"/>
        <v>100</v>
      </c>
      <c r="O24" s="7"/>
      <c r="P24" s="7"/>
    </row>
    <row r="25" spans="1:16" ht="17" x14ac:dyDescent="0.2">
      <c r="A25" s="7" t="s">
        <v>60</v>
      </c>
      <c r="B25" s="7"/>
      <c r="C25" s="7"/>
      <c r="D25" s="7"/>
      <c r="E25" s="7"/>
      <c r="F25" s="7"/>
      <c r="G25" s="7"/>
      <c r="H25" s="7"/>
      <c r="I25" s="7"/>
      <c r="J25" s="7"/>
      <c r="K25" s="7"/>
      <c r="L25" s="7"/>
      <c r="M25" s="7">
        <f>SUM(M4:M7)</f>
        <v>19922.544414571155</v>
      </c>
      <c r="N25" s="7">
        <f>SUM(N4:N7)</f>
        <v>45.042558684227004</v>
      </c>
      <c r="O25" s="7"/>
      <c r="P25" s="7"/>
    </row>
    <row r="26" spans="1:16" ht="17" x14ac:dyDescent="0.2">
      <c r="A26" s="7" t="s">
        <v>61</v>
      </c>
      <c r="B26" s="7"/>
      <c r="C26" s="7"/>
      <c r="D26" s="7"/>
      <c r="E26" s="7"/>
      <c r="F26" s="7"/>
      <c r="G26" s="7"/>
      <c r="H26" s="7"/>
      <c r="I26" s="7"/>
      <c r="J26" s="7"/>
      <c r="K26" s="7"/>
      <c r="L26" s="7"/>
      <c r="M26" s="7"/>
      <c r="N26" s="7">
        <f>SUM(N4:N13)</f>
        <v>68.717731484709205</v>
      </c>
      <c r="O26" s="7"/>
      <c r="P26" s="7"/>
    </row>
    <row r="27" spans="1:16" ht="17" x14ac:dyDescent="0.2">
      <c r="A27" s="7" t="s">
        <v>63</v>
      </c>
      <c r="B27" s="7"/>
      <c r="C27" s="7"/>
      <c r="D27" s="7"/>
      <c r="E27" s="7"/>
      <c r="F27" s="7"/>
      <c r="G27" s="7"/>
      <c r="H27" s="7"/>
      <c r="I27" s="7"/>
      <c r="J27" s="7"/>
      <c r="K27" s="7"/>
      <c r="L27" s="7"/>
      <c r="M27" s="7"/>
      <c r="N27" s="7">
        <f>SUMSQ(N4:N23)</f>
        <v>709.3625787396785</v>
      </c>
      <c r="O27" s="7"/>
      <c r="P27" s="7"/>
    </row>
    <row r="28" spans="1:16" x14ac:dyDescent="0.2">
      <c r="A28" s="7"/>
      <c r="B28" s="7"/>
      <c r="C28" s="7"/>
      <c r="D28" s="7"/>
      <c r="E28" s="7"/>
      <c r="F28" s="7"/>
      <c r="G28" s="7"/>
      <c r="H28" s="7"/>
      <c r="I28" s="7"/>
      <c r="J28" s="7"/>
      <c r="K28" s="7"/>
      <c r="L28" s="7"/>
      <c r="M28" s="7"/>
      <c r="N28" s="7"/>
      <c r="O28" s="7"/>
      <c r="P28" s="7"/>
    </row>
    <row r="29" spans="1:16" x14ac:dyDescent="0.2">
      <c r="A29" s="7"/>
      <c r="B29" s="7"/>
      <c r="C29" s="7"/>
      <c r="D29" s="7"/>
      <c r="E29" s="7"/>
      <c r="F29" s="7"/>
      <c r="G29" s="7"/>
      <c r="H29" s="7"/>
      <c r="I29" s="7"/>
      <c r="J29" s="7"/>
      <c r="K29" s="7"/>
      <c r="L29" s="7"/>
      <c r="M29" s="7"/>
      <c r="N29" s="7"/>
      <c r="O29" s="7"/>
      <c r="P29" s="7"/>
    </row>
    <row r="58" spans="1:15" x14ac:dyDescent="0.2">
      <c r="A58" s="8">
        <v>2017</v>
      </c>
    </row>
    <row r="59" spans="1:15" ht="64.25" customHeight="1" x14ac:dyDescent="0.2">
      <c r="B59" s="8" t="s">
        <v>287</v>
      </c>
      <c r="C59" s="8" t="s">
        <v>189</v>
      </c>
      <c r="D59" s="8" t="s">
        <v>448</v>
      </c>
      <c r="E59" s="8" t="s">
        <v>283</v>
      </c>
      <c r="F59" s="8" t="s">
        <v>284</v>
      </c>
      <c r="G59" s="8" t="s">
        <v>290</v>
      </c>
      <c r="H59" s="8" t="s">
        <v>289</v>
      </c>
      <c r="I59" s="8" t="s">
        <v>143</v>
      </c>
      <c r="J59" s="8" t="s">
        <v>144</v>
      </c>
      <c r="K59" s="8" t="s">
        <v>286</v>
      </c>
      <c r="L59" s="8" t="s">
        <v>477</v>
      </c>
      <c r="M59" s="8" t="s">
        <v>93</v>
      </c>
      <c r="N59" s="8" t="s">
        <v>57</v>
      </c>
    </row>
    <row r="60" spans="1:15" x14ac:dyDescent="0.2">
      <c r="A60" s="8" t="s">
        <v>18</v>
      </c>
      <c r="B60" s="8">
        <v>2492.5</v>
      </c>
      <c r="C60" s="8">
        <v>675.4</v>
      </c>
      <c r="D60" s="8">
        <v>1508</v>
      </c>
      <c r="E60" s="8">
        <v>167.26</v>
      </c>
      <c r="G60" s="8">
        <v>372.6</v>
      </c>
      <c r="J60" s="8">
        <v>6.6235211058263994</v>
      </c>
      <c r="K60" s="8">
        <v>57.06</v>
      </c>
      <c r="M60" s="8">
        <f>SUM(B60:L60)</f>
        <v>5279.4435211058271</v>
      </c>
      <c r="N60" s="8">
        <f t="shared" ref="N60:N80" si="2">(M60/$M$80)*100</f>
        <v>15.606749806316456</v>
      </c>
      <c r="O60" s="8">
        <f>SUM(N61,N65,N70,N72,N73)</f>
        <v>20.430159793898245</v>
      </c>
    </row>
    <row r="61" spans="1:15" x14ac:dyDescent="0.2">
      <c r="A61" s="8" t="s">
        <v>27</v>
      </c>
      <c r="E61" s="8">
        <v>0</v>
      </c>
      <c r="F61" s="8">
        <v>127.99</v>
      </c>
      <c r="K61" s="8">
        <v>3438.89</v>
      </c>
      <c r="L61" s="8">
        <v>34.58</v>
      </c>
      <c r="M61" s="8">
        <f t="shared" ref="M61:M79" si="3">SUM(B61:L61)</f>
        <v>3601.4599999999996</v>
      </c>
      <c r="N61" s="8">
        <f t="shared" si="2"/>
        <v>10.646403343980348</v>
      </c>
    </row>
    <row r="62" spans="1:15" x14ac:dyDescent="0.2">
      <c r="A62" s="8" t="s">
        <v>22</v>
      </c>
      <c r="B62" s="8">
        <v>1921.5</v>
      </c>
      <c r="C62" s="8">
        <v>345.6</v>
      </c>
      <c r="D62" s="8">
        <v>858.29</v>
      </c>
      <c r="G62" s="8">
        <v>149.19999999999999</v>
      </c>
      <c r="K62" s="8">
        <v>31.96</v>
      </c>
      <c r="M62" s="8">
        <f t="shared" si="3"/>
        <v>3306.5499999999997</v>
      </c>
      <c r="N62" s="8">
        <f t="shared" si="2"/>
        <v>9.7746094575639368</v>
      </c>
    </row>
    <row r="63" spans="1:15" x14ac:dyDescent="0.2">
      <c r="A63" s="8" t="s">
        <v>20</v>
      </c>
      <c r="B63" s="8">
        <v>1501</v>
      </c>
      <c r="C63" s="8">
        <v>205.5</v>
      </c>
      <c r="D63" s="8">
        <v>818.2</v>
      </c>
      <c r="E63" s="8">
        <v>81.650000000000006</v>
      </c>
      <c r="G63" s="8">
        <v>219.6</v>
      </c>
      <c r="J63" s="8">
        <v>110</v>
      </c>
      <c r="K63" s="8">
        <v>45.7</v>
      </c>
      <c r="M63" s="8">
        <f t="shared" si="3"/>
        <v>2981.6499999999996</v>
      </c>
      <c r="N63" s="8">
        <f t="shared" si="2"/>
        <v>8.8141610709487264</v>
      </c>
    </row>
    <row r="64" spans="1:15" x14ac:dyDescent="0.2">
      <c r="A64" s="8" t="s">
        <v>24</v>
      </c>
      <c r="B64" s="8">
        <v>1010</v>
      </c>
      <c r="C64" s="8">
        <v>219.2</v>
      </c>
      <c r="D64" s="8">
        <v>234.42</v>
      </c>
      <c r="E64" s="8">
        <v>39.700000000000003</v>
      </c>
      <c r="I64" s="8">
        <v>159.80000000000001</v>
      </c>
      <c r="J64" s="8">
        <v>94.6</v>
      </c>
      <c r="K64" s="8">
        <v>46.16</v>
      </c>
      <c r="M64" s="8">
        <f t="shared" si="3"/>
        <v>1803.88</v>
      </c>
      <c r="N64" s="8">
        <f t="shared" si="2"/>
        <v>5.3325134984532028</v>
      </c>
    </row>
    <row r="65" spans="1:14" x14ac:dyDescent="0.2">
      <c r="A65" s="8" t="s">
        <v>28</v>
      </c>
      <c r="K65" s="8">
        <v>1750.1</v>
      </c>
      <c r="M65" s="8">
        <f t="shared" si="3"/>
        <v>1750.1</v>
      </c>
      <c r="N65" s="8">
        <f t="shared" si="2"/>
        <v>5.1735325374431502</v>
      </c>
    </row>
    <row r="66" spans="1:14" x14ac:dyDescent="0.2">
      <c r="A66" s="8" t="s">
        <v>30</v>
      </c>
      <c r="C66" s="8">
        <v>996.2</v>
      </c>
      <c r="D66" s="8">
        <v>176.6</v>
      </c>
      <c r="G66" s="8">
        <v>314.8</v>
      </c>
      <c r="K66" s="8">
        <v>36.6</v>
      </c>
      <c r="M66" s="8">
        <f t="shared" si="3"/>
        <v>1524.1999999999998</v>
      </c>
      <c r="N66" s="8">
        <f t="shared" si="2"/>
        <v>4.5057415539516876</v>
      </c>
    </row>
    <row r="67" spans="1:14" x14ac:dyDescent="0.2">
      <c r="A67" s="8" t="s">
        <v>38</v>
      </c>
      <c r="I67" s="8">
        <v>754.3</v>
      </c>
      <c r="J67" s="8">
        <v>2.6071306480380505</v>
      </c>
      <c r="K67" s="8">
        <v>105.5</v>
      </c>
      <c r="M67" s="8">
        <f t="shared" si="3"/>
        <v>862.40713064803799</v>
      </c>
      <c r="N67" s="8">
        <f t="shared" si="2"/>
        <v>2.5493922352611911</v>
      </c>
    </row>
    <row r="68" spans="1:14" x14ac:dyDescent="0.2">
      <c r="A68" s="8" t="s">
        <v>26</v>
      </c>
      <c r="B68" s="8">
        <v>769.3</v>
      </c>
      <c r="M68" s="8">
        <f t="shared" si="3"/>
        <v>769.3</v>
      </c>
      <c r="N68" s="8">
        <f t="shared" si="2"/>
        <v>2.2741549517484803</v>
      </c>
    </row>
    <row r="69" spans="1:14" x14ac:dyDescent="0.2">
      <c r="A69" s="8" t="s">
        <v>41</v>
      </c>
      <c r="I69" s="8">
        <v>619.29999999999995</v>
      </c>
      <c r="K69" s="8">
        <v>128.5</v>
      </c>
      <c r="M69" s="8">
        <f t="shared" si="3"/>
        <v>747.8</v>
      </c>
      <c r="N69" s="8">
        <f t="shared" si="2"/>
        <v>2.2105980409690802</v>
      </c>
    </row>
    <row r="70" spans="1:14" x14ac:dyDescent="0.2">
      <c r="A70" s="8" t="s">
        <v>33</v>
      </c>
      <c r="E70" s="8">
        <v>631.49</v>
      </c>
      <c r="M70" s="8">
        <f t="shared" si="3"/>
        <v>631.49</v>
      </c>
      <c r="N70" s="8">
        <f t="shared" si="2"/>
        <v>1.8667699343294528</v>
      </c>
    </row>
    <row r="71" spans="1:14" x14ac:dyDescent="0.2">
      <c r="A71" s="8" t="s">
        <v>32</v>
      </c>
      <c r="B71" s="8">
        <v>495.8</v>
      </c>
      <c r="D71" s="8">
        <v>11</v>
      </c>
      <c r="G71" s="8">
        <v>104.7</v>
      </c>
      <c r="M71" s="8">
        <f t="shared" si="3"/>
        <v>611.5</v>
      </c>
      <c r="N71" s="8">
        <f t="shared" si="2"/>
        <v>1.8076767879815361</v>
      </c>
    </row>
    <row r="72" spans="1:14" x14ac:dyDescent="0.2">
      <c r="A72" s="8" t="s">
        <v>40</v>
      </c>
      <c r="F72" s="8">
        <v>331.1</v>
      </c>
      <c r="K72" s="8">
        <v>153.41424000000001</v>
      </c>
      <c r="M72" s="8">
        <f t="shared" si="3"/>
        <v>484.51424000000003</v>
      </c>
      <c r="N72" s="8">
        <f t="shared" si="2"/>
        <v>1.4322896894431973</v>
      </c>
    </row>
    <row r="73" spans="1:14" x14ac:dyDescent="0.2">
      <c r="A73" s="8" t="s">
        <v>37</v>
      </c>
      <c r="E73" s="8">
        <v>82.91</v>
      </c>
      <c r="F73" s="8">
        <v>232.43</v>
      </c>
      <c r="H73" s="8">
        <v>65.400000000000006</v>
      </c>
      <c r="L73" s="8">
        <v>62.8</v>
      </c>
      <c r="M73" s="8">
        <f t="shared" si="3"/>
        <v>443.54</v>
      </c>
      <c r="N73" s="8">
        <f t="shared" si="2"/>
        <v>1.311164288702094</v>
      </c>
    </row>
    <row r="74" spans="1:14" x14ac:dyDescent="0.2">
      <c r="A74" s="8" t="s">
        <v>168</v>
      </c>
      <c r="I74" s="8">
        <v>240.86</v>
      </c>
      <c r="J74" s="8">
        <v>135.19999999999999</v>
      </c>
      <c r="K74" s="8">
        <v>26.5</v>
      </c>
      <c r="M74" s="8">
        <f t="shared" si="3"/>
        <v>402.56</v>
      </c>
      <c r="N74" s="8">
        <f t="shared" si="2"/>
        <v>1.190021860621173</v>
      </c>
    </row>
    <row r="75" spans="1:14" x14ac:dyDescent="0.2">
      <c r="A75" s="8" t="s">
        <v>496</v>
      </c>
      <c r="G75" s="8">
        <v>370.83</v>
      </c>
      <c r="M75" s="8">
        <f t="shared" si="3"/>
        <v>370.83</v>
      </c>
      <c r="N75" s="8">
        <f t="shared" si="2"/>
        <v>1.096223684852319</v>
      </c>
    </row>
    <row r="76" spans="1:14" x14ac:dyDescent="0.2">
      <c r="A76" s="8" t="s">
        <v>472</v>
      </c>
      <c r="H76" s="8">
        <v>346.03</v>
      </c>
      <c r="M76" s="8">
        <f t="shared" si="3"/>
        <v>346.03</v>
      </c>
      <c r="N76" s="8">
        <f t="shared" si="2"/>
        <v>1.0229115273021274</v>
      </c>
    </row>
    <row r="77" spans="1:14" x14ac:dyDescent="0.2">
      <c r="A77" s="8" t="s">
        <v>458</v>
      </c>
      <c r="F77" s="8">
        <v>293.02999999999997</v>
      </c>
      <c r="M77" s="8">
        <f t="shared" si="3"/>
        <v>293.02999999999997</v>
      </c>
      <c r="N77" s="8">
        <f t="shared" si="2"/>
        <v>0.86623635189244397</v>
      </c>
    </row>
    <row r="78" spans="1:14" x14ac:dyDescent="0.2">
      <c r="A78" s="8" t="s">
        <v>79</v>
      </c>
      <c r="B78" s="8">
        <v>283.7</v>
      </c>
      <c r="M78" s="8">
        <f t="shared" si="3"/>
        <v>283.7</v>
      </c>
      <c r="N78" s="8">
        <f t="shared" si="2"/>
        <v>0.83865560874956968</v>
      </c>
    </row>
    <row r="79" spans="1:14" x14ac:dyDescent="0.2">
      <c r="A79" s="8" t="s">
        <v>459</v>
      </c>
      <c r="F79" s="8">
        <v>184.69</v>
      </c>
      <c r="H79" s="8">
        <v>73.649999999999991</v>
      </c>
      <c r="M79" s="8">
        <f t="shared" si="3"/>
        <v>258.33999999999997</v>
      </c>
      <c r="N79" s="8">
        <f t="shared" si="2"/>
        <v>0.76368801538372855</v>
      </c>
    </row>
    <row r="80" spans="1:14" x14ac:dyDescent="0.2">
      <c r="A80" s="8" t="s">
        <v>292</v>
      </c>
      <c r="B80" s="8">
        <v>8581.1</v>
      </c>
      <c r="C80" s="8">
        <v>2559.31</v>
      </c>
      <c r="D80" s="8">
        <v>4365</v>
      </c>
      <c r="E80" s="8">
        <v>1298.6400000000003</v>
      </c>
      <c r="F80" s="8">
        <v>2371.4699999999998</v>
      </c>
      <c r="G80" s="8">
        <v>2238.27</v>
      </c>
      <c r="H80" s="8">
        <v>1739.4299999999998</v>
      </c>
      <c r="I80" s="8">
        <v>2785.5</v>
      </c>
      <c r="J80" s="8">
        <v>1314.7</v>
      </c>
      <c r="K80" s="8">
        <v>6771</v>
      </c>
      <c r="L80" s="8">
        <v>97.39</v>
      </c>
      <c r="M80" s="8">
        <f>SUM(B80:L80)-293.86</f>
        <v>33827.949999999997</v>
      </c>
      <c r="N80" s="8">
        <f t="shared" si="2"/>
        <v>100</v>
      </c>
    </row>
    <row r="81" spans="1:14" x14ac:dyDescent="0.2">
      <c r="A81" s="8" t="s">
        <v>60</v>
      </c>
      <c r="N81" s="8">
        <f>SUM(N60:N63)</f>
        <v>44.841923678809465</v>
      </c>
    </row>
    <row r="82" spans="1:14" x14ac:dyDescent="0.2">
      <c r="A82" s="8" t="s">
        <v>61</v>
      </c>
      <c r="N82" s="8">
        <f>SUM(N60:N69)</f>
        <v>66.88785649663626</v>
      </c>
    </row>
    <row r="83" spans="1:14" x14ac:dyDescent="0.2">
      <c r="A83" s="8" t="s">
        <v>63</v>
      </c>
      <c r="N83" s="8">
        <f>SUMSQ(N60:N79)</f>
        <v>638.43400572780433</v>
      </c>
    </row>
    <row r="113" spans="1:15" x14ac:dyDescent="0.2">
      <c r="A113" s="8">
        <v>2013</v>
      </c>
    </row>
    <row r="114" spans="1:15" x14ac:dyDescent="0.2">
      <c r="B114" s="8" t="s">
        <v>287</v>
      </c>
      <c r="C114" s="8" t="s">
        <v>189</v>
      </c>
      <c r="D114" s="8" t="s">
        <v>448</v>
      </c>
      <c r="E114" s="8" t="s">
        <v>283</v>
      </c>
      <c r="F114" s="8" t="s">
        <v>284</v>
      </c>
      <c r="G114" s="8" t="s">
        <v>290</v>
      </c>
      <c r="H114" s="8" t="s">
        <v>289</v>
      </c>
      <c r="I114" s="8" t="s">
        <v>143</v>
      </c>
      <c r="J114" s="8" t="s">
        <v>144</v>
      </c>
      <c r="K114" s="8" t="s">
        <v>286</v>
      </c>
      <c r="L114" s="8" t="s">
        <v>477</v>
      </c>
      <c r="M114" s="8" t="s">
        <v>93</v>
      </c>
      <c r="N114" s="8" t="s">
        <v>57</v>
      </c>
    </row>
    <row r="115" spans="1:15" x14ac:dyDescent="0.2">
      <c r="A115" s="8" t="s">
        <v>18</v>
      </c>
      <c r="B115" s="8">
        <v>2143.0590000000002</v>
      </c>
      <c r="C115" s="8">
        <v>776.1</v>
      </c>
      <c r="D115" s="8">
        <v>1412.9</v>
      </c>
      <c r="G115" s="8">
        <v>422.7</v>
      </c>
      <c r="M115" s="8">
        <f>SUM(B115:L115)</f>
        <v>4754.759</v>
      </c>
      <c r="N115" s="8">
        <f>(M115/$M$135)*100</f>
        <v>15.572269802020729</v>
      </c>
    </row>
    <row r="116" spans="1:15" x14ac:dyDescent="0.2">
      <c r="A116" s="8" t="s">
        <v>22</v>
      </c>
      <c r="B116" s="8">
        <v>2124.1</v>
      </c>
      <c r="C116" s="8">
        <v>445.57254799999998</v>
      </c>
      <c r="D116" s="8">
        <v>1105.8000000000002</v>
      </c>
      <c r="G116" s="8">
        <v>183.7</v>
      </c>
      <c r="M116" s="8">
        <f t="shared" ref="M116:M134" si="4">SUM(B116:L116)</f>
        <v>3859.172548</v>
      </c>
      <c r="N116" s="8">
        <f t="shared" ref="N116:N135" si="5">(M116/$M$135)*100</f>
        <v>12.639142410794701</v>
      </c>
    </row>
    <row r="117" spans="1:15" x14ac:dyDescent="0.2">
      <c r="A117" s="8" t="s">
        <v>20</v>
      </c>
      <c r="B117" s="8">
        <v>1771.6</v>
      </c>
      <c r="C117" s="8">
        <v>273.3</v>
      </c>
      <c r="D117" s="8">
        <v>512.70000000000005</v>
      </c>
      <c r="G117" s="8">
        <v>224.5</v>
      </c>
      <c r="J117" s="8">
        <v>238.6</v>
      </c>
      <c r="M117" s="8">
        <f t="shared" si="4"/>
        <v>3020.7</v>
      </c>
      <c r="N117" s="8">
        <f t="shared" si="5"/>
        <v>9.8930682692780056</v>
      </c>
    </row>
    <row r="118" spans="1:15" x14ac:dyDescent="0.2">
      <c r="A118" s="8" t="s">
        <v>24</v>
      </c>
      <c r="B118" s="8">
        <v>1090</v>
      </c>
      <c r="C118" s="8">
        <v>236.50000000000003</v>
      </c>
      <c r="D118" s="8">
        <v>158.69999999999999</v>
      </c>
      <c r="I118" s="8">
        <v>859.88806396344955</v>
      </c>
      <c r="J118" s="8">
        <v>67.900000000000006</v>
      </c>
      <c r="M118" s="8">
        <f t="shared" si="4"/>
        <v>2412.9880639634498</v>
      </c>
      <c r="N118" s="8">
        <f t="shared" si="5"/>
        <v>7.9027561988093398</v>
      </c>
    </row>
    <row r="119" spans="1:15" x14ac:dyDescent="0.2">
      <c r="A119" s="8" t="s">
        <v>30</v>
      </c>
      <c r="C119" s="8">
        <v>1203.8</v>
      </c>
      <c r="D119" s="8">
        <v>178.2</v>
      </c>
      <c r="G119" s="8">
        <v>309.5</v>
      </c>
      <c r="M119" s="8">
        <f t="shared" si="4"/>
        <v>1691.5</v>
      </c>
      <c r="N119" s="8">
        <f t="shared" si="5"/>
        <v>5.539816922396712</v>
      </c>
    </row>
    <row r="120" spans="1:15" x14ac:dyDescent="0.2">
      <c r="A120" s="8" t="s">
        <v>27</v>
      </c>
      <c r="E120" s="8">
        <v>0</v>
      </c>
      <c r="F120" s="8">
        <v>17.739999999999998</v>
      </c>
      <c r="K120" s="8">
        <v>1416.06</v>
      </c>
      <c r="L120" s="8">
        <v>2.78</v>
      </c>
      <c r="M120" s="8">
        <f t="shared" si="4"/>
        <v>1436.58</v>
      </c>
      <c r="N120" s="8">
        <f t="shared" si="5"/>
        <v>4.7049306499418675</v>
      </c>
    </row>
    <row r="121" spans="1:15" x14ac:dyDescent="0.2">
      <c r="A121" s="8" t="s">
        <v>41</v>
      </c>
      <c r="I121" s="8">
        <v>930.47047206032653</v>
      </c>
      <c r="M121" s="8">
        <f t="shared" si="4"/>
        <v>930.47047206032653</v>
      </c>
      <c r="N121" s="8">
        <f t="shared" si="5"/>
        <v>3.0473757415963663</v>
      </c>
    </row>
    <row r="122" spans="1:15" x14ac:dyDescent="0.2">
      <c r="A122" s="8" t="s">
        <v>38</v>
      </c>
      <c r="I122" s="8">
        <v>751.6</v>
      </c>
      <c r="J122" s="8">
        <v>3.4</v>
      </c>
      <c r="M122" s="8">
        <f t="shared" si="4"/>
        <v>755</v>
      </c>
      <c r="N122" s="8">
        <f t="shared" si="5"/>
        <v>2.4726939263431968</v>
      </c>
    </row>
    <row r="123" spans="1:15" x14ac:dyDescent="0.2">
      <c r="A123" s="8" t="s">
        <v>32</v>
      </c>
      <c r="B123" s="8">
        <v>631.5</v>
      </c>
      <c r="D123" s="8">
        <v>19.7</v>
      </c>
      <c r="G123" s="8">
        <v>94.7</v>
      </c>
      <c r="M123" s="8">
        <f t="shared" si="4"/>
        <v>745.90000000000009</v>
      </c>
      <c r="N123" s="8">
        <f t="shared" si="5"/>
        <v>2.4428905955753519</v>
      </c>
    </row>
    <row r="124" spans="1:15" x14ac:dyDescent="0.2">
      <c r="A124" s="8" t="s">
        <v>26</v>
      </c>
      <c r="B124" s="8">
        <v>496.4</v>
      </c>
      <c r="M124" s="8">
        <f t="shared" si="4"/>
        <v>496.4</v>
      </c>
      <c r="N124" s="8">
        <f t="shared" si="5"/>
        <v>1.6257553179294872</v>
      </c>
      <c r="O124" s="8">
        <f>SUM(N120,N129,N131,N133)</f>
        <v>7.0252345784138726</v>
      </c>
    </row>
    <row r="125" spans="1:15" x14ac:dyDescent="0.2">
      <c r="A125" s="8" t="s">
        <v>168</v>
      </c>
      <c r="I125" s="8">
        <v>256.17599999999999</v>
      </c>
      <c r="J125" s="8">
        <v>146.4</v>
      </c>
      <c r="M125" s="8">
        <f t="shared" si="4"/>
        <v>402.57600000000002</v>
      </c>
      <c r="N125" s="8">
        <f t="shared" si="5"/>
        <v>1.3184731524391244</v>
      </c>
    </row>
    <row r="126" spans="1:15" x14ac:dyDescent="0.2">
      <c r="A126" s="8" t="s">
        <v>312</v>
      </c>
      <c r="I126" s="8">
        <v>368.6</v>
      </c>
      <c r="M126" s="8">
        <f t="shared" si="4"/>
        <v>368.6</v>
      </c>
      <c r="N126" s="8">
        <f t="shared" si="5"/>
        <v>1.2071986506623873</v>
      </c>
    </row>
    <row r="127" spans="1:15" x14ac:dyDescent="0.2">
      <c r="A127" s="8" t="s">
        <v>79</v>
      </c>
      <c r="B127" s="8">
        <v>332.7</v>
      </c>
      <c r="M127" s="8">
        <f t="shared" si="4"/>
        <v>332.7</v>
      </c>
      <c r="N127" s="8">
        <f t="shared" si="5"/>
        <v>1.0896228732375914</v>
      </c>
    </row>
    <row r="128" spans="1:15" x14ac:dyDescent="0.2">
      <c r="A128" s="8" t="s">
        <v>223</v>
      </c>
      <c r="I128" s="8">
        <v>272.10000000000002</v>
      </c>
      <c r="J128" s="8">
        <v>6.7</v>
      </c>
      <c r="M128" s="8">
        <f t="shared" si="4"/>
        <v>278.8</v>
      </c>
      <c r="N128" s="8">
        <f t="shared" si="5"/>
        <v>0.91309545253573954</v>
      </c>
    </row>
    <row r="129" spans="1:14" x14ac:dyDescent="0.2">
      <c r="A129" s="8" t="s">
        <v>28</v>
      </c>
      <c r="K129" s="8">
        <v>269.39999999999998</v>
      </c>
      <c r="M129" s="8">
        <f t="shared" si="4"/>
        <v>269.39999999999998</v>
      </c>
      <c r="N129" s="8">
        <f t="shared" si="5"/>
        <v>0.88230959437994327</v>
      </c>
    </row>
    <row r="130" spans="1:14" x14ac:dyDescent="0.2">
      <c r="A130" s="8" t="s">
        <v>496</v>
      </c>
      <c r="G130" s="8">
        <v>232.35</v>
      </c>
      <c r="M130" s="8">
        <f t="shared" si="4"/>
        <v>232.35</v>
      </c>
      <c r="N130" s="8">
        <f t="shared" si="5"/>
        <v>0.76096746196800236</v>
      </c>
    </row>
    <row r="131" spans="1:14" x14ac:dyDescent="0.2">
      <c r="A131" s="8" t="s">
        <v>33</v>
      </c>
      <c r="E131" s="8">
        <v>229.02</v>
      </c>
      <c r="M131" s="8">
        <f t="shared" si="4"/>
        <v>229.02</v>
      </c>
      <c r="N131" s="8">
        <f t="shared" si="5"/>
        <v>0.75006140796174703</v>
      </c>
    </row>
    <row r="132" spans="1:14" x14ac:dyDescent="0.2">
      <c r="A132" s="8" t="s">
        <v>242</v>
      </c>
      <c r="I132" s="8">
        <v>218.73713861469898</v>
      </c>
      <c r="M132" s="8">
        <f t="shared" si="4"/>
        <v>218.73713861469898</v>
      </c>
      <c r="N132" s="8">
        <f t="shared" si="5"/>
        <v>0.71638409816987569</v>
      </c>
    </row>
    <row r="133" spans="1:14" x14ac:dyDescent="0.2">
      <c r="A133" s="8" t="s">
        <v>40</v>
      </c>
      <c r="F133" s="8">
        <v>210.05</v>
      </c>
      <c r="M133" s="8">
        <f t="shared" si="4"/>
        <v>210.05</v>
      </c>
      <c r="N133" s="8">
        <f t="shared" si="5"/>
        <v>0.68793292613031587</v>
      </c>
    </row>
    <row r="134" spans="1:14" x14ac:dyDescent="0.2">
      <c r="A134" s="8" t="s">
        <v>472</v>
      </c>
      <c r="H134" s="8">
        <v>188.13</v>
      </c>
      <c r="M134" s="8">
        <f t="shared" si="4"/>
        <v>188.13</v>
      </c>
      <c r="N134" s="8">
        <f t="shared" si="5"/>
        <v>0.61614292498403389</v>
      </c>
    </row>
    <row r="135" spans="1:14" x14ac:dyDescent="0.2">
      <c r="A135" s="8" t="s">
        <v>292</v>
      </c>
      <c r="B135" s="8">
        <v>8793.9</v>
      </c>
      <c r="C135" s="8">
        <v>3113.12</v>
      </c>
      <c r="D135" s="8">
        <v>4090.9940000000001</v>
      </c>
      <c r="E135" s="8">
        <v>397.15000000000003</v>
      </c>
      <c r="F135" s="8">
        <v>1303.0999999999999</v>
      </c>
      <c r="G135" s="8">
        <v>2221.8330000000001</v>
      </c>
      <c r="H135" s="8">
        <v>1405.0329999999999</v>
      </c>
      <c r="I135" s="8">
        <v>3957.4</v>
      </c>
      <c r="J135" s="8">
        <v>1968.4</v>
      </c>
      <c r="K135" s="8">
        <v>3418</v>
      </c>
      <c r="L135" s="8">
        <v>8.09</v>
      </c>
      <c r="M135" s="8">
        <f>SUM(B135:L135)-143.52</f>
        <v>30533.5</v>
      </c>
      <c r="N135" s="8">
        <f t="shared" si="5"/>
        <v>100</v>
      </c>
    </row>
    <row r="136" spans="1:14" x14ac:dyDescent="0.2">
      <c r="A136" s="8" t="s">
        <v>60</v>
      </c>
      <c r="N136" s="8">
        <f>SUM(N115:N118)</f>
        <v>46.007236680902778</v>
      </c>
    </row>
    <row r="137" spans="1:14" x14ac:dyDescent="0.2">
      <c r="A137" s="8" t="s">
        <v>61</v>
      </c>
      <c r="N137" s="8">
        <f>SUM(N115:N124)</f>
        <v>65.840699834685765</v>
      </c>
    </row>
    <row r="138" spans="1:14" x14ac:dyDescent="0.2">
      <c r="A138" s="8" t="s">
        <v>63</v>
      </c>
      <c r="N138" s="8">
        <f>SUMSQ(N115:N134)</f>
        <v>647.91026107208006</v>
      </c>
    </row>
  </sheetData>
  <mergeCells count="1">
    <mergeCell ref="A1:J1"/>
  </mergeCells>
  <pageMargins left="0.7" right="0.7" top="0.75" bottom="0.75" header="0.3" footer="0.3"/>
  <pageSetup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C333D-A1F7-4BCF-BA44-68FAE0F8B72D}">
  <dimension ref="A1:EI109"/>
  <sheetViews>
    <sheetView zoomScaleNormal="100" workbookViewId="0">
      <selection activeCell="L17" sqref="L17"/>
    </sheetView>
  </sheetViews>
  <sheetFormatPr baseColWidth="10" defaultColWidth="8.83203125" defaultRowHeight="16" x14ac:dyDescent="0.2"/>
  <cols>
    <col min="2" max="2" width="11.6640625" bestFit="1" customWidth="1"/>
    <col min="3" max="3" width="12.6640625" bestFit="1" customWidth="1"/>
    <col min="6" max="6" width="9" bestFit="1" customWidth="1"/>
    <col min="8" max="8" width="11.6640625" customWidth="1"/>
    <col min="9" max="9" width="12.1640625" bestFit="1" customWidth="1"/>
    <col min="10" max="10" width="11.83203125" bestFit="1" customWidth="1"/>
    <col min="13" max="13" width="9" bestFit="1" customWidth="1"/>
    <col min="16" max="16" width="12.1640625" bestFit="1" customWidth="1"/>
    <col min="17" max="17" width="11.33203125" bestFit="1" customWidth="1"/>
    <col min="20" max="20" width="9" bestFit="1" customWidth="1"/>
    <col min="23" max="23" width="10.33203125" bestFit="1" customWidth="1"/>
    <col min="24" max="24" width="9" bestFit="1" customWidth="1"/>
    <col min="27" max="27" width="9" bestFit="1" customWidth="1"/>
    <col min="30" max="30" width="12.1640625" bestFit="1" customWidth="1"/>
    <col min="31" max="31" width="9" bestFit="1" customWidth="1"/>
    <col min="33" max="33" width="18" bestFit="1" customWidth="1"/>
    <col min="34" max="34" width="9" bestFit="1" customWidth="1"/>
    <col min="37" max="37" width="9.6640625" bestFit="1" customWidth="1"/>
    <col min="38" max="38" width="9" bestFit="1" customWidth="1"/>
    <col min="41" max="41" width="9" bestFit="1" customWidth="1"/>
    <col min="44" max="44" width="9.6640625" bestFit="1" customWidth="1"/>
    <col min="45" max="45" width="9" bestFit="1" customWidth="1"/>
    <col min="48" max="48" width="9" bestFit="1" customWidth="1"/>
    <col min="51" max="51" width="9.6640625" bestFit="1" customWidth="1"/>
    <col min="52" max="52" width="9" bestFit="1" customWidth="1"/>
    <col min="55" max="55" width="9" bestFit="1" customWidth="1"/>
    <col min="58" max="58" width="11.6640625" bestFit="1" customWidth="1"/>
    <col min="59" max="59" width="9" bestFit="1" customWidth="1"/>
    <col min="62" max="62" width="9" bestFit="1" customWidth="1"/>
    <col min="65" max="65" width="9.6640625" bestFit="1" customWidth="1"/>
    <col min="66" max="66" width="9" bestFit="1" customWidth="1"/>
    <col min="69" max="69" width="9" bestFit="1" customWidth="1"/>
    <col min="72" max="72" width="9.6640625" bestFit="1" customWidth="1"/>
    <col min="73" max="73" width="9" bestFit="1" customWidth="1"/>
    <col min="75" max="75" width="16.5" bestFit="1" customWidth="1"/>
    <col min="76" max="76" width="9" bestFit="1" customWidth="1"/>
    <col min="79" max="79" width="10.83203125" bestFit="1" customWidth="1"/>
    <col min="80" max="80" width="9" bestFit="1" customWidth="1"/>
    <col min="82" max="82" width="12.33203125" bestFit="1" customWidth="1"/>
    <col min="83" max="83" width="9" bestFit="1" customWidth="1"/>
    <col min="86" max="86" width="10.33203125" bestFit="1" customWidth="1"/>
    <col min="87" max="87" width="9" bestFit="1" customWidth="1"/>
    <col min="90" max="90" width="9" bestFit="1" customWidth="1"/>
    <col min="93" max="93" width="11.6640625" bestFit="1" customWidth="1"/>
    <col min="94" max="94" width="11.33203125" bestFit="1" customWidth="1"/>
    <col min="97" max="97" width="9" bestFit="1" customWidth="1"/>
    <col min="100" max="100" width="10.33203125" bestFit="1" customWidth="1"/>
    <col min="101" max="101" width="9" bestFit="1" customWidth="1"/>
    <col min="104" max="104" width="9" bestFit="1" customWidth="1"/>
    <col min="107" max="107" width="10.33203125" bestFit="1" customWidth="1"/>
    <col min="108" max="108" width="9" bestFit="1" customWidth="1"/>
    <col min="111" max="111" width="9" bestFit="1" customWidth="1"/>
    <col min="114" max="114" width="10.33203125" bestFit="1" customWidth="1"/>
    <col min="115" max="115" width="9" bestFit="1" customWidth="1"/>
    <col min="118" max="118" width="9" bestFit="1" customWidth="1"/>
    <col min="121" max="121" width="9.33203125" bestFit="1" customWidth="1"/>
    <col min="122" max="122" width="9" bestFit="1" customWidth="1"/>
    <col min="125" max="125" width="9" bestFit="1" customWidth="1"/>
    <col min="128" max="128" width="9.33203125" bestFit="1" customWidth="1"/>
    <col min="129" max="129" width="9" bestFit="1" customWidth="1"/>
    <col min="132" max="132" width="9" bestFit="1" customWidth="1"/>
    <col min="135" max="135" width="9.33203125" bestFit="1" customWidth="1"/>
    <col min="136" max="136" width="9" bestFit="1" customWidth="1"/>
    <col min="139" max="139" width="9" bestFit="1" customWidth="1"/>
  </cols>
  <sheetData>
    <row r="1" spans="1:139" x14ac:dyDescent="0.2">
      <c r="B1">
        <v>2022</v>
      </c>
      <c r="C1">
        <f>105293.5-930.46</f>
        <v>104363.04</v>
      </c>
      <c r="I1">
        <v>2021</v>
      </c>
      <c r="J1">
        <f>98452.16-799.91</f>
        <v>97652.25</v>
      </c>
      <c r="P1">
        <v>2020</v>
      </c>
      <c r="Q1">
        <f>91733.6-660.72</f>
        <v>91072.88</v>
      </c>
      <c r="W1">
        <v>2019</v>
      </c>
      <c r="X1">
        <f>92203.78-490.07</f>
        <v>91713.709999999992</v>
      </c>
      <c r="AD1">
        <v>2018</v>
      </c>
      <c r="AE1">
        <f>88433.14-362.45</f>
        <v>88070.69</v>
      </c>
      <c r="AK1">
        <v>2017</v>
      </c>
      <c r="AL1">
        <f>82744.1-293.86</f>
        <v>82450.240000000005</v>
      </c>
      <c r="AR1">
        <v>2016</v>
      </c>
      <c r="AS1">
        <f>80047.15-228</f>
        <v>79819.149999999994</v>
      </c>
      <c r="AY1">
        <v>2015</v>
      </c>
      <c r="AZ1">
        <f>79544.47-157.22</f>
        <v>79387.25</v>
      </c>
      <c r="BF1">
        <v>2014</v>
      </c>
      <c r="BG1">
        <f>77316.94-143.52</f>
        <v>77173.42</v>
      </c>
      <c r="BM1">
        <v>2013</v>
      </c>
      <c r="BN1">
        <f>75577.06-106.19</f>
        <v>75470.87</v>
      </c>
      <c r="BT1">
        <v>2012</v>
      </c>
      <c r="BU1">
        <f>74365.52-106.19</f>
        <v>74259.33</v>
      </c>
      <c r="CA1">
        <v>2011</v>
      </c>
      <c r="CB1">
        <f>72310.64-87.19</f>
        <v>72223.45</v>
      </c>
      <c r="CH1">
        <v>2010</v>
      </c>
      <c r="CI1">
        <v>70091.936999999991</v>
      </c>
      <c r="CO1">
        <v>2008</v>
      </c>
      <c r="CP1">
        <v>65813.008000000002</v>
      </c>
      <c r="CV1">
        <v>2004</v>
      </c>
      <c r="CW1">
        <v>52811.665000000001</v>
      </c>
      <c r="DC1">
        <v>2000</v>
      </c>
      <c r="DD1">
        <v>45384.674999999996</v>
      </c>
      <c r="DJ1">
        <v>1996</v>
      </c>
      <c r="DK1">
        <v>33164.648000000001</v>
      </c>
      <c r="DQ1">
        <v>1992</v>
      </c>
      <c r="DR1">
        <v>26176.319000000003</v>
      </c>
      <c r="DX1">
        <v>1988</v>
      </c>
      <c r="DY1">
        <v>23479.884000000005</v>
      </c>
      <c r="EE1">
        <v>1984</v>
      </c>
      <c r="EF1">
        <v>19486.812999999998</v>
      </c>
    </row>
    <row r="2" spans="1:139" x14ac:dyDescent="0.2">
      <c r="A2" t="s">
        <v>202</v>
      </c>
      <c r="B2">
        <v>24721.297514571153</v>
      </c>
      <c r="C2">
        <f>(B2/$C$1)*100</f>
        <v>23.687789771715305</v>
      </c>
      <c r="E2" t="s">
        <v>59</v>
      </c>
      <c r="F2">
        <f>SUM(C2)</f>
        <v>23.687789771715305</v>
      </c>
      <c r="H2" t="s">
        <v>202</v>
      </c>
      <c r="I2">
        <v>23475.842313157998</v>
      </c>
      <c r="J2">
        <f>(I2/$J$1)*100</f>
        <v>24.040247217199806</v>
      </c>
      <c r="K2" s="10"/>
      <c r="L2" t="s">
        <v>59</v>
      </c>
      <c r="M2">
        <f>SUM(J2)</f>
        <v>24.040247217199806</v>
      </c>
      <c r="O2" t="s">
        <v>202</v>
      </c>
      <c r="P2">
        <v>23235.307235</v>
      </c>
      <c r="Q2">
        <f>(P2/$Q$1)*100</f>
        <v>25.512871927405829</v>
      </c>
      <c r="S2" t="s">
        <v>59</v>
      </c>
      <c r="T2">
        <f>SUM(Q2)</f>
        <v>25.512871927405829</v>
      </c>
      <c r="V2" t="s">
        <v>202</v>
      </c>
      <c r="W2">
        <v>23822.791328827669</v>
      </c>
      <c r="X2">
        <f t="shared" ref="X2:X65" si="0">(W2/$X$1)*100</f>
        <v>25.97516917462795</v>
      </c>
      <c r="Z2" t="s">
        <v>59</v>
      </c>
      <c r="AA2">
        <f>SUM(X2)</f>
        <v>25.97516917462795</v>
      </c>
      <c r="AC2" t="s">
        <v>202</v>
      </c>
      <c r="AD2">
        <v>23012.509416037457</v>
      </c>
      <c r="AE2">
        <f>(AD2/$AE$1)*100</f>
        <v>26.129589101706209</v>
      </c>
      <c r="AG2" t="s">
        <v>59</v>
      </c>
      <c r="AH2">
        <f>SUM(AE2)</f>
        <v>26.129589101706209</v>
      </c>
      <c r="AJ2" t="s">
        <v>202</v>
      </c>
      <c r="AK2">
        <v>22025.503521105828</v>
      </c>
      <c r="AL2">
        <f>(AK2/$AL$1)*100</f>
        <v>26.71369242964705</v>
      </c>
      <c r="AN2" t="s">
        <v>59</v>
      </c>
      <c r="AO2">
        <f>SUM(AL2)</f>
        <v>26.71369242964705</v>
      </c>
      <c r="AQ2" t="s">
        <v>202</v>
      </c>
      <c r="AR2">
        <v>20730.735017835912</v>
      </c>
      <c r="AS2">
        <f>(AR2/$AS$1)*100</f>
        <v>25.972132023249948</v>
      </c>
      <c r="AU2" t="s">
        <v>59</v>
      </c>
      <c r="AV2">
        <f>SUM(AS2)</f>
        <v>25.972132023249948</v>
      </c>
      <c r="AX2" t="s">
        <v>202</v>
      </c>
      <c r="AY2">
        <v>20438.247758642709</v>
      </c>
      <c r="AZ2">
        <f>(AY2/$AZ$1)*100</f>
        <v>25.7450003100532</v>
      </c>
      <c r="BB2" t="s">
        <v>59</v>
      </c>
      <c r="BC2">
        <f>SUM(AZ2)</f>
        <v>25.7450003100532</v>
      </c>
      <c r="BE2" t="s">
        <v>202</v>
      </c>
      <c r="BF2">
        <v>21597</v>
      </c>
      <c r="BG2">
        <f>(BF2/$BG$1)*100</f>
        <v>27.985023859251022</v>
      </c>
      <c r="BI2" t="s">
        <v>59</v>
      </c>
      <c r="BJ2">
        <f>SUM(BG2)</f>
        <v>27.985023859251022</v>
      </c>
      <c r="BL2" t="s">
        <v>202</v>
      </c>
      <c r="BM2">
        <v>21966.699000000001</v>
      </c>
      <c r="BN2">
        <f>(BM2/$BN$1)*100</f>
        <v>29.106195542730596</v>
      </c>
      <c r="BP2" t="s">
        <v>59</v>
      </c>
      <c r="BQ2">
        <f>SUM(BN2)</f>
        <v>29.106195542730596</v>
      </c>
      <c r="BS2" t="s">
        <v>202</v>
      </c>
      <c r="BT2">
        <v>19656</v>
      </c>
      <c r="BU2">
        <f>(BT2/$BU$1)*100</f>
        <v>26.469401218675149</v>
      </c>
      <c r="BW2" t="s">
        <v>59</v>
      </c>
      <c r="BX2">
        <f>SUM(BU2)</f>
        <v>26.469401218675149</v>
      </c>
      <c r="BZ2" t="s">
        <v>202</v>
      </c>
      <c r="CA2">
        <v>19611.900000000001</v>
      </c>
      <c r="CB2">
        <f>(CA2/$CB$1)*100</f>
        <v>27.154476835432263</v>
      </c>
      <c r="CD2" t="s">
        <v>59</v>
      </c>
      <c r="CE2">
        <f>SUM(CB2)</f>
        <v>27.154476835432263</v>
      </c>
      <c r="CG2" t="s">
        <v>202</v>
      </c>
      <c r="CH2">
        <v>17311.11</v>
      </c>
      <c r="CI2">
        <f>(CH2/$CI$1)*100</f>
        <v>24.697719510876126</v>
      </c>
      <c r="CK2" t="s">
        <v>59</v>
      </c>
      <c r="CL2">
        <f>SUM(CI2)</f>
        <v>24.697719510876126</v>
      </c>
      <c r="CN2" t="s">
        <v>202</v>
      </c>
      <c r="CO2">
        <v>17483.800000000003</v>
      </c>
      <c r="CP2">
        <f>(CO2/$CP$1)*100</f>
        <v>26.565872813471774</v>
      </c>
      <c r="CR2" t="s">
        <v>59</v>
      </c>
      <c r="CS2">
        <f>SUM(CP2)</f>
        <v>26.565872813471774</v>
      </c>
      <c r="CU2" t="s">
        <v>202</v>
      </c>
      <c r="CV2">
        <v>16198.2</v>
      </c>
      <c r="CW2">
        <f>(CV2/$CW$1)*100</f>
        <v>30.671632867473502</v>
      </c>
      <c r="CY2" t="s">
        <v>59</v>
      </c>
      <c r="CZ2">
        <f>SUM(CW2)</f>
        <v>30.671632867473502</v>
      </c>
      <c r="DB2" t="s">
        <v>202</v>
      </c>
      <c r="DC2">
        <v>15775.099999999999</v>
      </c>
      <c r="DD2">
        <f>(DC2/$DD$1)*100</f>
        <v>34.75864925770648</v>
      </c>
      <c r="DF2" t="s">
        <v>59</v>
      </c>
      <c r="DG2">
        <f>SUM(DD2)</f>
        <v>34.75864925770648</v>
      </c>
      <c r="DI2" t="s">
        <v>202</v>
      </c>
      <c r="DJ2">
        <v>10986.7</v>
      </c>
      <c r="DK2">
        <f>(DJ2/$DK$1)*100</f>
        <v>33.127744940938314</v>
      </c>
      <c r="DM2" t="s">
        <v>59</v>
      </c>
      <c r="DN2">
        <f>SUM(DK2)</f>
        <v>33.127744940938314</v>
      </c>
      <c r="DP2" t="s">
        <v>202</v>
      </c>
      <c r="DQ2">
        <v>9956.7999999999993</v>
      </c>
      <c r="DR2">
        <f>(DQ2/$DR$1)*100</f>
        <v>38.037433758352343</v>
      </c>
      <c r="DT2" t="s">
        <v>59</v>
      </c>
      <c r="DU2">
        <f>SUM(DR2)</f>
        <v>38.037433758352343</v>
      </c>
      <c r="DW2" t="s">
        <v>202</v>
      </c>
      <c r="DX2">
        <v>9436.9</v>
      </c>
      <c r="DY2">
        <f>(DX2/$DY$1)*100</f>
        <v>40.191425136512585</v>
      </c>
      <c r="EA2" t="s">
        <v>59</v>
      </c>
      <c r="EB2">
        <f>SUM(DY2)</f>
        <v>40.191425136512585</v>
      </c>
      <c r="ED2" t="s">
        <v>202</v>
      </c>
      <c r="EE2">
        <v>8874.7000000000007</v>
      </c>
      <c r="EF2">
        <f>(EE2/$EF$1)*100</f>
        <v>45.542080174936771</v>
      </c>
      <c r="EH2" t="s">
        <v>59</v>
      </c>
      <c r="EI2">
        <f>SUM(EF2)</f>
        <v>45.542080174936771</v>
      </c>
    </row>
    <row r="3" spans="1:139" x14ac:dyDescent="0.2">
      <c r="A3" t="s">
        <v>294</v>
      </c>
      <c r="B3">
        <v>15614.97608</v>
      </c>
      <c r="C3">
        <f t="shared" ref="C3:C66" si="1">(B3/$C$1)*100</f>
        <v>14.962170592194326</v>
      </c>
      <c r="E3" t="s">
        <v>60</v>
      </c>
      <c r="F3">
        <f>SUM(C2:C5)</f>
        <v>60.675172627360368</v>
      </c>
      <c r="H3" t="s">
        <v>294</v>
      </c>
      <c r="I3">
        <v>14966</v>
      </c>
      <c r="J3">
        <f t="shared" ref="J3:J66" si="2">(I3/$J$1)*100</f>
        <v>15.325811745249085</v>
      </c>
      <c r="L3" t="s">
        <v>60</v>
      </c>
      <c r="M3">
        <f>SUM(J2:J5)</f>
        <v>61.223442104875204</v>
      </c>
      <c r="O3" t="s">
        <v>294</v>
      </c>
      <c r="P3">
        <v>15109.880000000001</v>
      </c>
      <c r="Q3">
        <f t="shared" ref="Q3:Q66" si="3">(P3/$Q$1)*100</f>
        <v>16.59097636969425</v>
      </c>
      <c r="S3" t="s">
        <v>60</v>
      </c>
      <c r="T3">
        <f>SUM(Q2:Q5)</f>
        <v>64.050271864686835</v>
      </c>
      <c r="V3" t="s">
        <v>295</v>
      </c>
      <c r="W3">
        <v>14603.33</v>
      </c>
      <c r="X3">
        <f t="shared" si="0"/>
        <v>15.922733907504124</v>
      </c>
      <c r="Z3" t="s">
        <v>60</v>
      </c>
      <c r="AA3">
        <f>SUM(X2:X5)</f>
        <v>64.544922813424165</v>
      </c>
      <c r="AC3" t="s">
        <v>295</v>
      </c>
      <c r="AD3">
        <v>14641.73</v>
      </c>
      <c r="AE3">
        <f t="shared" ref="AE3:AE66" si="4">(AD3/$AE$1)*100</f>
        <v>16.624974778782818</v>
      </c>
      <c r="AG3" t="s">
        <v>60</v>
      </c>
      <c r="AH3">
        <f>SUM(AE2:AE5)</f>
        <v>65.701213895380477</v>
      </c>
      <c r="AJ3" t="s">
        <v>295</v>
      </c>
      <c r="AK3">
        <v>13283.65</v>
      </c>
      <c r="AL3">
        <f t="shared" ref="AL3:AL66" si="5">(AK3/$AL$1)*100</f>
        <v>16.11111138063394</v>
      </c>
      <c r="AN3" t="s">
        <v>60</v>
      </c>
      <c r="AO3">
        <f>SUM(AL2:AL5)</f>
        <v>65.617763539688696</v>
      </c>
      <c r="AQ3" t="s">
        <v>295</v>
      </c>
      <c r="AR3">
        <v>12839.7</v>
      </c>
      <c r="AS3">
        <f t="shared" ref="AS3:AS66" si="6">(AR3/$AS$1)*100</f>
        <v>16.085989389764237</v>
      </c>
      <c r="AU3" t="s">
        <v>60</v>
      </c>
      <c r="AV3">
        <f>SUM(AS2:AS5)</f>
        <v>65.272725928346659</v>
      </c>
      <c r="AX3" t="s">
        <v>295</v>
      </c>
      <c r="AY3">
        <v>12425.31</v>
      </c>
      <c r="AZ3">
        <f t="shared" ref="AZ3:AZ66" si="7">(AY3/$AZ$1)*100</f>
        <v>15.651518348349388</v>
      </c>
      <c r="BB3" t="s">
        <v>60</v>
      </c>
      <c r="BC3">
        <f>SUM(AZ2:AZ5)</f>
        <v>63.838657666870567</v>
      </c>
      <c r="BE3" t="s">
        <v>295</v>
      </c>
      <c r="BF3">
        <v>12009.4</v>
      </c>
      <c r="BG3">
        <f t="shared" ref="BG3:BG66" si="8">(BF3/$BG$1)*100</f>
        <v>15.561575475079373</v>
      </c>
      <c r="BI3" t="s">
        <v>60</v>
      </c>
      <c r="BJ3">
        <f>SUM(BG2:BG5)</f>
        <v>66.386359448628824</v>
      </c>
      <c r="BL3" t="s">
        <v>295</v>
      </c>
      <c r="BM3">
        <v>11947.7</v>
      </c>
      <c r="BN3">
        <f t="shared" ref="BN3:BN66" si="9">(BM3/$BN$1)*100</f>
        <v>15.830876204289154</v>
      </c>
      <c r="BP3" t="s">
        <v>60</v>
      </c>
      <c r="BQ3">
        <f>SUM(BN2:BN5)</f>
        <v>67.270923931312836</v>
      </c>
      <c r="BS3" t="s">
        <v>295</v>
      </c>
      <c r="BT3">
        <v>11788.8</v>
      </c>
      <c r="BU3">
        <f t="shared" ref="BU3:BU66" si="10">(BT3/$BU$1)*100</f>
        <v>15.875176896963653</v>
      </c>
      <c r="BW3" t="s">
        <v>60</v>
      </c>
      <c r="BX3">
        <f>SUM(BU2:BU5)</f>
        <v>64.19541626877529</v>
      </c>
      <c r="BZ3" t="s">
        <v>295</v>
      </c>
      <c r="CA3">
        <v>11586.57</v>
      </c>
      <c r="CB3">
        <f t="shared" ref="CB3:CB66" si="11">(CA3/$CB$1)*100</f>
        <v>16.042670351527104</v>
      </c>
      <c r="CD3" t="s">
        <v>60</v>
      </c>
      <c r="CE3">
        <f>SUM(CB2:CB5)</f>
        <v>65.226976445365779</v>
      </c>
      <c r="CG3" t="s">
        <v>295</v>
      </c>
      <c r="CH3">
        <v>11183.59</v>
      </c>
      <c r="CI3">
        <f t="shared" ref="CI3:CI66" si="12">(CH3/$CI$1)*100</f>
        <v>15.955601284067811</v>
      </c>
      <c r="CK3" t="s">
        <v>60</v>
      </c>
      <c r="CL3">
        <f>SUM(CI2:CI5)</f>
        <v>62.335794517617906</v>
      </c>
      <c r="CN3" t="s">
        <v>295</v>
      </c>
      <c r="CO3">
        <v>10167.9</v>
      </c>
      <c r="CP3">
        <f t="shared" ref="CP3:CP66" si="13">(CO3/$CP$1)*100</f>
        <v>15.449681315280406</v>
      </c>
      <c r="CR3" t="s">
        <v>60</v>
      </c>
      <c r="CS3">
        <f>SUM(CP2:CP5)</f>
        <v>62.495855165896685</v>
      </c>
      <c r="CU3" t="s">
        <v>294</v>
      </c>
      <c r="CV3">
        <v>7412.69</v>
      </c>
      <c r="CW3">
        <f t="shared" ref="CW3:CW66" si="14">(CV3/$CW$1)*100</f>
        <v>14.036084641527586</v>
      </c>
      <c r="CY3" t="s">
        <v>60</v>
      </c>
      <c r="CZ3">
        <f>SUM(CW2:CW5)</f>
        <v>59.108696932023733</v>
      </c>
      <c r="DB3" t="s">
        <v>294</v>
      </c>
      <c r="DC3">
        <v>6215.7</v>
      </c>
      <c r="DD3">
        <f t="shared" ref="DD3:DD66" si="15">(DC3/$DD$1)*100</f>
        <v>13.695592179518748</v>
      </c>
      <c r="DF3" t="s">
        <v>60</v>
      </c>
      <c r="DG3">
        <f>SUM(DD2:DD5)</f>
        <v>59.147696882262565</v>
      </c>
      <c r="DI3" t="s">
        <v>295</v>
      </c>
      <c r="DJ3">
        <v>2886.1890534862227</v>
      </c>
      <c r="DK3">
        <f t="shared" ref="DK3:DK66" si="16">(DJ3/$DK$1)*100</f>
        <v>8.7026072264847283</v>
      </c>
      <c r="DM3" t="s">
        <v>60</v>
      </c>
      <c r="DN3">
        <f>SUM(DK2:DK5)</f>
        <v>54.3424704929364</v>
      </c>
      <c r="DP3" t="s">
        <v>296</v>
      </c>
      <c r="DQ3">
        <v>1977.4</v>
      </c>
      <c r="DR3">
        <f t="shared" ref="DR3:DR66" si="17">(DQ3/$DR$1)*100</f>
        <v>7.5541561057534485</v>
      </c>
      <c r="DT3" t="s">
        <v>60</v>
      </c>
      <c r="DU3">
        <f>SUM(DR2:DR5)</f>
        <v>55.477701047271005</v>
      </c>
      <c r="DW3" t="s">
        <v>296</v>
      </c>
      <c r="DX3">
        <v>1912</v>
      </c>
      <c r="DY3">
        <f t="shared" ref="DY3:DY66" si="18">(DX3/$DY$1)*100</f>
        <v>8.1431407412404582</v>
      </c>
      <c r="EA3" t="s">
        <v>60</v>
      </c>
      <c r="EB3">
        <f>SUM(DY2:DY5)</f>
        <v>58.218362577941171</v>
      </c>
      <c r="ED3" t="s">
        <v>296</v>
      </c>
      <c r="EE3">
        <v>1482.3</v>
      </c>
      <c r="EF3">
        <f t="shared" ref="EF3:EF60" si="19">(EE3/$EF$1)*100</f>
        <v>7.6066825293597278</v>
      </c>
      <c r="EH3" t="s">
        <v>60</v>
      </c>
      <c r="EI3">
        <f>SUM(EF2:EF5)</f>
        <v>63.540969988268486</v>
      </c>
    </row>
    <row r="4" spans="1:139" x14ac:dyDescent="0.2">
      <c r="A4" t="s">
        <v>295</v>
      </c>
      <c r="B4">
        <v>14870.91108459</v>
      </c>
      <c r="C4">
        <f t="shared" si="1"/>
        <v>14.249212254252081</v>
      </c>
      <c r="E4" t="s">
        <v>61</v>
      </c>
      <c r="F4">
        <f>SUM(C2:C11)</f>
        <v>79.483005946656164</v>
      </c>
      <c r="H4" t="s">
        <v>295</v>
      </c>
      <c r="I4">
        <v>14231.556429700002</v>
      </c>
      <c r="J4">
        <f t="shared" si="2"/>
        <v>14.573710723204025</v>
      </c>
      <c r="L4" t="s">
        <v>61</v>
      </c>
      <c r="M4">
        <f>SUM(J2:J11)</f>
        <v>81.084843147861932</v>
      </c>
      <c r="O4" t="s">
        <v>295</v>
      </c>
      <c r="P4">
        <v>13747.71</v>
      </c>
      <c r="Q4">
        <f t="shared" si="3"/>
        <v>15.095284128491379</v>
      </c>
      <c r="S4" t="s">
        <v>61</v>
      </c>
      <c r="T4">
        <f>SUM(Q2:Q11)</f>
        <v>81.96138876359241</v>
      </c>
      <c r="V4" t="s">
        <v>294</v>
      </c>
      <c r="W4">
        <v>14345.64</v>
      </c>
      <c r="X4">
        <f t="shared" si="0"/>
        <v>15.641761738784748</v>
      </c>
      <c r="Z4" t="s">
        <v>61</v>
      </c>
      <c r="AA4">
        <f>SUM(X2:X11)</f>
        <v>81.347814115062718</v>
      </c>
      <c r="AC4" t="s">
        <v>294</v>
      </c>
      <c r="AD4">
        <v>13999</v>
      </c>
      <c r="AE4">
        <f t="shared" si="4"/>
        <v>15.895186014779719</v>
      </c>
      <c r="AG4" t="s">
        <v>61</v>
      </c>
      <c r="AH4">
        <f>SUM(AE2:AE11)</f>
        <v>81.711515392961559</v>
      </c>
      <c r="AJ4" t="s">
        <v>294</v>
      </c>
      <c r="AK4">
        <v>12947</v>
      </c>
      <c r="AL4">
        <f t="shared" si="5"/>
        <v>15.702804503661843</v>
      </c>
      <c r="AN4" t="s">
        <v>61</v>
      </c>
      <c r="AO4">
        <f>SUM(AL2:AL11)</f>
        <v>81.537474628461752</v>
      </c>
      <c r="AQ4" t="s">
        <v>294</v>
      </c>
      <c r="AR4">
        <v>12632</v>
      </c>
      <c r="AS4">
        <f t="shared" si="6"/>
        <v>15.825776145198239</v>
      </c>
      <c r="AU4" t="s">
        <v>61</v>
      </c>
      <c r="AV4">
        <f>SUM(AS2:AS11)</f>
        <v>79.846885137007746</v>
      </c>
      <c r="AX4" t="s">
        <v>294</v>
      </c>
      <c r="AY4">
        <v>12262</v>
      </c>
      <c r="AZ4">
        <f t="shared" si="7"/>
        <v>15.445805214313383</v>
      </c>
      <c r="BB4" t="s">
        <v>61</v>
      </c>
      <c r="BC4">
        <f>SUM(AZ2:AZ11)</f>
        <v>77.883339124895187</v>
      </c>
      <c r="BE4" t="s">
        <v>294</v>
      </c>
      <c r="BF4">
        <v>11883.220000000001</v>
      </c>
      <c r="BG4">
        <f t="shared" si="8"/>
        <v>15.398073585439134</v>
      </c>
      <c r="BI4" t="s">
        <v>61</v>
      </c>
      <c r="BJ4">
        <f>SUM(BG2:BG11)</f>
        <v>81.718192610875619</v>
      </c>
      <c r="BL4" t="s">
        <v>294</v>
      </c>
      <c r="BM4">
        <v>11288.17</v>
      </c>
      <c r="BN4">
        <f t="shared" si="9"/>
        <v>14.956989365565814</v>
      </c>
      <c r="BP4" t="s">
        <v>61</v>
      </c>
      <c r="BQ4">
        <f>SUM(BN2:BN11)</f>
        <v>82.015333331848979</v>
      </c>
      <c r="BS4" t="s">
        <v>294</v>
      </c>
      <c r="BT4">
        <v>10746.00306190353</v>
      </c>
      <c r="BU4">
        <f t="shared" si="10"/>
        <v>14.470913031269648</v>
      </c>
      <c r="BW4" t="s">
        <v>61</v>
      </c>
      <c r="BX4">
        <f>SUM(BU2:BU11)</f>
        <v>79.067295779757615</v>
      </c>
      <c r="BZ4" t="s">
        <v>294</v>
      </c>
      <c r="CA4">
        <v>10219.187649530522</v>
      </c>
      <c r="CB4">
        <f t="shared" si="11"/>
        <v>14.149403897945229</v>
      </c>
      <c r="CD4" t="s">
        <v>61</v>
      </c>
      <c r="CE4">
        <f>SUM(CB2:CB11)</f>
        <v>79.989356254139807</v>
      </c>
      <c r="CG4" t="s">
        <v>294</v>
      </c>
      <c r="CH4">
        <v>9647.3386217381922</v>
      </c>
      <c r="CI4">
        <f t="shared" si="12"/>
        <v>13.763835092384724</v>
      </c>
      <c r="CK4" t="s">
        <v>61</v>
      </c>
      <c r="CL4">
        <f>SUM(CI2:CI11)</f>
        <v>78.217278860103676</v>
      </c>
      <c r="CN4" t="s">
        <v>294</v>
      </c>
      <c r="CO4">
        <v>9536.0621599999995</v>
      </c>
      <c r="CP4">
        <f t="shared" si="13"/>
        <v>14.489631229133304</v>
      </c>
      <c r="CR4" t="s">
        <v>61</v>
      </c>
      <c r="CS4">
        <f>SUM(CP2:CP11)</f>
        <v>80.519040605314316</v>
      </c>
      <c r="CU4" t="s">
        <v>295</v>
      </c>
      <c r="CV4">
        <v>5084.3999999999996</v>
      </c>
      <c r="CW4">
        <f t="shared" si="14"/>
        <v>9.6274184879420091</v>
      </c>
      <c r="CY4" t="s">
        <v>61</v>
      </c>
      <c r="CZ4">
        <f>SUM(CW2:CW11)</f>
        <v>75.946877421240146</v>
      </c>
      <c r="DB4" t="s">
        <v>295</v>
      </c>
      <c r="DC4">
        <v>3326</v>
      </c>
      <c r="DD4">
        <f t="shared" si="15"/>
        <v>7.3284649498977368</v>
      </c>
      <c r="DF4" t="s">
        <v>61</v>
      </c>
      <c r="DG4">
        <f>SUM(DD2:DD11)</f>
        <v>74.512795343362058</v>
      </c>
      <c r="DI4" t="s">
        <v>296</v>
      </c>
      <c r="DJ4">
        <v>2455.6</v>
      </c>
      <c r="DK4">
        <f t="shared" si="16"/>
        <v>7.4042697513328033</v>
      </c>
      <c r="DM4" t="s">
        <v>61</v>
      </c>
      <c r="DN4">
        <f>SUM(DK2:DK11)</f>
        <v>69.764042282270623</v>
      </c>
      <c r="DP4" t="s">
        <v>195</v>
      </c>
      <c r="DQ4">
        <v>1319.62</v>
      </c>
      <c r="DR4">
        <f t="shared" si="17"/>
        <v>5.0412741378953996</v>
      </c>
      <c r="DT4" t="s">
        <v>61</v>
      </c>
      <c r="DU4">
        <f>SUM(DR2:DR11)</f>
        <v>71.5434021783894</v>
      </c>
      <c r="DW4" t="s">
        <v>195</v>
      </c>
      <c r="DX4">
        <v>1249.3040000000001</v>
      </c>
      <c r="DY4">
        <f t="shared" si="18"/>
        <v>5.3207417890139483</v>
      </c>
      <c r="EA4" t="s">
        <v>61</v>
      </c>
      <c r="EB4">
        <f>SUM(DY2:DY11)</f>
        <v>73.268612400299745</v>
      </c>
      <c r="ED4" t="s">
        <v>195</v>
      </c>
      <c r="EE4">
        <v>1053.9099999999999</v>
      </c>
      <c r="EF4">
        <f t="shared" si="19"/>
        <v>5.4083240804948449</v>
      </c>
      <c r="EH4" t="s">
        <v>61</v>
      </c>
      <c r="EI4">
        <f>SUM(EF2:EF11)</f>
        <v>75.495630382452418</v>
      </c>
    </row>
    <row r="5" spans="1:139" x14ac:dyDescent="0.2">
      <c r="A5" t="s">
        <v>27</v>
      </c>
      <c r="B5">
        <v>8115.27</v>
      </c>
      <c r="C5">
        <f t="shared" si="1"/>
        <v>7.7760000091986594</v>
      </c>
      <c r="E5" t="s">
        <v>293</v>
      </c>
      <c r="F5">
        <f>SUM(C2,C4,C6,C7)</f>
        <v>48.340511868292793</v>
      </c>
      <c r="H5" t="s">
        <v>27</v>
      </c>
      <c r="I5">
        <v>7112.67</v>
      </c>
      <c r="J5">
        <f t="shared" si="2"/>
        <v>7.2836724192222908</v>
      </c>
      <c r="L5" t="s">
        <v>293</v>
      </c>
      <c r="M5">
        <f>SUM(J2,J4,J6,J7)</f>
        <v>49.737083111610836</v>
      </c>
      <c r="O5" t="s">
        <v>209</v>
      </c>
      <c r="P5">
        <v>6239.53</v>
      </c>
      <c r="Q5">
        <f t="shared" si="3"/>
        <v>6.8511394390953706</v>
      </c>
      <c r="S5" t="s">
        <v>293</v>
      </c>
      <c r="T5">
        <f>SUM(Q2,Q4,Q5,Q7)</f>
        <v>51.750166718127282</v>
      </c>
      <c r="V5" t="s">
        <v>209</v>
      </c>
      <c r="W5">
        <v>6424.7820000000011</v>
      </c>
      <c r="X5">
        <f t="shared" si="0"/>
        <v>7.0052579925073379</v>
      </c>
      <c r="Z5" t="s">
        <v>293</v>
      </c>
      <c r="AA5">
        <f>SUM(X2:X3,X5,X7)</f>
        <v>53.180035273709542</v>
      </c>
      <c r="AC5" t="s">
        <v>209</v>
      </c>
      <c r="AD5">
        <v>6210.2730000000001</v>
      </c>
      <c r="AE5">
        <f t="shared" si="4"/>
        <v>7.0514640001117286</v>
      </c>
      <c r="AG5" t="s">
        <v>293</v>
      </c>
      <c r="AH5">
        <f>SUM(AE2:AE3,AE5,AE7)</f>
        <v>54.225262020812444</v>
      </c>
      <c r="AJ5" t="s">
        <v>209</v>
      </c>
      <c r="AK5">
        <v>5845.85</v>
      </c>
      <c r="AL5">
        <f t="shared" si="5"/>
        <v>7.090155225745856</v>
      </c>
      <c r="AN5" t="s">
        <v>293</v>
      </c>
      <c r="AO5">
        <f>SUM(AL2:AL3,AL5,AL6)</f>
        <v>54.574108603086927</v>
      </c>
      <c r="AQ5" t="s">
        <v>209</v>
      </c>
      <c r="AR5">
        <v>5897.7000000000007</v>
      </c>
      <c r="AS5">
        <f t="shared" si="6"/>
        <v>7.3888283701342354</v>
      </c>
      <c r="AU5" t="s">
        <v>293</v>
      </c>
      <c r="AV5">
        <f>SUM(AS2:AS3,AS5:AS6)</f>
        <v>54.115503632694548</v>
      </c>
      <c r="AX5" t="s">
        <v>209</v>
      </c>
      <c r="AY5">
        <v>5554.1970000000001</v>
      </c>
      <c r="AZ5">
        <f t="shared" si="7"/>
        <v>6.9963337941546033</v>
      </c>
      <c r="BB5" t="s">
        <v>293</v>
      </c>
      <c r="BC5">
        <f>SUM(AZ2:AZ3,AZ5:AZ6)</f>
        <v>52.987670890026678</v>
      </c>
      <c r="BE5" t="s">
        <v>209</v>
      </c>
      <c r="BF5">
        <v>5743.003999999999</v>
      </c>
      <c r="BG5">
        <f t="shared" si="8"/>
        <v>7.4416865288592868</v>
      </c>
      <c r="BI5" t="s">
        <v>293</v>
      </c>
      <c r="BJ5">
        <f>SUM(BG2:BG3,BG5:BG6)</f>
        <v>56.145501909854453</v>
      </c>
      <c r="BL5" t="s">
        <v>209</v>
      </c>
      <c r="BM5">
        <v>5567.3825480000005</v>
      </c>
      <c r="BN5">
        <f t="shared" si="9"/>
        <v>7.3768628187272798</v>
      </c>
      <c r="BP5" t="s">
        <v>293</v>
      </c>
      <c r="BQ5">
        <f>SUM(BN2:BN3,BN5:BN6)</f>
        <v>57.515793327893874</v>
      </c>
      <c r="BS5" t="s">
        <v>209</v>
      </c>
      <c r="BT5">
        <v>5480.2829499999998</v>
      </c>
      <c r="BU5">
        <f t="shared" si="10"/>
        <v>7.3799251218668411</v>
      </c>
      <c r="BW5" t="s">
        <v>293</v>
      </c>
      <c r="BX5">
        <f>SUM(BU2:BU3,BU5:BU6)</f>
        <v>55.001550579570271</v>
      </c>
      <c r="BZ5" t="s">
        <v>209</v>
      </c>
      <c r="CA5">
        <v>5691.5150699999995</v>
      </c>
      <c r="CB5">
        <f t="shared" si="11"/>
        <v>7.8804253604611798</v>
      </c>
      <c r="CD5" t="s">
        <v>293</v>
      </c>
      <c r="CE5">
        <f>SUM(CB2:CB3,CB5:CB6)</f>
        <v>56.279622574108558</v>
      </c>
      <c r="CG5" t="s">
        <v>209</v>
      </c>
      <c r="CH5">
        <v>5550.3272000000006</v>
      </c>
      <c r="CI5">
        <f t="shared" si="12"/>
        <v>7.9186386302892462</v>
      </c>
      <c r="CK5" t="s">
        <v>293</v>
      </c>
      <c r="CL5">
        <f>SUM(CI2:CI3,CI5:CI6)</f>
        <v>53.683674343312845</v>
      </c>
      <c r="CN5" t="s">
        <v>209</v>
      </c>
      <c r="CO5">
        <v>3942.64</v>
      </c>
      <c r="CP5">
        <f t="shared" si="13"/>
        <v>5.9906698080112069</v>
      </c>
      <c r="CR5" t="s">
        <v>293</v>
      </c>
      <c r="CS5">
        <f>SUM(CP2:CP3,CP5:CP6)</f>
        <v>52.999765639035978</v>
      </c>
      <c r="CU5" t="s">
        <v>209</v>
      </c>
      <c r="CV5">
        <v>2520.9970096056559</v>
      </c>
      <c r="CW5">
        <f t="shared" si="14"/>
        <v>4.7735609350806421</v>
      </c>
      <c r="CY5" t="s">
        <v>293</v>
      </c>
      <c r="CZ5">
        <f>SUM(CW2,CW4:CW5,CW6)</f>
        <v>49.175872431981944</v>
      </c>
      <c r="DB5" t="s">
        <v>195</v>
      </c>
      <c r="DC5">
        <v>1527.1899999999998</v>
      </c>
      <c r="DD5">
        <f t="shared" si="15"/>
        <v>3.3649904951396041</v>
      </c>
      <c r="DF5" t="s">
        <v>293</v>
      </c>
      <c r="DG5">
        <f>SUM(DD2,DD4,DD7)</f>
        <v>45.391753934560505</v>
      </c>
      <c r="DI5" t="s">
        <v>294</v>
      </c>
      <c r="DJ5">
        <v>1694</v>
      </c>
      <c r="DK5">
        <f t="shared" si="16"/>
        <v>5.1078485741805544</v>
      </c>
      <c r="DM5" t="s">
        <v>293</v>
      </c>
      <c r="DN5">
        <f>DK3</f>
        <v>8.7026072264847283</v>
      </c>
      <c r="DP5" t="s">
        <v>294</v>
      </c>
      <c r="DQ5">
        <v>1268.2</v>
      </c>
      <c r="DR5">
        <f t="shared" si="17"/>
        <v>4.8448370452698102</v>
      </c>
      <c r="DT5" t="s">
        <v>293</v>
      </c>
      <c r="DU5">
        <f>DR6</f>
        <v>3.3916502074572143</v>
      </c>
      <c r="DW5" t="s">
        <v>297</v>
      </c>
      <c r="DX5">
        <v>1071.4000000000001</v>
      </c>
      <c r="DY5">
        <f t="shared" si="18"/>
        <v>4.5630549111741772</v>
      </c>
      <c r="EA5" t="s">
        <v>293</v>
      </c>
      <c r="EB5">
        <f>DY9</f>
        <v>2.1865525400381016</v>
      </c>
      <c r="ED5" t="s">
        <v>297</v>
      </c>
      <c r="EE5">
        <v>971.2</v>
      </c>
      <c r="EF5">
        <f t="shared" si="19"/>
        <v>4.9838832034771423</v>
      </c>
      <c r="EH5" t="s">
        <v>293</v>
      </c>
    </row>
    <row r="6" spans="1:139" x14ac:dyDescent="0.2">
      <c r="A6" t="s">
        <v>209</v>
      </c>
      <c r="B6">
        <v>6681.0860035300002</v>
      </c>
      <c r="C6">
        <f t="shared" si="1"/>
        <v>6.401774041394348</v>
      </c>
      <c r="E6" t="s">
        <v>63</v>
      </c>
      <c r="F6">
        <f>SUMSQ(C2:C105)</f>
        <v>1136.4540633812012</v>
      </c>
      <c r="H6" t="s">
        <v>209</v>
      </c>
      <c r="I6">
        <v>6763.7240000000002</v>
      </c>
      <c r="J6">
        <f t="shared" si="2"/>
        <v>6.9263370787667462</v>
      </c>
      <c r="L6" t="s">
        <v>63</v>
      </c>
      <c r="M6">
        <f>SUMSQ(J2:J107)</f>
        <v>1177.0984745242408</v>
      </c>
      <c r="O6" t="s">
        <v>27</v>
      </c>
      <c r="P6">
        <v>5363.07</v>
      </c>
      <c r="Q6">
        <f t="shared" si="3"/>
        <v>5.8887673256846602</v>
      </c>
      <c r="S6" t="s">
        <v>63</v>
      </c>
      <c r="T6">
        <f>SUMSQ(Q2:Q106)</f>
        <v>1279.155458326346</v>
      </c>
      <c r="V6" t="s">
        <v>27</v>
      </c>
      <c r="W6">
        <v>4928.47</v>
      </c>
      <c r="X6">
        <f t="shared" si="0"/>
        <v>5.3737549162497089</v>
      </c>
      <c r="Z6" t="s">
        <v>63</v>
      </c>
      <c r="AA6">
        <f>SUMSQ(X2:X103)</f>
        <v>1289.8662653258918</v>
      </c>
      <c r="AC6" t="s">
        <v>27</v>
      </c>
      <c r="AD6">
        <v>4108.8</v>
      </c>
      <c r="AE6">
        <f t="shared" si="4"/>
        <v>4.6653432600562112</v>
      </c>
      <c r="AG6" t="s">
        <v>63</v>
      </c>
      <c r="AH6">
        <f>SUMSQ(AE2:AE99)</f>
        <v>1321.1308068497231</v>
      </c>
      <c r="AJ6" t="s">
        <v>24</v>
      </c>
      <c r="AK6">
        <v>3841.4800000000005</v>
      </c>
      <c r="AL6">
        <f t="shared" si="5"/>
        <v>4.6591495670600844</v>
      </c>
      <c r="AN6" t="s">
        <v>63</v>
      </c>
      <c r="AO6">
        <f>SUMSQ(AL2:AL94)</f>
        <v>1328.4879270316083</v>
      </c>
      <c r="AQ6" t="s">
        <v>24</v>
      </c>
      <c r="AR6">
        <v>3726.4</v>
      </c>
      <c r="AS6">
        <f t="shared" si="6"/>
        <v>4.6685538495461305</v>
      </c>
      <c r="AU6" t="s">
        <v>63</v>
      </c>
      <c r="AV6">
        <f>SUMSQ(AS2:AS94)</f>
        <v>1290.2116562644314</v>
      </c>
      <c r="AX6" t="s">
        <v>24</v>
      </c>
      <c r="AY6">
        <v>3647.7</v>
      </c>
      <c r="AZ6">
        <f t="shared" si="7"/>
        <v>4.5948184374694927</v>
      </c>
      <c r="BB6" t="s">
        <v>63</v>
      </c>
      <c r="BC6">
        <f>SUMSQ(AZ2:AZ94)</f>
        <v>1243.0509509818144</v>
      </c>
      <c r="BE6" t="s">
        <v>24</v>
      </c>
      <c r="BF6">
        <v>3980</v>
      </c>
      <c r="BG6">
        <f t="shared" si="8"/>
        <v>5.1572160466647716</v>
      </c>
      <c r="BI6" t="s">
        <v>63</v>
      </c>
      <c r="BJ6">
        <f>SUMSQ(BG2:BG92)</f>
        <v>1371.9680248983075</v>
      </c>
      <c r="BL6" t="s">
        <v>24</v>
      </c>
      <c r="BM6">
        <v>3925.8880639634494</v>
      </c>
      <c r="BN6">
        <f t="shared" si="9"/>
        <v>5.2018587621468377</v>
      </c>
      <c r="BP6" t="s">
        <v>63</v>
      </c>
      <c r="BQ6">
        <f>SUMSQ(BN2:BN88)</f>
        <v>1426.640026827625</v>
      </c>
      <c r="BS6" t="s">
        <v>24</v>
      </c>
      <c r="BT6">
        <v>3918.7</v>
      </c>
      <c r="BU6">
        <f t="shared" si="10"/>
        <v>5.2770473420646269</v>
      </c>
      <c r="BW6" t="s">
        <v>63</v>
      </c>
      <c r="BX6">
        <f>SUMSQ(BU2:BU88)</f>
        <v>1270.3101068247681</v>
      </c>
      <c r="BZ6" t="s">
        <v>24</v>
      </c>
      <c r="CA6">
        <v>3757.0999999999995</v>
      </c>
      <c r="CB6">
        <f t="shared" si="11"/>
        <v>5.2020500266880072</v>
      </c>
      <c r="CD6" t="s">
        <v>63</v>
      </c>
      <c r="CE6">
        <f>SUMSQ(CB2:CB87)</f>
        <v>1311.1990081189824</v>
      </c>
      <c r="CG6" t="s">
        <v>24</v>
      </c>
      <c r="CH6">
        <v>3582.9</v>
      </c>
      <c r="CI6">
        <f t="shared" si="12"/>
        <v>5.1117149180796648</v>
      </c>
      <c r="CK6" t="s">
        <v>63</v>
      </c>
      <c r="CL6">
        <f>SUMSQ(CI2:CI73)</f>
        <v>1177.2278637857037</v>
      </c>
      <c r="CN6" t="s">
        <v>24</v>
      </c>
      <c r="CO6">
        <v>3286.3999999999996</v>
      </c>
      <c r="CP6">
        <f t="shared" si="13"/>
        <v>4.9935417022725952</v>
      </c>
      <c r="CR6" t="s">
        <v>63</v>
      </c>
      <c r="CS6">
        <f>SUMSQ(CP2:CP74)</f>
        <v>1260.5987582854402</v>
      </c>
      <c r="CU6" t="s">
        <v>24</v>
      </c>
      <c r="CV6">
        <v>2167</v>
      </c>
      <c r="CW6">
        <f t="shared" si="14"/>
        <v>4.1032601414857872</v>
      </c>
      <c r="CY6" t="s">
        <v>63</v>
      </c>
      <c r="CZ6">
        <f>SUMSQ(CW2:CW75)</f>
        <v>1315.1372678814043</v>
      </c>
      <c r="DB6" t="s">
        <v>19</v>
      </c>
      <c r="DC6">
        <v>1505.4</v>
      </c>
      <c r="DD6">
        <f t="shared" si="15"/>
        <v>3.3169786937991739</v>
      </c>
      <c r="DF6" t="s">
        <v>63</v>
      </c>
      <c r="DG6">
        <f>SUMSQ(DD2:DD78)</f>
        <v>1518.4888377021762</v>
      </c>
      <c r="DI6" t="s">
        <v>195</v>
      </c>
      <c r="DJ6">
        <v>1396.01</v>
      </c>
      <c r="DK6">
        <f t="shared" si="16"/>
        <v>4.209331574995157</v>
      </c>
      <c r="DM6" t="s">
        <v>63</v>
      </c>
      <c r="DN6">
        <f>SUMSQ(DK2:DK81)</f>
        <v>1318.7858674138511</v>
      </c>
      <c r="DP6" t="s">
        <v>298</v>
      </c>
      <c r="DQ6">
        <v>887.80917766816231</v>
      </c>
      <c r="DR6">
        <f t="shared" si="17"/>
        <v>3.3916502074572143</v>
      </c>
      <c r="DT6" t="s">
        <v>63</v>
      </c>
      <c r="DU6">
        <f>SUMSQ(DR2:DR78)</f>
        <v>1617.7525986958449</v>
      </c>
      <c r="DW6" t="s">
        <v>298</v>
      </c>
      <c r="DX6">
        <v>770.48520000000008</v>
      </c>
      <c r="DY6">
        <f t="shared" si="18"/>
        <v>3.2814693633069054</v>
      </c>
      <c r="EA6" t="s">
        <v>63</v>
      </c>
      <c r="EB6">
        <f>SUMSQ(DY2:DY79)</f>
        <v>1785.6362710097969</v>
      </c>
      <c r="ED6" t="s">
        <v>299</v>
      </c>
      <c r="EE6">
        <v>548.5</v>
      </c>
      <c r="EF6">
        <f t="shared" si="19"/>
        <v>2.8147239879604737</v>
      </c>
      <c r="EH6" t="s">
        <v>63</v>
      </c>
      <c r="EI6">
        <f>SUMSQ(EF2:EF73)</f>
        <v>2221.923161566021</v>
      </c>
    </row>
    <row r="7" spans="1:139" x14ac:dyDescent="0.2">
      <c r="A7" t="s">
        <v>24</v>
      </c>
      <c r="B7">
        <v>4176.3331346200002</v>
      </c>
      <c r="C7">
        <f t="shared" si="1"/>
        <v>4.0017358009310584</v>
      </c>
      <c r="H7" t="s">
        <v>24</v>
      </c>
      <c r="I7">
        <v>4098.2579999999998</v>
      </c>
      <c r="J7">
        <f t="shared" si="2"/>
        <v>4.1967880924402667</v>
      </c>
      <c r="O7" t="s">
        <v>24</v>
      </c>
      <c r="P7">
        <v>3907.82</v>
      </c>
      <c r="Q7">
        <f t="shared" si="3"/>
        <v>4.2908712231347028</v>
      </c>
      <c r="S7" t="s">
        <v>300</v>
      </c>
      <c r="T7">
        <f>SUM(Q6,Q8,Q12,Q13,Q15,Q16)</f>
        <v>13.088840497851827</v>
      </c>
      <c r="V7" t="s">
        <v>24</v>
      </c>
      <c r="W7">
        <v>3922.48</v>
      </c>
      <c r="X7">
        <f t="shared" si="0"/>
        <v>4.2768741990701287</v>
      </c>
      <c r="Z7" t="s">
        <v>300</v>
      </c>
      <c r="AA7">
        <f>SUM(X6,X8,X13,X14,X16,X17)</f>
        <v>11.368724850406773</v>
      </c>
      <c r="AC7" t="s">
        <v>24</v>
      </c>
      <c r="AD7">
        <v>3892.0499999999997</v>
      </c>
      <c r="AE7">
        <f t="shared" si="4"/>
        <v>4.4192341402116861</v>
      </c>
      <c r="AG7" t="s">
        <v>300</v>
      </c>
      <c r="AH7">
        <f>SUM(AE6,AE8,AE14,AE15,AE17,AE18)</f>
        <v>9.7043583966470557</v>
      </c>
      <c r="AJ7" t="s">
        <v>27</v>
      </c>
      <c r="AK7">
        <v>3601.46</v>
      </c>
      <c r="AL7">
        <f t="shared" si="5"/>
        <v>4.3680406509429197</v>
      </c>
      <c r="AN7" t="s">
        <v>300</v>
      </c>
      <c r="AO7">
        <f>SUM(AL7:AL8,AL15:AL17,AL25)</f>
        <v>8.6440673065354332</v>
      </c>
      <c r="AQ7" t="s">
        <v>27</v>
      </c>
      <c r="AR7">
        <v>2881.05</v>
      </c>
      <c r="AS7">
        <f t="shared" si="6"/>
        <v>3.6094721630085016</v>
      </c>
      <c r="AU7" t="s">
        <v>300</v>
      </c>
      <c r="AV7">
        <f>SUM(AS7,AS10,AS16,AS17,AS19,AS34)</f>
        <v>6.836230353242299</v>
      </c>
      <c r="AX7" t="s">
        <v>27</v>
      </c>
      <c r="AY7">
        <v>2514.64</v>
      </c>
      <c r="AZ7">
        <f t="shared" si="7"/>
        <v>3.1675615416833307</v>
      </c>
      <c r="BB7" t="s">
        <v>300</v>
      </c>
      <c r="BC7">
        <f>SUM(AZ7,AZ14,AZ17:AZ18, AZ20, AZ46)</f>
        <v>5.5837480199906162</v>
      </c>
      <c r="BE7" t="s">
        <v>27</v>
      </c>
      <c r="BF7">
        <v>2073.31</v>
      </c>
      <c r="BG7">
        <f t="shared" si="8"/>
        <v>2.6865596989222458</v>
      </c>
      <c r="BI7" t="s">
        <v>300</v>
      </c>
      <c r="BJ7">
        <f>SUM(BG7,BG16:BG17,BG19,BG23)</f>
        <v>4.527323008362206</v>
      </c>
      <c r="BL7" t="s">
        <v>195</v>
      </c>
      <c r="BM7">
        <v>1691.5</v>
      </c>
      <c r="BN7">
        <f t="shared" si="9"/>
        <v>2.2412620922483075</v>
      </c>
      <c r="BP7" t="s">
        <v>300</v>
      </c>
      <c r="BQ7">
        <f>SUM(BN9,BN18,BN20,BN23,BN27)</f>
        <v>3.0235771762005665</v>
      </c>
      <c r="BS7" t="s">
        <v>195</v>
      </c>
      <c r="BT7">
        <v>1765.7</v>
      </c>
      <c r="BU7">
        <f t="shared" si="10"/>
        <v>2.3777483583544314</v>
      </c>
      <c r="BW7" t="s">
        <v>300</v>
      </c>
      <c r="BX7">
        <f>SUM(BU10,BU21:BU22,BU27,BU34)</f>
        <v>2.6112678366475972</v>
      </c>
      <c r="BZ7" t="s">
        <v>521</v>
      </c>
      <c r="CA7">
        <v>1801.9999999999998</v>
      </c>
      <c r="CB7">
        <f t="shared" si="11"/>
        <v>2.4950345074902955</v>
      </c>
      <c r="CD7" t="s">
        <v>300</v>
      </c>
      <c r="CE7">
        <f>SUM(CB10,CB20,CB23,CB42,CB47)</f>
        <v>2.2585739119358048</v>
      </c>
      <c r="CG7" t="s">
        <v>301</v>
      </c>
      <c r="CH7">
        <v>1853</v>
      </c>
      <c r="CI7">
        <f t="shared" si="12"/>
        <v>2.6436706978150712</v>
      </c>
      <c r="CK7" t="s">
        <v>300</v>
      </c>
      <c r="CL7">
        <f>SUM(CI12)</f>
        <v>1.4483834281823318</v>
      </c>
      <c r="CN7" t="s">
        <v>302</v>
      </c>
      <c r="CO7">
        <v>2328.8000000000002</v>
      </c>
      <c r="CP7">
        <f t="shared" si="13"/>
        <v>3.538510198470187</v>
      </c>
      <c r="CR7" t="s">
        <v>300</v>
      </c>
      <c r="CS7">
        <f>SUM(CP14)</f>
        <v>1.2155651660838842</v>
      </c>
      <c r="CU7" t="s">
        <v>302</v>
      </c>
      <c r="CV7">
        <v>1883.9</v>
      </c>
      <c r="CW7">
        <f t="shared" si="14"/>
        <v>3.56720432881637</v>
      </c>
      <c r="DB7" t="s">
        <v>209</v>
      </c>
      <c r="DC7">
        <v>1499.8000000000002</v>
      </c>
      <c r="DD7">
        <f t="shared" si="15"/>
        <v>3.3046397269562919</v>
      </c>
      <c r="DI7" t="s">
        <v>299</v>
      </c>
      <c r="DJ7">
        <v>928.9</v>
      </c>
      <c r="DK7">
        <f t="shared" si="16"/>
        <v>2.800873990883304</v>
      </c>
      <c r="DP7" t="s">
        <v>295</v>
      </c>
      <c r="DQ7">
        <v>873.6</v>
      </c>
      <c r="DR7">
        <f t="shared" si="17"/>
        <v>3.3373676413402507</v>
      </c>
      <c r="DW7" t="s">
        <v>299</v>
      </c>
      <c r="DX7">
        <v>752.9</v>
      </c>
      <c r="DY7">
        <f t="shared" si="18"/>
        <v>3.2065746151045711</v>
      </c>
      <c r="ED7" t="s">
        <v>223</v>
      </c>
      <c r="EE7">
        <v>390.61200000000002</v>
      </c>
      <c r="EF7">
        <f t="shared" si="19"/>
        <v>2.0044940134643876</v>
      </c>
    </row>
    <row r="8" spans="1:139" x14ac:dyDescent="0.2">
      <c r="A8" t="s">
        <v>28</v>
      </c>
      <c r="B8">
        <v>3838.84</v>
      </c>
      <c r="C8">
        <f t="shared" si="1"/>
        <v>3.6783520296074173</v>
      </c>
      <c r="H8" t="s">
        <v>28</v>
      </c>
      <c r="I8">
        <v>3962.31</v>
      </c>
      <c r="J8">
        <f t="shared" si="2"/>
        <v>4.0575716381342977</v>
      </c>
      <c r="O8" t="s">
        <v>28</v>
      </c>
      <c r="P8">
        <v>2928.5</v>
      </c>
      <c r="Q8">
        <f t="shared" si="3"/>
        <v>3.2155565959921328</v>
      </c>
      <c r="V8" t="s">
        <v>28</v>
      </c>
      <c r="W8">
        <v>2614</v>
      </c>
      <c r="X8">
        <f t="shared" si="0"/>
        <v>2.8501736545168659</v>
      </c>
      <c r="AC8" t="s">
        <v>28</v>
      </c>
      <c r="AD8">
        <v>2071</v>
      </c>
      <c r="AE8">
        <f t="shared" si="4"/>
        <v>2.3515201254810196</v>
      </c>
      <c r="AJ8" t="s">
        <v>28</v>
      </c>
      <c r="AK8">
        <v>1750.1</v>
      </c>
      <c r="AL8">
        <f t="shared" si="5"/>
        <v>2.1226135909367878</v>
      </c>
      <c r="AQ8" t="s">
        <v>195</v>
      </c>
      <c r="AR8">
        <v>1553.02</v>
      </c>
      <c r="AS8">
        <f t="shared" si="6"/>
        <v>1.9456734380158147</v>
      </c>
      <c r="AX8" t="s">
        <v>195</v>
      </c>
      <c r="AY8">
        <v>1443.87</v>
      </c>
      <c r="AZ8">
        <f t="shared" si="7"/>
        <v>1.8187681271236877</v>
      </c>
      <c r="BE8" t="s">
        <v>195</v>
      </c>
      <c r="BF8">
        <v>1770.9399999999998</v>
      </c>
      <c r="BG8">
        <f t="shared" si="8"/>
        <v>2.2947538154976153</v>
      </c>
      <c r="BL8" t="s">
        <v>521</v>
      </c>
      <c r="BM8">
        <v>1668.6</v>
      </c>
      <c r="BN8">
        <f t="shared" si="9"/>
        <v>2.2109192593115727</v>
      </c>
      <c r="BS8" t="s">
        <v>521</v>
      </c>
      <c r="BT8">
        <v>1738.7999999999997</v>
      </c>
      <c r="BU8">
        <f t="shared" si="10"/>
        <v>2.3415239539597241</v>
      </c>
      <c r="BZ8" t="s">
        <v>195</v>
      </c>
      <c r="CA8">
        <v>1737.3999999999999</v>
      </c>
      <c r="CB8">
        <f t="shared" si="11"/>
        <v>2.4055898742029078</v>
      </c>
      <c r="CG8" t="s">
        <v>521</v>
      </c>
      <c r="CH8">
        <v>1775.9</v>
      </c>
      <c r="CI8">
        <f t="shared" si="12"/>
        <v>2.5336723109820753</v>
      </c>
      <c r="CN8" t="s">
        <v>521</v>
      </c>
      <c r="CO8">
        <v>1873</v>
      </c>
      <c r="CP8">
        <f t="shared" si="13"/>
        <v>2.8459419450938936</v>
      </c>
      <c r="CU8" t="s">
        <v>195</v>
      </c>
      <c r="CV8">
        <v>1536.05</v>
      </c>
      <c r="CW8">
        <f t="shared" si="14"/>
        <v>2.9085430273785158</v>
      </c>
      <c r="DB8" t="s">
        <v>24</v>
      </c>
      <c r="DC8">
        <v>1112.7</v>
      </c>
      <c r="DD8">
        <f t="shared" si="15"/>
        <v>2.4517086439420357</v>
      </c>
      <c r="DI8" t="s">
        <v>303</v>
      </c>
      <c r="DJ8">
        <v>847.80000000000007</v>
      </c>
      <c r="DK8">
        <f t="shared" si="16"/>
        <v>2.5563364942091349</v>
      </c>
      <c r="DP8" t="s">
        <v>299</v>
      </c>
      <c r="DQ8">
        <v>809.5</v>
      </c>
      <c r="DR8">
        <f t="shared" si="17"/>
        <v>3.0924898187556464</v>
      </c>
      <c r="DW8" t="s">
        <v>223</v>
      </c>
      <c r="DX8">
        <v>531.39600000000007</v>
      </c>
      <c r="DY8">
        <f t="shared" si="18"/>
        <v>2.2631968709896517</v>
      </c>
      <c r="ED8" t="s">
        <v>35</v>
      </c>
      <c r="EE8">
        <v>382.7</v>
      </c>
      <c r="EF8">
        <f t="shared" si="19"/>
        <v>1.9638921972515464</v>
      </c>
    </row>
    <row r="9" spans="1:139" x14ac:dyDescent="0.2">
      <c r="A9" t="s">
        <v>195</v>
      </c>
      <c r="B9">
        <v>1709.81</v>
      </c>
      <c r="C9">
        <f t="shared" si="1"/>
        <v>1.6383290482914259</v>
      </c>
      <c r="E9" t="s">
        <v>300</v>
      </c>
      <c r="F9">
        <f>SUM(C5,C8,C10,C12,C16,C13)</f>
        <v>16.613744186064338</v>
      </c>
      <c r="H9" t="s">
        <v>195</v>
      </c>
      <c r="I9">
        <v>1728.8000000000002</v>
      </c>
      <c r="J9">
        <f t="shared" si="2"/>
        <v>1.7703637140977297</v>
      </c>
      <c r="L9" t="s">
        <v>300</v>
      </c>
      <c r="M9">
        <f>SUM(J5,J8,J11,J14,J16,J12)</f>
        <v>16.136771042141884</v>
      </c>
      <c r="O9" t="s">
        <v>195</v>
      </c>
      <c r="P9">
        <v>1565.8000000000002</v>
      </c>
      <c r="Q9">
        <f t="shared" si="3"/>
        <v>1.719282403279659</v>
      </c>
      <c r="V9" t="s">
        <v>195</v>
      </c>
      <c r="W9">
        <v>1541.47</v>
      </c>
      <c r="X9">
        <f t="shared" si="0"/>
        <v>1.6807410800413596</v>
      </c>
      <c r="AC9" t="s">
        <v>195</v>
      </c>
      <c r="AD9">
        <v>1620.86</v>
      </c>
      <c r="AE9">
        <f t="shared" si="4"/>
        <v>1.8404079722777233</v>
      </c>
      <c r="AJ9" t="s">
        <v>195</v>
      </c>
      <c r="AK9">
        <v>1524.2</v>
      </c>
      <c r="AL9">
        <f t="shared" si="5"/>
        <v>1.8486301555944531</v>
      </c>
      <c r="AQ9" t="s">
        <v>32</v>
      </c>
      <c r="AR9">
        <v>1274.9000000000001</v>
      </c>
      <c r="AS9">
        <f t="shared" si="6"/>
        <v>1.5972357510697623</v>
      </c>
      <c r="AX9" t="s">
        <v>32</v>
      </c>
      <c r="AY9">
        <v>1285.288</v>
      </c>
      <c r="AZ9">
        <f t="shared" si="7"/>
        <v>1.6190106093862682</v>
      </c>
      <c r="BE9" t="s">
        <v>521</v>
      </c>
      <c r="BF9">
        <v>1633.6</v>
      </c>
      <c r="BG9">
        <f t="shared" si="8"/>
        <v>2.1167909883998921</v>
      </c>
      <c r="BL9" t="s">
        <v>27</v>
      </c>
      <c r="BM9">
        <v>1436.58</v>
      </c>
      <c r="BN9">
        <f t="shared" si="9"/>
        <v>1.9034893860372886</v>
      </c>
      <c r="BS9" t="s">
        <v>32</v>
      </c>
      <c r="BT9">
        <v>1324.05</v>
      </c>
      <c r="BU9">
        <f t="shared" si="10"/>
        <v>1.7830082765357562</v>
      </c>
      <c r="BZ9" t="s">
        <v>32</v>
      </c>
      <c r="CA9">
        <v>1240.9100000000001</v>
      </c>
      <c r="CB9">
        <f t="shared" si="11"/>
        <v>1.7181538683073161</v>
      </c>
      <c r="CG9" t="s">
        <v>195</v>
      </c>
      <c r="CH9">
        <v>1743.6</v>
      </c>
      <c r="CI9">
        <f t="shared" si="12"/>
        <v>2.4875899777174086</v>
      </c>
      <c r="CN9" t="s">
        <v>195</v>
      </c>
      <c r="CO9">
        <v>1701.9</v>
      </c>
      <c r="CP9">
        <f t="shared" si="13"/>
        <v>2.5859629451977031</v>
      </c>
      <c r="CU9" t="s">
        <v>521</v>
      </c>
      <c r="CV9">
        <v>1524.9</v>
      </c>
      <c r="CW9">
        <f t="shared" si="14"/>
        <v>2.8874302675365375</v>
      </c>
      <c r="DB9" t="s">
        <v>304</v>
      </c>
      <c r="DC9">
        <v>1065.2</v>
      </c>
      <c r="DD9">
        <f t="shared" si="15"/>
        <v>2.3470477644711574</v>
      </c>
      <c r="DI9" t="s">
        <v>305</v>
      </c>
      <c r="DJ9">
        <v>712.6</v>
      </c>
      <c r="DK9">
        <f t="shared" si="16"/>
        <v>2.1486734911222336</v>
      </c>
      <c r="DP9" t="s">
        <v>35</v>
      </c>
      <c r="DQ9">
        <v>573.5</v>
      </c>
      <c r="DR9">
        <f t="shared" si="17"/>
        <v>2.1909115639979779</v>
      </c>
      <c r="DW9" t="s">
        <v>35</v>
      </c>
      <c r="DX9">
        <v>513.4</v>
      </c>
      <c r="DY9">
        <f t="shared" si="18"/>
        <v>2.1865525400381016</v>
      </c>
      <c r="ED9" t="s">
        <v>298</v>
      </c>
      <c r="EE9">
        <v>379.1</v>
      </c>
      <c r="EF9">
        <f t="shared" si="19"/>
        <v>1.9454181656076857</v>
      </c>
    </row>
    <row r="10" spans="1:139" x14ac:dyDescent="0.2">
      <c r="A10" t="s">
        <v>34</v>
      </c>
      <c r="B10">
        <v>1695</v>
      </c>
      <c r="C10">
        <f t="shared" si="1"/>
        <v>1.6241382006503453</v>
      </c>
      <c r="H10" t="s">
        <v>32</v>
      </c>
      <c r="I10">
        <v>1479.5630000000001</v>
      </c>
      <c r="J10">
        <f t="shared" si="2"/>
        <v>1.5151345719120655</v>
      </c>
      <c r="O10" t="s">
        <v>32</v>
      </c>
      <c r="P10">
        <v>1376.68</v>
      </c>
      <c r="Q10">
        <f t="shared" si="3"/>
        <v>1.5116245363054293</v>
      </c>
      <c r="V10" t="s">
        <v>32</v>
      </c>
      <c r="W10">
        <v>1272.6350000000002</v>
      </c>
      <c r="X10">
        <f t="shared" si="0"/>
        <v>1.3876169658822004</v>
      </c>
      <c r="AC10" t="s">
        <v>32</v>
      </c>
      <c r="AD10">
        <v>1311.723</v>
      </c>
      <c r="AE10">
        <f t="shared" si="4"/>
        <v>1.4893978916254658</v>
      </c>
      <c r="AJ10" t="s">
        <v>32</v>
      </c>
      <c r="AK10">
        <v>1305.1000000000001</v>
      </c>
      <c r="AL10">
        <f t="shared" si="5"/>
        <v>1.5828941189255485</v>
      </c>
      <c r="AQ10" t="s">
        <v>28</v>
      </c>
      <c r="AR10">
        <v>1128.9000000000001</v>
      </c>
      <c r="AS10">
        <f t="shared" si="6"/>
        <v>1.4143222522414736</v>
      </c>
      <c r="AX10" t="s">
        <v>206</v>
      </c>
      <c r="AY10">
        <v>1160.2383807856606</v>
      </c>
      <c r="AZ10">
        <f t="shared" si="7"/>
        <v>1.4614920919740395</v>
      </c>
      <c r="BE10" t="s">
        <v>32</v>
      </c>
      <c r="BF10">
        <v>1290.8</v>
      </c>
      <c r="BG10">
        <f t="shared" si="8"/>
        <v>1.6725966012650468</v>
      </c>
      <c r="BL10" t="s">
        <v>32</v>
      </c>
      <c r="BM10">
        <v>1338.1</v>
      </c>
      <c r="BN10">
        <f t="shared" si="9"/>
        <v>1.7730019542639432</v>
      </c>
      <c r="BS10" t="s">
        <v>27</v>
      </c>
      <c r="BT10">
        <v>1251.1099999999999</v>
      </c>
      <c r="BU10">
        <f t="shared" si="10"/>
        <v>1.6847849287086214</v>
      </c>
      <c r="BZ10" t="s">
        <v>27</v>
      </c>
      <c r="CA10">
        <v>1101.99</v>
      </c>
      <c r="CB10">
        <f t="shared" si="11"/>
        <v>1.5258063689840351</v>
      </c>
      <c r="CG10" t="s">
        <v>32</v>
      </c>
      <c r="CH10">
        <v>1120.1399999999999</v>
      </c>
      <c r="CI10">
        <f t="shared" si="12"/>
        <v>1.598101076875647</v>
      </c>
      <c r="CN10" t="s">
        <v>301</v>
      </c>
      <c r="CO10">
        <v>1687.9</v>
      </c>
      <c r="CP10">
        <f t="shared" si="13"/>
        <v>2.5646905547912353</v>
      </c>
      <c r="CU10" t="s">
        <v>306</v>
      </c>
      <c r="CV10">
        <v>930.47047206032653</v>
      </c>
      <c r="CW10">
        <f t="shared" si="14"/>
        <v>1.7618654364718978</v>
      </c>
      <c r="DB10" t="s">
        <v>521</v>
      </c>
      <c r="DC10">
        <v>947.19999999999993</v>
      </c>
      <c r="DD10">
        <f t="shared" si="15"/>
        <v>2.0870481059961321</v>
      </c>
      <c r="DI10" t="s">
        <v>518</v>
      </c>
      <c r="DJ10">
        <v>615.29999999999995</v>
      </c>
      <c r="DK10">
        <f t="shared" si="16"/>
        <v>1.8552888002912014</v>
      </c>
      <c r="DP10" t="s">
        <v>518</v>
      </c>
      <c r="DQ10">
        <v>554.69999999999993</v>
      </c>
      <c r="DR10">
        <f t="shared" si="17"/>
        <v>2.1190909233647401</v>
      </c>
      <c r="DW10" t="s">
        <v>295</v>
      </c>
      <c r="DX10">
        <v>511</v>
      </c>
      <c r="DY10">
        <f t="shared" si="18"/>
        <v>2.1763310244633232</v>
      </c>
      <c r="ED10" t="s">
        <v>306</v>
      </c>
      <c r="EE10">
        <v>315.47031579968257</v>
      </c>
      <c r="EF10">
        <f t="shared" si="19"/>
        <v>1.6188912768839245</v>
      </c>
    </row>
    <row r="11" spans="1:139" x14ac:dyDescent="0.2">
      <c r="A11" t="s">
        <v>32</v>
      </c>
      <c r="B11">
        <v>1527.3574720000001</v>
      </c>
      <c r="C11">
        <f t="shared" si="1"/>
        <v>1.4635041984212038</v>
      </c>
      <c r="H11" t="s">
        <v>34</v>
      </c>
      <c r="I11">
        <v>1362.45</v>
      </c>
      <c r="J11">
        <f t="shared" si="2"/>
        <v>1.3952059476356151</v>
      </c>
      <c r="O11" t="s">
        <v>35</v>
      </c>
      <c r="P11">
        <v>1170.3</v>
      </c>
      <c r="Q11">
        <f t="shared" si="3"/>
        <v>1.2850148145089952</v>
      </c>
      <c r="V11" t="s">
        <v>35</v>
      </c>
      <c r="W11">
        <v>1131.5</v>
      </c>
      <c r="X11">
        <f t="shared" si="0"/>
        <v>1.2337304858782836</v>
      </c>
      <c r="AC11" t="s">
        <v>35</v>
      </c>
      <c r="AD11">
        <v>1095.9499999999998</v>
      </c>
      <c r="AE11">
        <f t="shared" si="4"/>
        <v>1.2443981079289828</v>
      </c>
      <c r="AJ11" t="s">
        <v>35</v>
      </c>
      <c r="AK11">
        <v>1103.5</v>
      </c>
      <c r="AL11">
        <f t="shared" si="5"/>
        <v>1.3383830053132653</v>
      </c>
      <c r="AQ11" t="s">
        <v>35</v>
      </c>
      <c r="AR11">
        <v>1068.7</v>
      </c>
      <c r="AS11">
        <f t="shared" si="6"/>
        <v>1.3389017547793984</v>
      </c>
      <c r="AX11" t="s">
        <v>35</v>
      </c>
      <c r="AY11">
        <v>1097.9499999999998</v>
      </c>
      <c r="AZ11">
        <f t="shared" si="7"/>
        <v>1.383030650387814</v>
      </c>
      <c r="BE11" t="s">
        <v>35</v>
      </c>
      <c r="BF11">
        <v>1083.45</v>
      </c>
      <c r="BG11">
        <f t="shared" si="8"/>
        <v>1.4039160114972229</v>
      </c>
      <c r="BL11" t="s">
        <v>35</v>
      </c>
      <c r="BM11">
        <v>1067.0659869829619</v>
      </c>
      <c r="BN11">
        <f t="shared" si="9"/>
        <v>1.413877946528193</v>
      </c>
      <c r="BS11" t="s">
        <v>35</v>
      </c>
      <c r="BT11">
        <v>1045.3980832627419</v>
      </c>
      <c r="BU11">
        <f t="shared" si="10"/>
        <v>1.4077666513591516</v>
      </c>
      <c r="BZ11" t="s">
        <v>206</v>
      </c>
      <c r="CA11">
        <v>1022.5</v>
      </c>
      <c r="CB11">
        <f t="shared" si="11"/>
        <v>1.4157451631014581</v>
      </c>
      <c r="CG11" t="s">
        <v>206</v>
      </c>
      <c r="CH11">
        <v>1056.0999999999999</v>
      </c>
      <c r="CI11">
        <f t="shared" si="12"/>
        <v>1.5067353610159184</v>
      </c>
      <c r="CN11" t="s">
        <v>306</v>
      </c>
      <c r="CO11">
        <v>983.60047509874869</v>
      </c>
      <c r="CP11">
        <f t="shared" si="13"/>
        <v>1.4945380935919972</v>
      </c>
      <c r="CU11" t="s">
        <v>35</v>
      </c>
      <c r="CV11">
        <v>850.20299999999997</v>
      </c>
      <c r="CW11">
        <f t="shared" si="14"/>
        <v>1.6098772875272913</v>
      </c>
      <c r="DB11" t="s">
        <v>306</v>
      </c>
      <c r="DC11">
        <v>843.1</v>
      </c>
      <c r="DD11">
        <f t="shared" si="15"/>
        <v>1.8576755259346909</v>
      </c>
      <c r="DI11" t="s">
        <v>209</v>
      </c>
      <c r="DJ11">
        <v>613.90000000000009</v>
      </c>
      <c r="DK11">
        <f t="shared" si="16"/>
        <v>1.8510674378332013</v>
      </c>
      <c r="DP11" t="s">
        <v>521</v>
      </c>
      <c r="DQ11">
        <v>506.3</v>
      </c>
      <c r="DR11">
        <f t="shared" si="17"/>
        <v>1.9341909762025742</v>
      </c>
      <c r="DW11" t="s">
        <v>521</v>
      </c>
      <c r="DX11">
        <v>454.6</v>
      </c>
      <c r="DY11">
        <f t="shared" si="18"/>
        <v>1.9361254084560211</v>
      </c>
      <c r="ED11" t="s">
        <v>295</v>
      </c>
      <c r="EE11">
        <v>313.2</v>
      </c>
      <c r="EF11">
        <f t="shared" si="19"/>
        <v>1.6072407530158987</v>
      </c>
    </row>
    <row r="12" spans="1:139" x14ac:dyDescent="0.2">
      <c r="A12" t="s">
        <v>307</v>
      </c>
      <c r="B12">
        <v>1456.89</v>
      </c>
      <c r="C12">
        <f t="shared" si="1"/>
        <v>1.3959827157200482</v>
      </c>
      <c r="H12" t="s">
        <v>307</v>
      </c>
      <c r="I12">
        <v>1335.25</v>
      </c>
      <c r="J12">
        <f t="shared" si="2"/>
        <v>1.3673520067381959</v>
      </c>
      <c r="O12" t="s">
        <v>307</v>
      </c>
      <c r="P12">
        <v>1121</v>
      </c>
      <c r="Q12">
        <f t="shared" si="3"/>
        <v>1.2308823438986447</v>
      </c>
      <c r="V12" t="s">
        <v>291</v>
      </c>
      <c r="W12">
        <v>898.053</v>
      </c>
      <c r="X12">
        <f t="shared" si="0"/>
        <v>0.97919166065793228</v>
      </c>
      <c r="AC12" t="s">
        <v>206</v>
      </c>
      <c r="AD12">
        <v>795.05163184453022</v>
      </c>
      <c r="AE12">
        <f t="shared" si="4"/>
        <v>0.90274259443695759</v>
      </c>
      <c r="AJ12" t="s">
        <v>206</v>
      </c>
      <c r="AK12">
        <v>862.40713064803799</v>
      </c>
      <c r="AL12">
        <f t="shared" si="5"/>
        <v>1.045972856656376</v>
      </c>
      <c r="AQ12" t="s">
        <v>206</v>
      </c>
      <c r="AR12">
        <v>956.85309155766936</v>
      </c>
      <c r="AS12">
        <f t="shared" si="6"/>
        <v>1.1987763482293028</v>
      </c>
      <c r="AX12" t="s">
        <v>521</v>
      </c>
      <c r="AY12">
        <v>1009.5999999999999</v>
      </c>
      <c r="AZ12">
        <f t="shared" si="7"/>
        <v>1.2717407392244975</v>
      </c>
      <c r="BE12" t="s">
        <v>306</v>
      </c>
      <c r="BF12">
        <v>984.1</v>
      </c>
      <c r="BG12">
        <f t="shared" si="8"/>
        <v>1.2751799777695483</v>
      </c>
      <c r="BL12" t="s">
        <v>306</v>
      </c>
      <c r="BM12">
        <v>930.47047206032653</v>
      </c>
      <c r="BN12">
        <f t="shared" si="9"/>
        <v>1.2328869033314795</v>
      </c>
      <c r="BS12" t="s">
        <v>306</v>
      </c>
      <c r="BT12">
        <v>916</v>
      </c>
      <c r="BU12">
        <f t="shared" si="10"/>
        <v>1.2335150344071244</v>
      </c>
      <c r="BZ12" t="s">
        <v>306</v>
      </c>
      <c r="CA12">
        <v>978.59999999999991</v>
      </c>
      <c r="CB12">
        <f t="shared" si="11"/>
        <v>1.3549615810377378</v>
      </c>
      <c r="CG12" t="s">
        <v>27</v>
      </c>
      <c r="CH12">
        <v>1015.2</v>
      </c>
      <c r="CI12">
        <f t="shared" si="12"/>
        <v>1.4483834281823318</v>
      </c>
      <c r="CN12" t="s">
        <v>35</v>
      </c>
      <c r="CO12">
        <v>959.30000000000007</v>
      </c>
      <c r="CP12">
        <f t="shared" si="13"/>
        <v>1.4576145797803377</v>
      </c>
      <c r="CU12" t="s">
        <v>305</v>
      </c>
      <c r="CV12">
        <v>818.6</v>
      </c>
      <c r="CW12">
        <f t="shared" si="14"/>
        <v>1.5500363414029836</v>
      </c>
      <c r="DB12" t="s">
        <v>305</v>
      </c>
      <c r="DC12">
        <v>818.4</v>
      </c>
      <c r="DD12">
        <f t="shared" si="15"/>
        <v>1.8032518686098338</v>
      </c>
      <c r="DI12" t="s">
        <v>35</v>
      </c>
      <c r="DJ12">
        <v>610.5</v>
      </c>
      <c r="DK12">
        <f t="shared" si="16"/>
        <v>1.8408155575780571</v>
      </c>
      <c r="DP12" t="s">
        <v>223</v>
      </c>
      <c r="DQ12">
        <v>492.15</v>
      </c>
      <c r="DR12">
        <f t="shared" si="17"/>
        <v>1.880134483385536</v>
      </c>
      <c r="DW12" t="s">
        <v>306</v>
      </c>
      <c r="DX12">
        <v>404.23543413720972</v>
      </c>
      <c r="DY12">
        <f t="shared" si="18"/>
        <v>1.7216244941295689</v>
      </c>
      <c r="ED12" t="s">
        <v>518</v>
      </c>
      <c r="EE12">
        <v>287.8</v>
      </c>
      <c r="EF12">
        <f t="shared" si="19"/>
        <v>1.4768961964175467</v>
      </c>
    </row>
    <row r="13" spans="1:139" x14ac:dyDescent="0.2">
      <c r="A13" t="s">
        <v>37</v>
      </c>
      <c r="B13">
        <v>1302.06</v>
      </c>
      <c r="C13">
        <f>(B13/$C$1)*100</f>
        <v>1.2476255961880758</v>
      </c>
      <c r="H13" t="s">
        <v>35</v>
      </c>
      <c r="I13">
        <v>1263.9000000000001</v>
      </c>
      <c r="J13">
        <f>(I13/$J$1)*100</f>
        <v>1.2942866139797089</v>
      </c>
      <c r="O13" t="s">
        <v>37</v>
      </c>
      <c r="P13">
        <v>954.9</v>
      </c>
      <c r="Q13">
        <f t="shared" si="3"/>
        <v>1.0485009368321281</v>
      </c>
      <c r="V13" t="s">
        <v>307</v>
      </c>
      <c r="W13">
        <v>831.47</v>
      </c>
      <c r="X13">
        <f t="shared" si="0"/>
        <v>0.90659291833249367</v>
      </c>
      <c r="AC13" t="s">
        <v>291</v>
      </c>
      <c r="AD13">
        <v>793.95</v>
      </c>
      <c r="AE13">
        <f t="shared" si="4"/>
        <v>0.90149174486994477</v>
      </c>
      <c r="AJ13" t="s">
        <v>306</v>
      </c>
      <c r="AK13">
        <v>747.8</v>
      </c>
      <c r="AL13">
        <f t="shared" si="5"/>
        <v>0.90697128352810119</v>
      </c>
      <c r="AQ13" t="s">
        <v>521</v>
      </c>
      <c r="AR13">
        <v>925.98</v>
      </c>
      <c r="AS13">
        <f t="shared" si="6"/>
        <v>1.1600975455138274</v>
      </c>
      <c r="AX13" t="s">
        <v>306</v>
      </c>
      <c r="AY13">
        <v>912.19999999999993</v>
      </c>
      <c r="AZ13">
        <f t="shared" si="7"/>
        <v>1.1490510125996303</v>
      </c>
      <c r="BE13" t="s">
        <v>206</v>
      </c>
      <c r="BF13">
        <v>765.23838078566075</v>
      </c>
      <c r="BG13">
        <f t="shared" si="8"/>
        <v>0.99158282836974276</v>
      </c>
      <c r="BL13" t="s">
        <v>206</v>
      </c>
      <c r="BM13">
        <v>755</v>
      </c>
      <c r="BN13">
        <f t="shared" si="9"/>
        <v>1.0003859767351297</v>
      </c>
      <c r="BS13" t="s">
        <v>311</v>
      </c>
      <c r="BT13">
        <v>891.6</v>
      </c>
      <c r="BU13">
        <f t="shared" si="10"/>
        <v>1.2006572103464979</v>
      </c>
      <c r="BZ13" t="s">
        <v>35</v>
      </c>
      <c r="CA13">
        <v>962.99780773644238</v>
      </c>
      <c r="CB13">
        <f t="shared" si="11"/>
        <v>1.3333589128412482</v>
      </c>
      <c r="CG13" t="s">
        <v>306</v>
      </c>
      <c r="CH13">
        <v>1010.0263928403723</v>
      </c>
      <c r="CI13">
        <f t="shared" si="12"/>
        <v>1.4410022551386652</v>
      </c>
      <c r="CN13" t="s">
        <v>32</v>
      </c>
      <c r="CO13">
        <v>840.41</v>
      </c>
      <c r="CP13">
        <f t="shared" si="13"/>
        <v>1.2769664015356963</v>
      </c>
      <c r="CU13" t="s">
        <v>32</v>
      </c>
      <c r="CV13">
        <v>761.09649984386101</v>
      </c>
      <c r="CW13">
        <f t="shared" si="14"/>
        <v>1.441152252715117</v>
      </c>
      <c r="DB13" t="s">
        <v>303</v>
      </c>
      <c r="DC13">
        <v>718.7</v>
      </c>
      <c r="DD13">
        <f t="shared" si="15"/>
        <v>1.5835741910678003</v>
      </c>
      <c r="DI13" t="s">
        <v>521</v>
      </c>
      <c r="DJ13">
        <v>530</v>
      </c>
      <c r="DK13">
        <f t="shared" si="16"/>
        <v>1.5980872162430309</v>
      </c>
      <c r="DP13" t="s">
        <v>303</v>
      </c>
      <c r="DQ13">
        <v>459.3</v>
      </c>
      <c r="DR13">
        <f t="shared" si="17"/>
        <v>1.7546393746194795</v>
      </c>
      <c r="DW13" t="s">
        <v>518</v>
      </c>
      <c r="DX13">
        <v>393.1</v>
      </c>
      <c r="DY13">
        <f t="shared" si="18"/>
        <v>1.6741990718523139</v>
      </c>
      <c r="ED13" t="s">
        <v>521</v>
      </c>
      <c r="EE13">
        <v>272.60000000000002</v>
      </c>
      <c r="EF13">
        <f t="shared" si="19"/>
        <v>1.3988947294768008</v>
      </c>
    </row>
    <row r="14" spans="1:139" x14ac:dyDescent="0.2">
      <c r="A14" t="s">
        <v>35</v>
      </c>
      <c r="B14">
        <v>1271.6999999999998</v>
      </c>
      <c r="C14">
        <f t="shared" si="1"/>
        <v>1.2185348376206748</v>
      </c>
      <c r="H14" t="s">
        <v>37</v>
      </c>
      <c r="I14">
        <v>1198.6500000000001</v>
      </c>
      <c r="J14">
        <f t="shared" si="2"/>
        <v>1.2274678770842455</v>
      </c>
      <c r="O14" t="s">
        <v>291</v>
      </c>
      <c r="P14">
        <v>947.33999999999992</v>
      </c>
      <c r="Q14">
        <f t="shared" si="3"/>
        <v>1.040199892657397</v>
      </c>
      <c r="V14" t="s">
        <v>37</v>
      </c>
      <c r="W14">
        <v>735.26</v>
      </c>
      <c r="X14">
        <f t="shared" si="0"/>
        <v>0.80169039067332459</v>
      </c>
      <c r="AC14" t="s">
        <v>307</v>
      </c>
      <c r="AD14">
        <v>773.45</v>
      </c>
      <c r="AE14">
        <f t="shared" si="4"/>
        <v>0.87821498843712931</v>
      </c>
      <c r="AJ14" t="s">
        <v>291</v>
      </c>
      <c r="AK14">
        <v>643.5</v>
      </c>
      <c r="AL14">
        <f t="shared" si="5"/>
        <v>0.78047074211063538</v>
      </c>
      <c r="AQ14" t="s">
        <v>306</v>
      </c>
      <c r="AR14">
        <v>848</v>
      </c>
      <c r="AS14">
        <f t="shared" si="6"/>
        <v>1.0624016918245811</v>
      </c>
      <c r="AX14" t="s">
        <v>28</v>
      </c>
      <c r="AY14">
        <v>736.2</v>
      </c>
      <c r="AZ14">
        <f t="shared" si="7"/>
        <v>0.92735294395510615</v>
      </c>
      <c r="BE14" t="s">
        <v>291</v>
      </c>
      <c r="BF14">
        <v>652.29999999999995</v>
      </c>
      <c r="BG14">
        <f t="shared" si="8"/>
        <v>0.84523920282397746</v>
      </c>
      <c r="BL14" t="s">
        <v>291</v>
      </c>
      <c r="BM14">
        <v>650.20000000000005</v>
      </c>
      <c r="BN14">
        <f t="shared" si="9"/>
        <v>0.86152445307706138</v>
      </c>
      <c r="BS14" t="s">
        <v>206</v>
      </c>
      <c r="BT14">
        <v>835.3</v>
      </c>
      <c r="BU14">
        <f t="shared" si="10"/>
        <v>1.1248418212230031</v>
      </c>
      <c r="BZ14" t="s">
        <v>311</v>
      </c>
      <c r="CA14">
        <v>894.2</v>
      </c>
      <c r="CB14">
        <f t="shared" si="11"/>
        <v>1.2381020291885809</v>
      </c>
      <c r="CG14" t="s">
        <v>35</v>
      </c>
      <c r="CH14">
        <v>989.19614992980098</v>
      </c>
      <c r="CI14">
        <f t="shared" si="12"/>
        <v>1.4112837970647054</v>
      </c>
      <c r="CN14" t="s">
        <v>27</v>
      </c>
      <c r="CO14">
        <v>800</v>
      </c>
      <c r="CP14">
        <f t="shared" si="13"/>
        <v>1.2155651660838842</v>
      </c>
      <c r="CU14" t="s">
        <v>308</v>
      </c>
      <c r="CV14">
        <v>572.59999999999991</v>
      </c>
      <c r="CW14">
        <f t="shared" si="14"/>
        <v>1.0842301601360227</v>
      </c>
      <c r="DB14" t="s">
        <v>35</v>
      </c>
      <c r="DC14">
        <v>717.4</v>
      </c>
      <c r="DD14">
        <f t="shared" si="15"/>
        <v>1.5807097880507024</v>
      </c>
      <c r="DI14" t="s">
        <v>306</v>
      </c>
      <c r="DJ14">
        <v>508.8</v>
      </c>
      <c r="DK14">
        <f t="shared" si="16"/>
        <v>1.5341637275933095</v>
      </c>
      <c r="DP14" t="s">
        <v>306</v>
      </c>
      <c r="DQ14">
        <v>411.57787618387101</v>
      </c>
      <c r="DR14">
        <f t="shared" si="17"/>
        <v>1.5723290818081448</v>
      </c>
      <c r="DW14" t="s">
        <v>303</v>
      </c>
      <c r="DX14">
        <v>345.9</v>
      </c>
      <c r="DY14">
        <f t="shared" si="18"/>
        <v>1.4731759322149969</v>
      </c>
      <c r="ED14" t="s">
        <v>309</v>
      </c>
      <c r="EE14">
        <v>229.6</v>
      </c>
      <c r="EF14">
        <f t="shared" si="19"/>
        <v>1.1782326848417952</v>
      </c>
    </row>
    <row r="15" spans="1:139" x14ac:dyDescent="0.2">
      <c r="A15" t="s">
        <v>291</v>
      </c>
      <c r="B15">
        <v>1187.3879999999999</v>
      </c>
      <c r="C15">
        <f t="shared" si="1"/>
        <v>1.1377476163975293</v>
      </c>
      <c r="H15" t="s">
        <v>291</v>
      </c>
      <c r="I15">
        <v>1006.5289999999999</v>
      </c>
      <c r="J15">
        <f t="shared" si="2"/>
        <v>1.0307279146153825</v>
      </c>
      <c r="O15" t="s">
        <v>34</v>
      </c>
      <c r="P15">
        <v>930.51</v>
      </c>
      <c r="Q15">
        <f t="shared" si="3"/>
        <v>1.0217201871731738</v>
      </c>
      <c r="V15" t="s">
        <v>206</v>
      </c>
      <c r="W15">
        <v>731.53904432578474</v>
      </c>
      <c r="X15">
        <f t="shared" si="0"/>
        <v>0.79763324842685446</v>
      </c>
      <c r="AC15" t="s">
        <v>37</v>
      </c>
      <c r="AD15">
        <v>580.66999999999996</v>
      </c>
      <c r="AE15">
        <f t="shared" si="4"/>
        <v>0.65932264184599887</v>
      </c>
      <c r="AJ15" t="s">
        <v>307</v>
      </c>
      <c r="AK15">
        <v>631.49</v>
      </c>
      <c r="AL15">
        <f t="shared" si="5"/>
        <v>0.76590438063006239</v>
      </c>
      <c r="AQ15" t="s">
        <v>291</v>
      </c>
      <c r="AR15">
        <v>638.80000000000007</v>
      </c>
      <c r="AS15">
        <f t="shared" si="6"/>
        <v>0.80030919898295105</v>
      </c>
      <c r="AX15" t="s">
        <v>291</v>
      </c>
      <c r="AY15">
        <v>637.07299999999998</v>
      </c>
      <c r="AZ15">
        <f t="shared" si="7"/>
        <v>0.80248780503166439</v>
      </c>
      <c r="BE15" t="s">
        <v>310</v>
      </c>
      <c r="BF15">
        <v>500.80000000000007</v>
      </c>
      <c r="BG15">
        <f t="shared" si="8"/>
        <v>0.6489280894898789</v>
      </c>
      <c r="BL15" t="s">
        <v>310</v>
      </c>
      <c r="BM15">
        <v>402.57600000000002</v>
      </c>
      <c r="BN15">
        <f t="shared" si="9"/>
        <v>0.53341905294055847</v>
      </c>
      <c r="BS15" t="s">
        <v>291</v>
      </c>
      <c r="BT15">
        <v>632.58000000000004</v>
      </c>
      <c r="BU15">
        <f t="shared" si="10"/>
        <v>0.85185255509307722</v>
      </c>
      <c r="BZ15" t="s">
        <v>291</v>
      </c>
      <c r="CA15">
        <v>594.1</v>
      </c>
      <c r="CB15">
        <f t="shared" si="11"/>
        <v>0.82258601603772741</v>
      </c>
      <c r="CG15" t="s">
        <v>311</v>
      </c>
      <c r="CH15">
        <v>849.69999999999993</v>
      </c>
      <c r="CI15">
        <f t="shared" si="12"/>
        <v>1.2122649713618272</v>
      </c>
      <c r="CN15" t="s">
        <v>311</v>
      </c>
      <c r="CO15">
        <v>782</v>
      </c>
      <c r="CP15">
        <f t="shared" si="13"/>
        <v>1.1882149498469969</v>
      </c>
      <c r="CU15" t="s">
        <v>312</v>
      </c>
      <c r="CV15">
        <v>493.3</v>
      </c>
      <c r="CW15">
        <f t="shared" si="14"/>
        <v>0.9340739399146003</v>
      </c>
      <c r="DB15" t="s">
        <v>302</v>
      </c>
      <c r="DC15">
        <v>619.29999999999995</v>
      </c>
      <c r="DD15">
        <f t="shared" si="15"/>
        <v>1.3645575296066348</v>
      </c>
      <c r="DI15" t="s">
        <v>313</v>
      </c>
      <c r="DJ15">
        <v>469</v>
      </c>
      <c r="DK15">
        <f t="shared" si="16"/>
        <v>1.4141564234301538</v>
      </c>
      <c r="DP15" t="s">
        <v>309</v>
      </c>
      <c r="DQ15">
        <v>349.1</v>
      </c>
      <c r="DR15">
        <f t="shared" si="17"/>
        <v>1.3336481726097547</v>
      </c>
      <c r="DW15" t="s">
        <v>309</v>
      </c>
      <c r="DX15">
        <v>278.10000000000002</v>
      </c>
      <c r="DY15">
        <f t="shared" si="18"/>
        <v>1.1844181172274955</v>
      </c>
      <c r="ED15" t="s">
        <v>323</v>
      </c>
      <c r="EE15">
        <v>214.1</v>
      </c>
      <c r="EF15">
        <f t="shared" si="19"/>
        <v>1.098691715264061</v>
      </c>
    </row>
    <row r="16" spans="1:139" x14ac:dyDescent="0.2">
      <c r="A16" t="s">
        <v>40</v>
      </c>
      <c r="B16">
        <v>930.54849039999999</v>
      </c>
      <c r="C16">
        <f t="shared" si="1"/>
        <v>0.89164563469979419</v>
      </c>
      <c r="H16" t="s">
        <v>40</v>
      </c>
      <c r="I16">
        <v>786.59</v>
      </c>
      <c r="J16">
        <f t="shared" si="2"/>
        <v>0.80550115332724026</v>
      </c>
      <c r="O16" t="s">
        <v>40</v>
      </c>
      <c r="P16">
        <v>622.404</v>
      </c>
      <c r="Q16">
        <f t="shared" si="3"/>
        <v>0.68341310827109014</v>
      </c>
      <c r="V16" t="s">
        <v>40</v>
      </c>
      <c r="W16">
        <v>702.93934000000002</v>
      </c>
      <c r="X16">
        <f t="shared" si="0"/>
        <v>0.76644957444203277</v>
      </c>
      <c r="AC16" t="s">
        <v>306</v>
      </c>
      <c r="AD16">
        <v>613.87</v>
      </c>
      <c r="AE16">
        <f t="shared" si="4"/>
        <v>0.69701963275182688</v>
      </c>
      <c r="AJ16" t="s">
        <v>40</v>
      </c>
      <c r="AK16">
        <v>484.51424000000003</v>
      </c>
      <c r="AL16">
        <f t="shared" si="5"/>
        <v>0.5876444265050047</v>
      </c>
      <c r="AQ16" t="s">
        <v>307</v>
      </c>
      <c r="AR16">
        <v>520.44000000000005</v>
      </c>
      <c r="AS16">
        <f t="shared" si="6"/>
        <v>0.6520239817136616</v>
      </c>
      <c r="AX16" t="s">
        <v>310</v>
      </c>
      <c r="AY16">
        <v>485.7</v>
      </c>
      <c r="AZ16">
        <f t="shared" si="7"/>
        <v>0.61181109057184879</v>
      </c>
      <c r="BE16" t="s">
        <v>28</v>
      </c>
      <c r="BF16">
        <v>483.3</v>
      </c>
      <c r="BG16">
        <f t="shared" si="8"/>
        <v>0.62625188827966938</v>
      </c>
      <c r="BL16" t="s">
        <v>312</v>
      </c>
      <c r="BM16">
        <v>368.6</v>
      </c>
      <c r="BN16">
        <f t="shared" si="9"/>
        <v>0.48840035897293893</v>
      </c>
      <c r="BS16" t="s">
        <v>312</v>
      </c>
      <c r="BT16">
        <v>432.1</v>
      </c>
      <c r="BU16">
        <f t="shared" si="10"/>
        <v>0.5818797449424874</v>
      </c>
      <c r="BZ16" t="s">
        <v>312</v>
      </c>
      <c r="CA16">
        <v>495.5</v>
      </c>
      <c r="CB16">
        <f t="shared" si="11"/>
        <v>0.68606525996750367</v>
      </c>
      <c r="CG16" t="s">
        <v>291</v>
      </c>
      <c r="CH16">
        <v>583.6</v>
      </c>
      <c r="CI16">
        <f t="shared" si="12"/>
        <v>0.83262073353743971</v>
      </c>
      <c r="CN16" t="s">
        <v>312</v>
      </c>
      <c r="CO16">
        <v>586.60609999999997</v>
      </c>
      <c r="CP16">
        <f t="shared" si="13"/>
        <v>0.89132242671539941</v>
      </c>
      <c r="CU16" t="s">
        <v>311</v>
      </c>
      <c r="CV16">
        <v>490.20000000000005</v>
      </c>
      <c r="CW16">
        <f t="shared" si="14"/>
        <v>0.92820402462221197</v>
      </c>
      <c r="DB16" t="s">
        <v>314</v>
      </c>
      <c r="DC16">
        <v>497</v>
      </c>
      <c r="DD16">
        <f t="shared" si="15"/>
        <v>1.0950833073058253</v>
      </c>
      <c r="DI16" t="s">
        <v>309</v>
      </c>
      <c r="DJ16">
        <v>450.40000000000003</v>
      </c>
      <c r="DK16">
        <f t="shared" si="16"/>
        <v>1.3580726079167191</v>
      </c>
      <c r="DP16" t="s">
        <v>313</v>
      </c>
      <c r="DQ16">
        <v>276.10000000000002</v>
      </c>
      <c r="DR16">
        <f t="shared" si="17"/>
        <v>1.0547701531296283</v>
      </c>
      <c r="DW16" t="s">
        <v>314</v>
      </c>
      <c r="DX16">
        <v>228.768</v>
      </c>
      <c r="DY16">
        <f t="shared" si="18"/>
        <v>0.97431486458791683</v>
      </c>
      <c r="ED16" t="s">
        <v>24</v>
      </c>
      <c r="EE16">
        <v>186.73050000000001</v>
      </c>
      <c r="EF16">
        <f t="shared" si="19"/>
        <v>0.95824032385388014</v>
      </c>
    </row>
    <row r="17" spans="1:136" x14ac:dyDescent="0.2">
      <c r="A17" t="s">
        <v>459</v>
      </c>
      <c r="B17">
        <v>586.34</v>
      </c>
      <c r="C17">
        <f t="shared" si="1"/>
        <v>0.56182725225328822</v>
      </c>
      <c r="H17" t="s">
        <v>206</v>
      </c>
      <c r="I17">
        <v>580.68075693499998</v>
      </c>
      <c r="J17">
        <f t="shared" si="2"/>
        <v>0.59464145161529813</v>
      </c>
      <c r="O17" t="s">
        <v>206</v>
      </c>
      <c r="P17">
        <v>602.66403000000003</v>
      </c>
      <c r="Q17">
        <f t="shared" si="3"/>
        <v>0.66173819253327659</v>
      </c>
      <c r="V17" t="s">
        <v>34</v>
      </c>
      <c r="W17">
        <v>614.54000000000008</v>
      </c>
      <c r="X17">
        <f t="shared" si="0"/>
        <v>0.670063396192347</v>
      </c>
      <c r="AC17" t="s">
        <v>40</v>
      </c>
      <c r="AD17">
        <v>532.33539999999994</v>
      </c>
      <c r="AE17">
        <f t="shared" si="4"/>
        <v>0.60444104616416638</v>
      </c>
      <c r="AJ17" t="s">
        <v>37</v>
      </c>
      <c r="AK17">
        <v>443.54</v>
      </c>
      <c r="AL17">
        <f t="shared" si="5"/>
        <v>0.53794870700194453</v>
      </c>
      <c r="AQ17" t="s">
        <v>40</v>
      </c>
      <c r="AR17">
        <v>436.79095999999998</v>
      </c>
      <c r="AS17">
        <f t="shared" si="6"/>
        <v>0.54722577226141844</v>
      </c>
      <c r="AX17" t="s">
        <v>40</v>
      </c>
      <c r="AY17">
        <v>400.99400000000003</v>
      </c>
      <c r="AZ17">
        <f t="shared" si="7"/>
        <v>0.50511133714796774</v>
      </c>
      <c r="BE17" t="s">
        <v>40</v>
      </c>
      <c r="BF17">
        <v>383.27</v>
      </c>
      <c r="BG17">
        <f t="shared" si="8"/>
        <v>0.4966347221621123</v>
      </c>
      <c r="BL17" t="s">
        <v>223</v>
      </c>
      <c r="BM17">
        <v>278.8</v>
      </c>
      <c r="BN17">
        <f t="shared" si="9"/>
        <v>0.36941405339570088</v>
      </c>
      <c r="BS17" t="s">
        <v>310</v>
      </c>
      <c r="BT17">
        <v>402.82</v>
      </c>
      <c r="BU17">
        <f t="shared" si="10"/>
        <v>0.54245035606973557</v>
      </c>
      <c r="BZ17" t="s">
        <v>223</v>
      </c>
      <c r="CA17">
        <v>402.90759999999995</v>
      </c>
      <c r="CB17">
        <f t="shared" si="11"/>
        <v>0.55786257787463756</v>
      </c>
      <c r="CG17" t="s">
        <v>312</v>
      </c>
      <c r="CH17">
        <v>523.96860000000004</v>
      </c>
      <c r="CI17">
        <f t="shared" si="12"/>
        <v>0.74754475682416954</v>
      </c>
      <c r="CN17" t="s">
        <v>291</v>
      </c>
      <c r="CO17">
        <v>473</v>
      </c>
      <c r="CP17">
        <f t="shared" si="13"/>
        <v>0.7187029044470965</v>
      </c>
      <c r="CU17" t="s">
        <v>316</v>
      </c>
      <c r="CV17">
        <v>358.5</v>
      </c>
      <c r="CW17">
        <f t="shared" si="14"/>
        <v>0.67882730074880238</v>
      </c>
      <c r="DB17" t="s">
        <v>317</v>
      </c>
      <c r="DC17">
        <v>430.5</v>
      </c>
      <c r="DD17">
        <f t="shared" si="15"/>
        <v>0.94855807604659514</v>
      </c>
      <c r="DI17" t="s">
        <v>304</v>
      </c>
      <c r="DJ17">
        <v>401</v>
      </c>
      <c r="DK17">
        <f t="shared" si="16"/>
        <v>1.2091188183272741</v>
      </c>
      <c r="DP17" t="s">
        <v>318</v>
      </c>
      <c r="DQ17">
        <v>272.7</v>
      </c>
      <c r="DR17">
        <f t="shared" si="17"/>
        <v>1.0417813138661702</v>
      </c>
      <c r="DW17" t="s">
        <v>24</v>
      </c>
      <c r="DX17">
        <v>222.71525000000003</v>
      </c>
      <c r="DY17">
        <f t="shared" si="18"/>
        <v>0.94853641525656596</v>
      </c>
      <c r="ED17" t="s">
        <v>314</v>
      </c>
      <c r="EE17">
        <v>147.744</v>
      </c>
      <c r="EF17">
        <f t="shared" si="19"/>
        <v>0.75817425866405141</v>
      </c>
    </row>
    <row r="18" spans="1:136" x14ac:dyDescent="0.2">
      <c r="A18" t="s">
        <v>206</v>
      </c>
      <c r="B18">
        <v>579.63109892840498</v>
      </c>
      <c r="C18">
        <f t="shared" si="1"/>
        <v>0.55539882599089196</v>
      </c>
      <c r="H18" t="s">
        <v>459</v>
      </c>
      <c r="I18">
        <v>555.20000000000005</v>
      </c>
      <c r="J18">
        <f t="shared" si="2"/>
        <v>0.56854808772967347</v>
      </c>
      <c r="O18" t="s">
        <v>459</v>
      </c>
      <c r="P18">
        <v>488.78</v>
      </c>
      <c r="Q18">
        <f t="shared" si="3"/>
        <v>0.53669105446099863</v>
      </c>
      <c r="V18" t="s">
        <v>459</v>
      </c>
      <c r="W18">
        <v>553.99</v>
      </c>
      <c r="X18">
        <f t="shared" si="0"/>
        <v>0.60404273254238661</v>
      </c>
      <c r="AC18" t="s">
        <v>34</v>
      </c>
      <c r="AD18">
        <v>480.44</v>
      </c>
      <c r="AE18">
        <f t="shared" si="4"/>
        <v>0.54551633466253069</v>
      </c>
      <c r="AJ18" t="s">
        <v>310</v>
      </c>
      <c r="AK18">
        <v>402.56</v>
      </c>
      <c r="AL18">
        <f t="shared" si="5"/>
        <v>0.48824600146706665</v>
      </c>
      <c r="AQ18" t="s">
        <v>310</v>
      </c>
      <c r="AR18">
        <v>403.2</v>
      </c>
      <c r="AS18">
        <f t="shared" si="6"/>
        <v>0.50514193649017813</v>
      </c>
      <c r="AX18" t="s">
        <v>307</v>
      </c>
      <c r="AY18">
        <v>396.57</v>
      </c>
      <c r="AZ18">
        <f t="shared" si="7"/>
        <v>0.4995386538770395</v>
      </c>
      <c r="BE18" t="s">
        <v>312</v>
      </c>
      <c r="BF18">
        <v>382.3</v>
      </c>
      <c r="BG18">
        <f t="shared" si="8"/>
        <v>0.49537781272360359</v>
      </c>
      <c r="BL18" t="s">
        <v>28</v>
      </c>
      <c r="BM18">
        <v>269.39999999999998</v>
      </c>
      <c r="BN18">
        <f t="shared" si="9"/>
        <v>0.35695891673171382</v>
      </c>
      <c r="BS18" t="s">
        <v>223</v>
      </c>
      <c r="BT18">
        <v>330.1790965933821</v>
      </c>
      <c r="BU18">
        <f t="shared" si="10"/>
        <v>0.44462978132630887</v>
      </c>
      <c r="BZ18" t="s">
        <v>310</v>
      </c>
      <c r="CA18">
        <v>373.56399999999996</v>
      </c>
      <c r="CB18">
        <f t="shared" si="11"/>
        <v>0.51723366856609587</v>
      </c>
      <c r="CG18" t="s">
        <v>223</v>
      </c>
      <c r="CH18">
        <v>402.74800000000005</v>
      </c>
      <c r="CI18">
        <f t="shared" si="12"/>
        <v>0.57459961478878818</v>
      </c>
      <c r="CN18" t="s">
        <v>223</v>
      </c>
      <c r="CO18">
        <v>429.83710000000002</v>
      </c>
      <c r="CP18">
        <f t="shared" si="13"/>
        <v>0.65311875731314395</v>
      </c>
      <c r="CU18" t="s">
        <v>310</v>
      </c>
      <c r="CV18">
        <v>318.44</v>
      </c>
      <c r="CW18">
        <f t="shared" si="14"/>
        <v>0.60297284700264608</v>
      </c>
      <c r="DB18" t="s">
        <v>312</v>
      </c>
      <c r="DC18">
        <v>410.83679999999998</v>
      </c>
      <c r="DD18">
        <f t="shared" si="15"/>
        <v>0.90523243804213649</v>
      </c>
      <c r="DI18" t="s">
        <v>223</v>
      </c>
      <c r="DJ18">
        <v>369.79100000000005</v>
      </c>
      <c r="DK18">
        <f t="shared" si="16"/>
        <v>1.1150156033617484</v>
      </c>
      <c r="DP18" t="s">
        <v>302</v>
      </c>
      <c r="DQ18">
        <v>243.9</v>
      </c>
      <c r="DR18">
        <f t="shared" si="17"/>
        <v>0.93175820481099725</v>
      </c>
      <c r="DW18" t="s">
        <v>318</v>
      </c>
      <c r="DX18">
        <v>192.5</v>
      </c>
      <c r="DY18">
        <f t="shared" si="18"/>
        <v>0.81985072839371764</v>
      </c>
      <c r="ED18" t="s">
        <v>312</v>
      </c>
      <c r="EE18">
        <v>127.02000000000001</v>
      </c>
      <c r="EF18">
        <f t="shared" si="19"/>
        <v>0.65182541650089221</v>
      </c>
    </row>
    <row r="19" spans="1:136" x14ac:dyDescent="0.2">
      <c r="A19" t="s">
        <v>497</v>
      </c>
      <c r="B19">
        <v>533.35</v>
      </c>
      <c r="C19">
        <f t="shared" si="1"/>
        <v>0.51105257186835495</v>
      </c>
      <c r="H19" t="s">
        <v>496</v>
      </c>
      <c r="I19">
        <v>422.05</v>
      </c>
      <c r="J19">
        <f t="shared" si="2"/>
        <v>0.43219690278513812</v>
      </c>
      <c r="O19" t="s">
        <v>216</v>
      </c>
      <c r="P19">
        <v>451.38048850000001</v>
      </c>
      <c r="Q19">
        <f t="shared" si="3"/>
        <v>0.49562557865744439</v>
      </c>
      <c r="V19" t="s">
        <v>306</v>
      </c>
      <c r="W19">
        <v>529.1</v>
      </c>
      <c r="X19">
        <f t="shared" si="0"/>
        <v>0.576903932901635</v>
      </c>
      <c r="AC19" t="s">
        <v>497</v>
      </c>
      <c r="AD19">
        <v>423.49</v>
      </c>
      <c r="AE19">
        <f t="shared" si="4"/>
        <v>0.48085236984063601</v>
      </c>
      <c r="AJ19" t="s">
        <v>496</v>
      </c>
      <c r="AK19">
        <v>370.83</v>
      </c>
      <c r="AL19">
        <f t="shared" si="5"/>
        <v>0.4497621838335461</v>
      </c>
      <c r="AQ19" t="s">
        <v>37</v>
      </c>
      <c r="AR19">
        <v>358.05</v>
      </c>
      <c r="AS19">
        <f t="shared" si="6"/>
        <v>0.44857656339362179</v>
      </c>
      <c r="AX19" t="s">
        <v>320</v>
      </c>
      <c r="AY19">
        <v>351</v>
      </c>
      <c r="AZ19">
        <f t="shared" si="7"/>
        <v>0.44213648917174991</v>
      </c>
      <c r="BE19" t="s">
        <v>307</v>
      </c>
      <c r="BF19">
        <v>338.9</v>
      </c>
      <c r="BG19">
        <f t="shared" si="8"/>
        <v>0.43914083372228419</v>
      </c>
      <c r="BL19" t="s">
        <v>496</v>
      </c>
      <c r="BM19">
        <v>232.35</v>
      </c>
      <c r="BN19">
        <f t="shared" si="9"/>
        <v>0.30786712807206279</v>
      </c>
      <c r="BS19" t="s">
        <v>496</v>
      </c>
      <c r="BT19">
        <v>259.60000000000002</v>
      </c>
      <c r="BU19">
        <f t="shared" si="10"/>
        <v>0.34958570189092741</v>
      </c>
      <c r="BZ19" t="s">
        <v>496</v>
      </c>
      <c r="CA19">
        <v>238.4</v>
      </c>
      <c r="CB19">
        <f t="shared" si="11"/>
        <v>0.33008669621847198</v>
      </c>
      <c r="CG19" t="s">
        <v>310</v>
      </c>
      <c r="CH19">
        <v>371.08799999999997</v>
      </c>
      <c r="CI19">
        <f t="shared" si="12"/>
        <v>0.52943036800366927</v>
      </c>
      <c r="CN19" t="s">
        <v>310</v>
      </c>
      <c r="CO19">
        <v>381.10799999999995</v>
      </c>
      <c r="CP19">
        <f t="shared" si="13"/>
        <v>0.57907701164487102</v>
      </c>
      <c r="CU19" t="s">
        <v>322</v>
      </c>
      <c r="CV19">
        <v>317.3</v>
      </c>
      <c r="CW19">
        <f t="shared" si="14"/>
        <v>0.60081423299189685</v>
      </c>
      <c r="DB19" t="s">
        <v>32</v>
      </c>
      <c r="DC19">
        <v>408.39789864452695</v>
      </c>
      <c r="DD19">
        <f t="shared" si="15"/>
        <v>0.8998585946567359</v>
      </c>
      <c r="DI19" t="s">
        <v>302</v>
      </c>
      <c r="DJ19">
        <v>325.2</v>
      </c>
      <c r="DK19">
        <f t="shared" si="16"/>
        <v>0.98056219381553511</v>
      </c>
      <c r="DP19" t="s">
        <v>24</v>
      </c>
      <c r="DQ19">
        <v>234.10000000000002</v>
      </c>
      <c r="DR19">
        <f t="shared" si="17"/>
        <v>0.89431978575750093</v>
      </c>
      <c r="DW19" t="s">
        <v>312</v>
      </c>
      <c r="DX19">
        <v>169.65</v>
      </c>
      <c r="DY19">
        <f t="shared" si="18"/>
        <v>0.72253338219217766</v>
      </c>
      <c r="ED19" t="s">
        <v>318</v>
      </c>
      <c r="EE19">
        <v>127</v>
      </c>
      <c r="EF19">
        <f t="shared" si="19"/>
        <v>0.65172278299175967</v>
      </c>
    </row>
    <row r="20" spans="1:136" x14ac:dyDescent="0.2">
      <c r="A20" t="s">
        <v>496</v>
      </c>
      <c r="B20">
        <v>481.53</v>
      </c>
      <c r="C20">
        <f t="shared" si="1"/>
        <v>0.46139897802900337</v>
      </c>
      <c r="H20" t="s">
        <v>315</v>
      </c>
      <c r="I20">
        <v>421.95</v>
      </c>
      <c r="J20">
        <f t="shared" si="2"/>
        <v>0.43209449859066229</v>
      </c>
      <c r="O20" t="s">
        <v>496</v>
      </c>
      <c r="P20">
        <v>433.79</v>
      </c>
      <c r="Q20">
        <f t="shared" si="3"/>
        <v>0.47631084028527482</v>
      </c>
      <c r="V20" t="s">
        <v>497</v>
      </c>
      <c r="W20">
        <v>448.94</v>
      </c>
      <c r="X20">
        <f t="shared" si="0"/>
        <v>0.48950151509518047</v>
      </c>
      <c r="AC20" t="s">
        <v>496</v>
      </c>
      <c r="AD20">
        <v>412.29</v>
      </c>
      <c r="AE20">
        <f t="shared" si="4"/>
        <v>0.46813531266758557</v>
      </c>
      <c r="AJ20" t="s">
        <v>497</v>
      </c>
      <c r="AK20">
        <v>346.03</v>
      </c>
      <c r="AL20">
        <f t="shared" si="5"/>
        <v>0.41968343573044775</v>
      </c>
      <c r="AQ20" t="s">
        <v>497</v>
      </c>
      <c r="AR20">
        <v>292.77</v>
      </c>
      <c r="AS20">
        <f t="shared" si="6"/>
        <v>0.36679167843806909</v>
      </c>
      <c r="AX20" t="s">
        <v>37</v>
      </c>
      <c r="AY20">
        <v>303.83</v>
      </c>
      <c r="AZ20">
        <f t="shared" si="7"/>
        <v>0.3827188874787828</v>
      </c>
      <c r="BE20" t="s">
        <v>223</v>
      </c>
      <c r="BF20">
        <v>274.89033860703751</v>
      </c>
      <c r="BG20">
        <f t="shared" si="8"/>
        <v>0.35619820737118751</v>
      </c>
      <c r="BL20" t="s">
        <v>307</v>
      </c>
      <c r="BM20">
        <v>229.02</v>
      </c>
      <c r="BN20">
        <f t="shared" si="9"/>
        <v>0.30345482965811849</v>
      </c>
      <c r="BS20" t="s">
        <v>242</v>
      </c>
      <c r="BT20">
        <v>251.57385282747578</v>
      </c>
      <c r="BU20">
        <f t="shared" si="10"/>
        <v>0.3387774341991448</v>
      </c>
      <c r="BZ20" t="s">
        <v>40</v>
      </c>
      <c r="CA20">
        <v>235.57</v>
      </c>
      <c r="CB20">
        <f t="shared" si="11"/>
        <v>0.32616830129272417</v>
      </c>
      <c r="CG20" t="s">
        <v>322</v>
      </c>
      <c r="CH20">
        <v>238.3</v>
      </c>
      <c r="CI20">
        <f t="shared" si="12"/>
        <v>0.33998204386904024</v>
      </c>
      <c r="CN20" t="s">
        <v>322</v>
      </c>
      <c r="CO20">
        <v>276.3</v>
      </c>
      <c r="CP20">
        <f t="shared" si="13"/>
        <v>0.41982581923622153</v>
      </c>
      <c r="CU20" t="s">
        <v>324</v>
      </c>
      <c r="CV20">
        <v>286.2347567497423</v>
      </c>
      <c r="CW20">
        <f t="shared" si="14"/>
        <v>0.54199154059949117</v>
      </c>
      <c r="DB20" t="s">
        <v>308</v>
      </c>
      <c r="DC20">
        <v>364.55232469999999</v>
      </c>
      <c r="DD20">
        <f t="shared" si="15"/>
        <v>0.80324982981590154</v>
      </c>
      <c r="DI20" t="s">
        <v>318</v>
      </c>
      <c r="DJ20">
        <v>320</v>
      </c>
      <c r="DK20">
        <f t="shared" si="16"/>
        <v>0.96488284754296194</v>
      </c>
      <c r="DP20" t="s">
        <v>323</v>
      </c>
      <c r="DQ20">
        <v>222.89999999999998</v>
      </c>
      <c r="DR20">
        <f t="shared" si="17"/>
        <v>0.85153302112493334</v>
      </c>
      <c r="DW20" t="s">
        <v>308</v>
      </c>
      <c r="DX20">
        <v>164.2</v>
      </c>
      <c r="DY20">
        <f t="shared" si="18"/>
        <v>0.69932202390778397</v>
      </c>
      <c r="ED20" t="s">
        <v>327</v>
      </c>
      <c r="EE20">
        <v>115</v>
      </c>
      <c r="EF20">
        <f t="shared" si="19"/>
        <v>0.59014267751222338</v>
      </c>
    </row>
    <row r="21" spans="1:136" x14ac:dyDescent="0.2">
      <c r="A21" t="s">
        <v>31</v>
      </c>
      <c r="B21">
        <v>473.55</v>
      </c>
      <c r="C21">
        <f t="shared" si="1"/>
        <v>0.45375259287195929</v>
      </c>
      <c r="H21" t="s">
        <v>458</v>
      </c>
      <c r="I21">
        <v>385.18</v>
      </c>
      <c r="J21">
        <f t="shared" si="2"/>
        <v>0.39444047628190854</v>
      </c>
      <c r="O21" t="s">
        <v>315</v>
      </c>
      <c r="P21">
        <v>383.95</v>
      </c>
      <c r="Q21">
        <f t="shared" si="3"/>
        <v>0.4215854379481575</v>
      </c>
      <c r="V21" t="s">
        <v>496</v>
      </c>
      <c r="W21">
        <v>433.5</v>
      </c>
      <c r="X21">
        <f t="shared" si="0"/>
        <v>0.47266651845182145</v>
      </c>
      <c r="AC21" t="s">
        <v>459</v>
      </c>
      <c r="AD21">
        <v>381.55</v>
      </c>
      <c r="AE21">
        <f t="shared" si="4"/>
        <v>0.4332315325336954</v>
      </c>
      <c r="AJ21" t="s">
        <v>458</v>
      </c>
      <c r="AK21">
        <v>293.02999999999997</v>
      </c>
      <c r="AL21">
        <f t="shared" si="5"/>
        <v>0.35540224018753608</v>
      </c>
      <c r="AQ21" t="s">
        <v>458</v>
      </c>
      <c r="AR21">
        <v>278.92</v>
      </c>
      <c r="AS21">
        <f t="shared" si="6"/>
        <v>0.34943995269305678</v>
      </c>
      <c r="AX21" t="s">
        <v>496</v>
      </c>
      <c r="AY21">
        <v>254.49</v>
      </c>
      <c r="AZ21">
        <f t="shared" si="7"/>
        <v>0.32056784937127814</v>
      </c>
      <c r="BE21" t="s">
        <v>320</v>
      </c>
      <c r="BF21">
        <v>274.60000000000002</v>
      </c>
      <c r="BG21">
        <f t="shared" si="8"/>
        <v>0.35582199156134331</v>
      </c>
      <c r="BL21" t="s">
        <v>320</v>
      </c>
      <c r="BM21">
        <v>221</v>
      </c>
      <c r="BN21">
        <f t="shared" si="9"/>
        <v>0.29282821305756779</v>
      </c>
      <c r="BS21" t="s">
        <v>40</v>
      </c>
      <c r="BT21">
        <v>229.19</v>
      </c>
      <c r="BU21">
        <f t="shared" si="10"/>
        <v>0.30863461870717118</v>
      </c>
      <c r="BZ21" t="s">
        <v>322</v>
      </c>
      <c r="CA21">
        <v>219.5</v>
      </c>
      <c r="CB21">
        <f t="shared" si="11"/>
        <v>0.30391791031860155</v>
      </c>
      <c r="CG21" t="s">
        <v>325</v>
      </c>
      <c r="CH21">
        <v>202.79014031128813</v>
      </c>
      <c r="CI21">
        <f t="shared" si="12"/>
        <v>0.28932021141217446</v>
      </c>
      <c r="CN21" t="s">
        <v>325</v>
      </c>
      <c r="CO21">
        <v>152.36262888115434</v>
      </c>
      <c r="CP21">
        <f t="shared" si="13"/>
        <v>0.23150838035112198</v>
      </c>
      <c r="CU21" t="s">
        <v>326</v>
      </c>
      <c r="CV21">
        <v>239.1</v>
      </c>
      <c r="CW21">
        <f t="shared" si="14"/>
        <v>0.45274088593874096</v>
      </c>
      <c r="DB21" t="s">
        <v>316</v>
      </c>
      <c r="DC21">
        <v>269</v>
      </c>
      <c r="DD21">
        <f t="shared" si="15"/>
        <v>0.59271108584560761</v>
      </c>
      <c r="DI21" t="s">
        <v>24</v>
      </c>
      <c r="DJ21">
        <v>278.91800000000001</v>
      </c>
      <c r="DK21">
        <f t="shared" si="16"/>
        <v>0.84100998147183714</v>
      </c>
      <c r="DP21" t="s">
        <v>308</v>
      </c>
      <c r="DQ21">
        <v>216.4</v>
      </c>
      <c r="DR21">
        <f t="shared" si="17"/>
        <v>0.82670141665067565</v>
      </c>
      <c r="DW21" t="s">
        <v>323</v>
      </c>
      <c r="DX21">
        <v>158.9</v>
      </c>
      <c r="DY21">
        <f t="shared" si="18"/>
        <v>0.67674951034681419</v>
      </c>
      <c r="ED21" t="s">
        <v>308</v>
      </c>
      <c r="EE21">
        <v>104.10000000000001</v>
      </c>
      <c r="EF21">
        <f t="shared" si="19"/>
        <v>0.53420741503497782</v>
      </c>
    </row>
    <row r="22" spans="1:136" x14ac:dyDescent="0.2">
      <c r="A22" t="s">
        <v>315</v>
      </c>
      <c r="B22">
        <v>464</v>
      </c>
      <c r="C22">
        <f t="shared" si="1"/>
        <v>0.44460184371785266</v>
      </c>
      <c r="H22" t="s">
        <v>450</v>
      </c>
      <c r="I22">
        <v>381.27</v>
      </c>
      <c r="J22">
        <f t="shared" si="2"/>
        <v>0.39043647227790451</v>
      </c>
      <c r="O22" t="s">
        <v>458</v>
      </c>
      <c r="P22">
        <v>368.9</v>
      </c>
      <c r="Q22">
        <f t="shared" si="3"/>
        <v>0.40506021111883139</v>
      </c>
      <c r="V22" t="s">
        <v>319</v>
      </c>
      <c r="W22">
        <v>364.75</v>
      </c>
      <c r="X22">
        <f t="shared" si="0"/>
        <v>0.39770498870888554</v>
      </c>
      <c r="AC22" t="s">
        <v>458</v>
      </c>
      <c r="AD22">
        <v>324.19</v>
      </c>
      <c r="AE22">
        <f t="shared" si="4"/>
        <v>0.36810203258314428</v>
      </c>
      <c r="AJ22" t="s">
        <v>459</v>
      </c>
      <c r="AK22">
        <v>258.33999999999997</v>
      </c>
      <c r="AL22">
        <f t="shared" si="5"/>
        <v>0.31332837842558126</v>
      </c>
      <c r="AQ22" t="s">
        <v>496</v>
      </c>
      <c r="AR22">
        <v>238.99</v>
      </c>
      <c r="AS22">
        <f t="shared" si="6"/>
        <v>0.29941436359570356</v>
      </c>
      <c r="AX22" t="s">
        <v>223</v>
      </c>
      <c r="AY22">
        <v>249.59033860703747</v>
      </c>
      <c r="AZ22">
        <f t="shared" si="7"/>
        <v>0.31439600012223307</v>
      </c>
      <c r="BE22" t="s">
        <v>496</v>
      </c>
      <c r="BF22">
        <v>218.64</v>
      </c>
      <c r="BG22">
        <f t="shared" si="8"/>
        <v>0.28330997900572502</v>
      </c>
      <c r="BL22" t="s">
        <v>242</v>
      </c>
      <c r="BM22">
        <v>218.73713861469898</v>
      </c>
      <c r="BN22">
        <f t="shared" si="9"/>
        <v>0.28982988882293126</v>
      </c>
      <c r="BS22" t="s">
        <v>28</v>
      </c>
      <c r="BT22">
        <v>225.4</v>
      </c>
      <c r="BU22">
        <f t="shared" si="10"/>
        <v>0.30353088292070507</v>
      </c>
      <c r="BZ22" t="s">
        <v>325</v>
      </c>
      <c r="CA22">
        <v>205.63078931128814</v>
      </c>
      <c r="CB22">
        <f t="shared" si="11"/>
        <v>0.28471471428087158</v>
      </c>
      <c r="CG22" t="s">
        <v>496</v>
      </c>
      <c r="CH22">
        <v>132.87</v>
      </c>
      <c r="CI22">
        <f t="shared" si="12"/>
        <v>0.18956531333982113</v>
      </c>
      <c r="CN22" t="s">
        <v>242</v>
      </c>
      <c r="CO22">
        <v>152.36262888115434</v>
      </c>
      <c r="CP22">
        <f t="shared" si="13"/>
        <v>0.23150838035112198</v>
      </c>
      <c r="CU22" t="s">
        <v>291</v>
      </c>
      <c r="CV22">
        <v>188.79999999999998</v>
      </c>
      <c r="CW22">
        <f t="shared" si="14"/>
        <v>0.35749677651708195</v>
      </c>
      <c r="DB22" t="s">
        <v>311</v>
      </c>
      <c r="DC22">
        <v>248.5</v>
      </c>
      <c r="DD22">
        <f t="shared" si="15"/>
        <v>0.54754165365291263</v>
      </c>
      <c r="DI22" t="s">
        <v>308</v>
      </c>
      <c r="DJ22">
        <v>239.2</v>
      </c>
      <c r="DK22">
        <f t="shared" si="16"/>
        <v>0.721249928538364</v>
      </c>
      <c r="DP22" t="s">
        <v>314</v>
      </c>
      <c r="DQ22">
        <v>192.38399999999999</v>
      </c>
      <c r="DR22">
        <f t="shared" si="17"/>
        <v>0.73495436848855622</v>
      </c>
      <c r="DW22" t="s">
        <v>302</v>
      </c>
      <c r="DX22">
        <v>141.6</v>
      </c>
      <c r="DY22">
        <f t="shared" si="18"/>
        <v>0.60306941891195021</v>
      </c>
      <c r="ED22" t="s">
        <v>302</v>
      </c>
      <c r="EE22">
        <v>84.8</v>
      </c>
      <c r="EF22">
        <f t="shared" si="19"/>
        <v>0.43516607872205687</v>
      </c>
    </row>
    <row r="23" spans="1:136" x14ac:dyDescent="0.2">
      <c r="A23" t="s">
        <v>450</v>
      </c>
      <c r="B23">
        <v>460.35490677999996</v>
      </c>
      <c r="C23">
        <f t="shared" si="1"/>
        <v>0.44110913861842277</v>
      </c>
      <c r="H23" t="s">
        <v>31</v>
      </c>
      <c r="I23">
        <v>376.1</v>
      </c>
      <c r="J23">
        <f t="shared" si="2"/>
        <v>0.38514217542350537</v>
      </c>
      <c r="O23" t="s">
        <v>450</v>
      </c>
      <c r="P23">
        <v>324.73</v>
      </c>
      <c r="Q23">
        <f t="shared" si="3"/>
        <v>0.35656059191276263</v>
      </c>
      <c r="V23" t="s">
        <v>458</v>
      </c>
      <c r="W23">
        <v>290.10000000000002</v>
      </c>
      <c r="X23">
        <f t="shared" si="0"/>
        <v>0.31631039677710132</v>
      </c>
      <c r="AC23" t="s">
        <v>319</v>
      </c>
      <c r="AD23">
        <v>275.52999999999997</v>
      </c>
      <c r="AE23">
        <f t="shared" si="4"/>
        <v>0.31285096097237342</v>
      </c>
      <c r="AJ23" t="s">
        <v>319</v>
      </c>
      <c r="AK23">
        <v>234.1</v>
      </c>
      <c r="AL23">
        <f t="shared" si="5"/>
        <v>0.28392882786029483</v>
      </c>
      <c r="AQ23" t="s">
        <v>223</v>
      </c>
      <c r="AR23">
        <v>238.00815101070157</v>
      </c>
      <c r="AS23">
        <f t="shared" si="6"/>
        <v>0.29818427158232275</v>
      </c>
      <c r="AX23" t="s">
        <v>497</v>
      </c>
      <c r="AY23">
        <v>233.55</v>
      </c>
      <c r="AZ23">
        <f t="shared" si="7"/>
        <v>0.29419081779504896</v>
      </c>
      <c r="BE23" t="s">
        <v>37</v>
      </c>
      <c r="BF23">
        <v>215.11</v>
      </c>
      <c r="BG23">
        <f t="shared" si="8"/>
        <v>0.27873586527589428</v>
      </c>
      <c r="BL23" t="s">
        <v>40</v>
      </c>
      <c r="BM23">
        <v>210.05</v>
      </c>
      <c r="BN23">
        <f t="shared" si="9"/>
        <v>0.27831930385856163</v>
      </c>
      <c r="BS23" t="s">
        <v>322</v>
      </c>
      <c r="BT23">
        <v>170.60000000000002</v>
      </c>
      <c r="BU23">
        <f t="shared" si="10"/>
        <v>0.22973544199765875</v>
      </c>
      <c r="BZ23" t="s">
        <v>28</v>
      </c>
      <c r="CA23">
        <v>181.4</v>
      </c>
      <c r="CB23">
        <f t="shared" si="11"/>
        <v>0.25116496096489438</v>
      </c>
      <c r="CG23" t="s">
        <v>242</v>
      </c>
      <c r="CH23">
        <v>129.63187650336994</v>
      </c>
      <c r="CI23">
        <f t="shared" si="12"/>
        <v>0.18494549024001142</v>
      </c>
      <c r="CN23" t="s">
        <v>274</v>
      </c>
      <c r="CO23">
        <v>121.1</v>
      </c>
      <c r="CP23">
        <f t="shared" si="13"/>
        <v>0.18400617701594796</v>
      </c>
      <c r="CU23" t="s">
        <v>325</v>
      </c>
      <c r="CV23">
        <v>179.02953446809079</v>
      </c>
      <c r="CW23">
        <f t="shared" si="14"/>
        <v>0.33899619424627264</v>
      </c>
      <c r="DB23" t="s">
        <v>310</v>
      </c>
      <c r="DC23">
        <v>179</v>
      </c>
      <c r="DD23">
        <f t="shared" si="15"/>
        <v>0.39440626158499542</v>
      </c>
      <c r="DI23" t="s">
        <v>32</v>
      </c>
      <c r="DJ23">
        <v>223.002014</v>
      </c>
      <c r="DK23">
        <f t="shared" si="16"/>
        <v>0.67240880711292339</v>
      </c>
      <c r="DP23" t="s">
        <v>32</v>
      </c>
      <c r="DQ23">
        <v>175.9</v>
      </c>
      <c r="DR23">
        <f t="shared" si="17"/>
        <v>0.67198141954183843</v>
      </c>
      <c r="DW23" t="s">
        <v>313</v>
      </c>
      <c r="DX23">
        <v>106.5</v>
      </c>
      <c r="DY23">
        <f t="shared" si="18"/>
        <v>0.45357975363080999</v>
      </c>
      <c r="ED23" t="s">
        <v>313</v>
      </c>
      <c r="EE23">
        <v>82.3</v>
      </c>
      <c r="EF23">
        <f t="shared" si="19"/>
        <v>0.42233689008048675</v>
      </c>
    </row>
    <row r="24" spans="1:136" x14ac:dyDescent="0.2">
      <c r="A24" t="s">
        <v>458</v>
      </c>
      <c r="B24">
        <v>346.33</v>
      </c>
      <c r="C24">
        <f t="shared" si="1"/>
        <v>0.33185119942845664</v>
      </c>
      <c r="H24" t="s">
        <v>498</v>
      </c>
      <c r="I24">
        <v>319.92999999999995</v>
      </c>
      <c r="J24">
        <f t="shared" si="2"/>
        <v>0.32762173938644518</v>
      </c>
      <c r="O24" t="s">
        <v>511</v>
      </c>
      <c r="P24">
        <v>306.27</v>
      </c>
      <c r="Q24">
        <f t="shared" si="3"/>
        <v>0.33629111103107751</v>
      </c>
      <c r="V24" t="s">
        <v>511</v>
      </c>
      <c r="W24">
        <v>269.53999999999996</v>
      </c>
      <c r="X24">
        <f t="shared" si="0"/>
        <v>0.29389281057325017</v>
      </c>
      <c r="AC24" t="s">
        <v>500</v>
      </c>
      <c r="AD24">
        <v>256.14999999999998</v>
      </c>
      <c r="AE24">
        <f t="shared" si="4"/>
        <v>0.29084591025686291</v>
      </c>
      <c r="AJ24" t="s">
        <v>223</v>
      </c>
      <c r="AK24">
        <v>227.4529916026635</v>
      </c>
      <c r="AL24">
        <f t="shared" si="5"/>
        <v>0.27586698547228422</v>
      </c>
      <c r="AQ24" t="s">
        <v>459</v>
      </c>
      <c r="AR24">
        <v>211.61</v>
      </c>
      <c r="AS24">
        <f t="shared" si="6"/>
        <v>0.26511181840448067</v>
      </c>
      <c r="AX24" t="s">
        <v>312</v>
      </c>
      <c r="AY24">
        <v>198.959</v>
      </c>
      <c r="AZ24">
        <f t="shared" si="7"/>
        <v>0.25061832976957887</v>
      </c>
      <c r="BE24" t="s">
        <v>497</v>
      </c>
      <c r="BF24">
        <v>209.08</v>
      </c>
      <c r="BG24">
        <f t="shared" si="8"/>
        <v>0.27092229423031922</v>
      </c>
      <c r="BL24" t="s">
        <v>497</v>
      </c>
      <c r="BM24">
        <v>188.13</v>
      </c>
      <c r="BN24">
        <f t="shared" si="9"/>
        <v>0.24927498516977478</v>
      </c>
      <c r="BS24" t="s">
        <v>497</v>
      </c>
      <c r="BT24">
        <v>169.96</v>
      </c>
      <c r="BU24">
        <f t="shared" si="10"/>
        <v>0.22887359743213412</v>
      </c>
      <c r="BZ24" t="s">
        <v>242</v>
      </c>
      <c r="CA24">
        <v>175.74105450336992</v>
      </c>
      <c r="CB24">
        <f t="shared" si="11"/>
        <v>0.24332963117016693</v>
      </c>
      <c r="CG24" t="s">
        <v>274</v>
      </c>
      <c r="CH24">
        <v>110</v>
      </c>
      <c r="CI24">
        <f t="shared" si="12"/>
        <v>0.15693673867223845</v>
      </c>
      <c r="CN24" t="s">
        <v>334</v>
      </c>
      <c r="CO24">
        <v>113.3</v>
      </c>
      <c r="CP24">
        <f t="shared" si="13"/>
        <v>0.17215441664663012</v>
      </c>
      <c r="CU24" t="s">
        <v>331</v>
      </c>
      <c r="CV24">
        <v>162.9</v>
      </c>
      <c r="CW24">
        <f t="shared" si="14"/>
        <v>0.30845458100970685</v>
      </c>
      <c r="DB24" t="s">
        <v>322</v>
      </c>
      <c r="DC24">
        <v>179</v>
      </c>
      <c r="DD24">
        <f t="shared" si="15"/>
        <v>0.39440626158499542</v>
      </c>
      <c r="DI24" t="s">
        <v>314</v>
      </c>
      <c r="DJ24">
        <v>216.19199999999998</v>
      </c>
      <c r="DK24">
        <f t="shared" si="16"/>
        <v>0.65187485180002502</v>
      </c>
      <c r="DP24" t="s">
        <v>209</v>
      </c>
      <c r="DQ24">
        <v>170.29999999999998</v>
      </c>
      <c r="DR24">
        <f t="shared" si="17"/>
        <v>0.6505880372255548</v>
      </c>
      <c r="DW24" t="s">
        <v>332</v>
      </c>
      <c r="DX24">
        <v>104.2</v>
      </c>
      <c r="DY24">
        <f t="shared" si="18"/>
        <v>0.44378413453831367</v>
      </c>
      <c r="ED24" t="s">
        <v>331</v>
      </c>
      <c r="EE24">
        <v>80</v>
      </c>
      <c r="EF24">
        <f t="shared" si="19"/>
        <v>0.41053403653024229</v>
      </c>
    </row>
    <row r="25" spans="1:136" x14ac:dyDescent="0.2">
      <c r="A25" t="s">
        <v>340</v>
      </c>
      <c r="B25">
        <v>339.48032419999998</v>
      </c>
      <c r="C25">
        <f t="shared" si="1"/>
        <v>0.32528788371822054</v>
      </c>
      <c r="H25" t="s">
        <v>460</v>
      </c>
      <c r="I25">
        <v>313.58</v>
      </c>
      <c r="J25">
        <f t="shared" si="2"/>
        <v>0.32111907303723158</v>
      </c>
      <c r="O25" t="s">
        <v>460</v>
      </c>
      <c r="P25">
        <v>286.10000000000002</v>
      </c>
      <c r="Q25">
        <f t="shared" si="3"/>
        <v>0.3141440130146318</v>
      </c>
      <c r="V25" t="s">
        <v>450</v>
      </c>
      <c r="W25">
        <v>263.48</v>
      </c>
      <c r="X25">
        <f t="shared" si="0"/>
        <v>0.28728529246063655</v>
      </c>
      <c r="AC25" t="s">
        <v>511</v>
      </c>
      <c r="AD25">
        <v>239.53</v>
      </c>
      <c r="AE25">
        <f t="shared" si="4"/>
        <v>0.27197470577328281</v>
      </c>
      <c r="AJ25" t="s">
        <v>34</v>
      </c>
      <c r="AK25">
        <v>215.95000000000002</v>
      </c>
      <c r="AL25">
        <f t="shared" si="5"/>
        <v>0.2619155505187129</v>
      </c>
      <c r="AQ25" t="s">
        <v>457</v>
      </c>
      <c r="AR25">
        <v>181.66</v>
      </c>
      <c r="AS25">
        <f t="shared" si="6"/>
        <v>0.22758949450100632</v>
      </c>
      <c r="AX25" t="s">
        <v>511</v>
      </c>
      <c r="AY25">
        <v>163.66</v>
      </c>
      <c r="AZ25">
        <f t="shared" si="7"/>
        <v>0.20615401087706151</v>
      </c>
      <c r="BE25" t="s">
        <v>242</v>
      </c>
      <c r="BF25">
        <v>172.32900000000001</v>
      </c>
      <c r="BG25">
        <f t="shared" si="8"/>
        <v>0.2233009759059531</v>
      </c>
      <c r="BL25" t="s">
        <v>325</v>
      </c>
      <c r="BM25">
        <v>155.18881151578341</v>
      </c>
      <c r="BN25">
        <f t="shared" si="9"/>
        <v>0.20562743150540522</v>
      </c>
      <c r="BS25" t="s">
        <v>320</v>
      </c>
      <c r="BT25">
        <v>165.6</v>
      </c>
      <c r="BU25">
        <f t="shared" si="10"/>
        <v>0.22300228132949756</v>
      </c>
      <c r="BZ25" t="s">
        <v>497</v>
      </c>
      <c r="CA25">
        <v>145.81</v>
      </c>
      <c r="CB25">
        <f t="shared" si="11"/>
        <v>0.20188733714603777</v>
      </c>
      <c r="CG25" t="s">
        <v>333</v>
      </c>
      <c r="CH25">
        <v>106.82637747665939</v>
      </c>
      <c r="CI25">
        <f t="shared" si="12"/>
        <v>0.1524089389577854</v>
      </c>
      <c r="CN25" t="s">
        <v>337</v>
      </c>
      <c r="CO25">
        <v>106.79441863848888</v>
      </c>
      <c r="CP25">
        <f t="shared" si="13"/>
        <v>0.16226946903640824</v>
      </c>
      <c r="CU25" t="s">
        <v>19</v>
      </c>
      <c r="CV25">
        <v>129.9</v>
      </c>
      <c r="CW25">
        <f t="shared" si="14"/>
        <v>0.24596838596169993</v>
      </c>
      <c r="DB25" t="s">
        <v>335</v>
      </c>
      <c r="DC25">
        <v>172.70000000000002</v>
      </c>
      <c r="DD25">
        <f t="shared" si="15"/>
        <v>0.38052492388675263</v>
      </c>
      <c r="DI25" t="s">
        <v>323</v>
      </c>
      <c r="DJ25">
        <v>206.6</v>
      </c>
      <c r="DK25">
        <f t="shared" si="16"/>
        <v>0.62295248844492479</v>
      </c>
      <c r="DP25" t="s">
        <v>312</v>
      </c>
      <c r="DQ25">
        <v>161.82000000000002</v>
      </c>
      <c r="DR25">
        <f t="shared" si="17"/>
        <v>0.61819234400375389</v>
      </c>
      <c r="DW25" t="s">
        <v>327</v>
      </c>
      <c r="DX25">
        <v>102.5</v>
      </c>
      <c r="DY25">
        <f t="shared" si="18"/>
        <v>0.43654389433951202</v>
      </c>
      <c r="ED25" t="s">
        <v>332</v>
      </c>
      <c r="EE25">
        <v>74.3</v>
      </c>
      <c r="EF25">
        <f t="shared" si="19"/>
        <v>0.38128348642746251</v>
      </c>
    </row>
    <row r="26" spans="1:136" x14ac:dyDescent="0.2">
      <c r="A26" t="s">
        <v>216</v>
      </c>
      <c r="B26">
        <v>330.93094084000001</v>
      </c>
      <c r="C26">
        <f t="shared" si="1"/>
        <v>0.3170959190533354</v>
      </c>
      <c r="H26" t="s">
        <v>216</v>
      </c>
      <c r="I26">
        <v>311.39999999999998</v>
      </c>
      <c r="J26">
        <f t="shared" si="2"/>
        <v>0.31888666159765905</v>
      </c>
      <c r="O26" t="s">
        <v>321</v>
      </c>
      <c r="P26">
        <v>262.99</v>
      </c>
      <c r="Q26">
        <f t="shared" si="3"/>
        <v>0.28876873115245727</v>
      </c>
      <c r="V26" t="s">
        <v>321</v>
      </c>
      <c r="W26">
        <v>239.08</v>
      </c>
      <c r="X26">
        <f t="shared" si="0"/>
        <v>0.26068076408641633</v>
      </c>
      <c r="AC26" t="s">
        <v>321</v>
      </c>
      <c r="AD26">
        <v>213.96</v>
      </c>
      <c r="AE26">
        <f t="shared" si="4"/>
        <v>0.24294121006659536</v>
      </c>
      <c r="AJ26" t="s">
        <v>511</v>
      </c>
      <c r="AK26">
        <v>204.79999999999998</v>
      </c>
      <c r="AL26">
        <f t="shared" si="5"/>
        <v>0.24839224239977953</v>
      </c>
      <c r="AQ26" t="s">
        <v>319</v>
      </c>
      <c r="AR26">
        <v>179.3</v>
      </c>
      <c r="AS26">
        <f t="shared" si="6"/>
        <v>0.2246328105473436</v>
      </c>
      <c r="AX26" t="s">
        <v>457</v>
      </c>
      <c r="AY26">
        <v>163.4</v>
      </c>
      <c r="AZ26">
        <f t="shared" si="7"/>
        <v>0.20582650236656391</v>
      </c>
      <c r="BE26" t="s">
        <v>511</v>
      </c>
      <c r="BF26">
        <v>151.63</v>
      </c>
      <c r="BG26">
        <f t="shared" si="8"/>
        <v>0.19647956511451739</v>
      </c>
      <c r="BL26" t="s">
        <v>511</v>
      </c>
      <c r="BM26">
        <v>144.63</v>
      </c>
      <c r="BN26">
        <f t="shared" si="9"/>
        <v>0.19163685273536665</v>
      </c>
      <c r="BS26" t="s">
        <v>325</v>
      </c>
      <c r="BT26">
        <v>164.59734669543909</v>
      </c>
      <c r="BU26">
        <f t="shared" si="10"/>
        <v>0.2216520761706833</v>
      </c>
      <c r="BZ26" t="s">
        <v>457</v>
      </c>
      <c r="CA26">
        <v>129.63</v>
      </c>
      <c r="CB26">
        <f t="shared" si="11"/>
        <v>0.17948464106879414</v>
      </c>
      <c r="CG26" t="s">
        <v>520</v>
      </c>
      <c r="CH26">
        <v>105.5</v>
      </c>
      <c r="CI26">
        <f t="shared" si="12"/>
        <v>0.15051659936291961</v>
      </c>
      <c r="CN26" t="s">
        <v>333</v>
      </c>
      <c r="CO26">
        <v>102.26769996514631</v>
      </c>
      <c r="CP26">
        <f t="shared" si="13"/>
        <v>0.15539131711643739</v>
      </c>
      <c r="CU26" t="s">
        <v>274</v>
      </c>
      <c r="CV26">
        <v>126.25024381807093</v>
      </c>
      <c r="CW26">
        <f t="shared" si="14"/>
        <v>0.23905749575983057</v>
      </c>
      <c r="DB26" t="s">
        <v>325</v>
      </c>
      <c r="DC26">
        <v>154.21114085297975</v>
      </c>
      <c r="DD26">
        <f t="shared" si="15"/>
        <v>0.33978681317642967</v>
      </c>
      <c r="DI26" t="s">
        <v>338</v>
      </c>
      <c r="DJ26">
        <v>203.6</v>
      </c>
      <c r="DK26">
        <f t="shared" si="16"/>
        <v>0.61390671174920952</v>
      </c>
      <c r="DP26" t="s">
        <v>332</v>
      </c>
      <c r="DQ26">
        <v>154.30000000000001</v>
      </c>
      <c r="DR26">
        <f t="shared" si="17"/>
        <v>0.58946408775045867</v>
      </c>
      <c r="DW26" t="s">
        <v>325</v>
      </c>
      <c r="DX26">
        <v>82.502852017926443</v>
      </c>
      <c r="DY26">
        <f t="shared" si="18"/>
        <v>0.35137674452704459</v>
      </c>
      <c r="ED26" t="s">
        <v>325</v>
      </c>
      <c r="EE26">
        <v>70.542604772483742</v>
      </c>
      <c r="EF26">
        <f t="shared" si="19"/>
        <v>0.36200175355756609</v>
      </c>
    </row>
    <row r="27" spans="1:136" x14ac:dyDescent="0.2">
      <c r="A27" t="s">
        <v>498</v>
      </c>
      <c r="B27">
        <v>329.68</v>
      </c>
      <c r="C27">
        <f t="shared" si="1"/>
        <v>0.31589727551056396</v>
      </c>
      <c r="H27" t="s">
        <v>499</v>
      </c>
      <c r="I27">
        <v>310.35000000000002</v>
      </c>
      <c r="J27">
        <f t="shared" si="2"/>
        <v>0.31781141755566311</v>
      </c>
      <c r="O27" t="s">
        <v>31</v>
      </c>
      <c r="P27">
        <v>243.57</v>
      </c>
      <c r="Q27">
        <f t="shared" si="3"/>
        <v>0.2674451494231872</v>
      </c>
      <c r="V27" t="s">
        <v>460</v>
      </c>
      <c r="W27">
        <v>219.92</v>
      </c>
      <c r="X27">
        <f t="shared" si="0"/>
        <v>0.23978966721551229</v>
      </c>
      <c r="AC27" t="s">
        <v>223</v>
      </c>
      <c r="AD27">
        <v>213.20386036712247</v>
      </c>
      <c r="AE27">
        <f t="shared" si="4"/>
        <v>0.24208265016104957</v>
      </c>
      <c r="AJ27" t="s">
        <v>321</v>
      </c>
      <c r="AK27">
        <v>195.01</v>
      </c>
      <c r="AL27">
        <f t="shared" si="5"/>
        <v>0.23651841401553225</v>
      </c>
      <c r="AQ27" t="s">
        <v>312</v>
      </c>
      <c r="AR27">
        <v>179.10000000000002</v>
      </c>
      <c r="AS27">
        <f t="shared" si="6"/>
        <v>0.22438224411059254</v>
      </c>
      <c r="AX27" t="s">
        <v>177</v>
      </c>
      <c r="AY27">
        <v>155.51000000000002</v>
      </c>
      <c r="AZ27">
        <f t="shared" si="7"/>
        <v>0.19588787872107929</v>
      </c>
      <c r="BE27" t="s">
        <v>322</v>
      </c>
      <c r="BF27">
        <v>151</v>
      </c>
      <c r="BG27">
        <f t="shared" si="8"/>
        <v>0.19566322187094987</v>
      </c>
      <c r="BL27" t="s">
        <v>37</v>
      </c>
      <c r="BM27">
        <v>136.87</v>
      </c>
      <c r="BN27">
        <f t="shared" si="9"/>
        <v>0.18135473991488371</v>
      </c>
      <c r="BS27" t="s">
        <v>307</v>
      </c>
      <c r="BT27">
        <v>134.05000000000001</v>
      </c>
      <c r="BU27">
        <f t="shared" si="10"/>
        <v>0.18051603751340067</v>
      </c>
      <c r="BZ27" t="s">
        <v>460</v>
      </c>
      <c r="CA27">
        <v>116.51</v>
      </c>
      <c r="CB27">
        <f t="shared" si="11"/>
        <v>0.16131879604200575</v>
      </c>
      <c r="CG27" t="s">
        <v>337</v>
      </c>
      <c r="CH27">
        <v>100.58345100000001</v>
      </c>
      <c r="CI27">
        <f t="shared" si="12"/>
        <v>0.14350217058489914</v>
      </c>
      <c r="CN27" t="s">
        <v>339</v>
      </c>
      <c r="CO27">
        <v>97.7</v>
      </c>
      <c r="CP27">
        <f t="shared" si="13"/>
        <v>0.14845089590799435</v>
      </c>
      <c r="CU27" t="s">
        <v>334</v>
      </c>
      <c r="CV27">
        <v>120.8</v>
      </c>
      <c r="CW27">
        <f t="shared" si="14"/>
        <v>0.2287373442969465</v>
      </c>
      <c r="DB27" t="s">
        <v>223</v>
      </c>
      <c r="DC27">
        <v>142.69999999999999</v>
      </c>
      <c r="DD27">
        <f t="shared" si="15"/>
        <v>0.31442331579988175</v>
      </c>
      <c r="DI27" t="s">
        <v>332</v>
      </c>
      <c r="DJ27">
        <v>195.7</v>
      </c>
      <c r="DK27">
        <f t="shared" si="16"/>
        <v>0.59008616645049261</v>
      </c>
      <c r="DP27" t="s">
        <v>325</v>
      </c>
      <c r="DQ27">
        <v>96.494563763656672</v>
      </c>
      <c r="DR27">
        <f t="shared" si="17"/>
        <v>0.36863305250694972</v>
      </c>
      <c r="DW27" t="s">
        <v>331</v>
      </c>
      <c r="DX27">
        <v>82</v>
      </c>
      <c r="DY27">
        <f t="shared" si="18"/>
        <v>0.34923511547160957</v>
      </c>
      <c r="ED27" t="s">
        <v>335</v>
      </c>
      <c r="EE27">
        <v>57.8</v>
      </c>
      <c r="EF27">
        <f t="shared" si="19"/>
        <v>0.29661084139310007</v>
      </c>
    </row>
    <row r="28" spans="1:136" x14ac:dyDescent="0.2">
      <c r="A28" t="s">
        <v>499</v>
      </c>
      <c r="B28">
        <v>319.13</v>
      </c>
      <c r="C28">
        <f t="shared" si="1"/>
        <v>0.30578833272775496</v>
      </c>
      <c r="H28" t="s">
        <v>321</v>
      </c>
      <c r="I28">
        <v>263.10000000000002</v>
      </c>
      <c r="J28">
        <f t="shared" si="2"/>
        <v>0.26942543566584487</v>
      </c>
      <c r="O28" t="s">
        <v>499</v>
      </c>
      <c r="P28">
        <v>232.07</v>
      </c>
      <c r="Q28">
        <f t="shared" si="3"/>
        <v>0.25481789968649282</v>
      </c>
      <c r="V28" t="s">
        <v>452</v>
      </c>
      <c r="W28">
        <v>208.01</v>
      </c>
      <c r="X28">
        <f t="shared" si="0"/>
        <v>0.22680360439022695</v>
      </c>
      <c r="AC28" t="s">
        <v>460</v>
      </c>
      <c r="AD28">
        <v>212.32</v>
      </c>
      <c r="AE28">
        <f t="shared" si="4"/>
        <v>0.24107906955197012</v>
      </c>
      <c r="AJ28" t="s">
        <v>457</v>
      </c>
      <c r="AK28">
        <v>175.7</v>
      </c>
      <c r="AL28">
        <f t="shared" si="5"/>
        <v>0.21309822748848273</v>
      </c>
      <c r="AQ28" t="s">
        <v>511</v>
      </c>
      <c r="AR28">
        <v>177.59</v>
      </c>
      <c r="AS28">
        <f t="shared" si="6"/>
        <v>0.2224904675131219</v>
      </c>
      <c r="AX28" t="s">
        <v>458</v>
      </c>
      <c r="AY28">
        <v>152.82</v>
      </c>
      <c r="AZ28">
        <f t="shared" si="7"/>
        <v>0.19249942528554648</v>
      </c>
      <c r="BE28" t="s">
        <v>457</v>
      </c>
      <c r="BF28">
        <v>141.63</v>
      </c>
      <c r="BG28">
        <f t="shared" si="8"/>
        <v>0.18352173585154058</v>
      </c>
      <c r="BL28" t="s">
        <v>458</v>
      </c>
      <c r="BM28">
        <v>125.41</v>
      </c>
      <c r="BN28">
        <f t="shared" si="9"/>
        <v>0.16617007330112932</v>
      </c>
      <c r="BS28" t="s">
        <v>458</v>
      </c>
      <c r="BT28">
        <v>119.01</v>
      </c>
      <c r="BU28">
        <f t="shared" si="10"/>
        <v>0.1602626902235719</v>
      </c>
      <c r="BZ28" t="s">
        <v>520</v>
      </c>
      <c r="CA28">
        <v>113.6</v>
      </c>
      <c r="CB28">
        <f t="shared" si="11"/>
        <v>0.15728963376853364</v>
      </c>
      <c r="CG28" t="s">
        <v>334</v>
      </c>
      <c r="CH28">
        <v>91.9</v>
      </c>
      <c r="CI28">
        <f t="shared" si="12"/>
        <v>0.13111351167253377</v>
      </c>
      <c r="CN28" t="s">
        <v>520</v>
      </c>
      <c r="CO28">
        <v>95.8</v>
      </c>
      <c r="CP28">
        <f t="shared" si="13"/>
        <v>0.14556392863854511</v>
      </c>
      <c r="CU28" t="s">
        <v>154</v>
      </c>
      <c r="CV28">
        <v>120</v>
      </c>
      <c r="CW28">
        <f t="shared" si="14"/>
        <v>0.22722252744729787</v>
      </c>
      <c r="DB28" t="s">
        <v>323</v>
      </c>
      <c r="DC28">
        <v>125.3</v>
      </c>
      <c r="DD28">
        <f t="shared" si="15"/>
        <v>0.27608438310949679</v>
      </c>
      <c r="DI28" t="s">
        <v>312</v>
      </c>
      <c r="DJ28">
        <v>188.67000000000002</v>
      </c>
      <c r="DK28">
        <f t="shared" si="16"/>
        <v>0.56888889639353335</v>
      </c>
      <c r="DP28" t="s">
        <v>338</v>
      </c>
      <c r="DQ28">
        <v>95.1</v>
      </c>
      <c r="DR28">
        <f t="shared" si="17"/>
        <v>0.36330547469260283</v>
      </c>
      <c r="DW28" t="s">
        <v>304</v>
      </c>
      <c r="DX28">
        <v>78.004800000000003</v>
      </c>
      <c r="DY28">
        <f t="shared" si="18"/>
        <v>0.33221969921146111</v>
      </c>
      <c r="ED28" t="s">
        <v>343</v>
      </c>
      <c r="EE28">
        <v>56.745600000000003</v>
      </c>
      <c r="EF28">
        <f t="shared" si="19"/>
        <v>0.2912000027916315</v>
      </c>
    </row>
    <row r="29" spans="1:136" x14ac:dyDescent="0.2">
      <c r="A29" t="s">
        <v>500</v>
      </c>
      <c r="B29">
        <v>288.02999999999997</v>
      </c>
      <c r="C29">
        <f t="shared" si="1"/>
        <v>0.27598851087511439</v>
      </c>
      <c r="H29" t="s">
        <v>497</v>
      </c>
      <c r="I29">
        <v>258.37</v>
      </c>
      <c r="J29">
        <f t="shared" si="2"/>
        <v>0.2645817172671393</v>
      </c>
      <c r="O29" t="s">
        <v>500</v>
      </c>
      <c r="P29">
        <v>226.48</v>
      </c>
      <c r="Q29">
        <f t="shared" si="3"/>
        <v>0.24867995829274311</v>
      </c>
      <c r="V29" t="s">
        <v>457</v>
      </c>
      <c r="W29">
        <v>197.29</v>
      </c>
      <c r="X29">
        <f t="shared" si="0"/>
        <v>0.2151150574979466</v>
      </c>
      <c r="AC29" t="s">
        <v>450</v>
      </c>
      <c r="AD29">
        <v>207.63</v>
      </c>
      <c r="AE29">
        <f t="shared" si="4"/>
        <v>0.23575380186075529</v>
      </c>
      <c r="AJ29" t="s">
        <v>328</v>
      </c>
      <c r="AK29">
        <v>174.36930000000001</v>
      </c>
      <c r="AL29">
        <f t="shared" si="5"/>
        <v>0.21148428433925723</v>
      </c>
      <c r="AQ29" t="s">
        <v>520</v>
      </c>
      <c r="AR29">
        <v>156</v>
      </c>
      <c r="AS29">
        <f t="shared" si="6"/>
        <v>0.19544182066584273</v>
      </c>
      <c r="AX29" t="s">
        <v>520</v>
      </c>
      <c r="AY29">
        <v>152.5</v>
      </c>
      <c r="AZ29">
        <f t="shared" si="7"/>
        <v>0.192096337888011</v>
      </c>
      <c r="BE29" t="s">
        <v>520</v>
      </c>
      <c r="BF29">
        <v>135.69999999999999</v>
      </c>
      <c r="BG29">
        <f t="shared" si="8"/>
        <v>0.17583774309859532</v>
      </c>
      <c r="BL29" t="s">
        <v>520</v>
      </c>
      <c r="BM29">
        <v>122</v>
      </c>
      <c r="BN29">
        <f t="shared" si="9"/>
        <v>0.16165177372408718</v>
      </c>
      <c r="BS29" t="s">
        <v>520</v>
      </c>
      <c r="BT29">
        <v>117.1</v>
      </c>
      <c r="BU29">
        <f t="shared" si="10"/>
        <v>0.15769062284833432</v>
      </c>
      <c r="BZ29" t="s">
        <v>511</v>
      </c>
      <c r="CA29">
        <v>111.84</v>
      </c>
      <c r="CB29">
        <f t="shared" si="11"/>
        <v>0.15485275211859861</v>
      </c>
      <c r="CG29" t="s">
        <v>342</v>
      </c>
      <c r="CH29">
        <v>68.42</v>
      </c>
      <c r="CI29">
        <f t="shared" si="12"/>
        <v>9.7614651454132312E-2</v>
      </c>
      <c r="CN29" t="s">
        <v>496</v>
      </c>
      <c r="CO29">
        <v>82.56</v>
      </c>
      <c r="CP29">
        <f t="shared" si="13"/>
        <v>0.12544632513985685</v>
      </c>
      <c r="CU29" t="s">
        <v>337</v>
      </c>
      <c r="CV29">
        <v>93.669535735988106</v>
      </c>
      <c r="CW29">
        <f t="shared" si="14"/>
        <v>0.17736523878955171</v>
      </c>
      <c r="DB29" t="s">
        <v>291</v>
      </c>
      <c r="DC29">
        <v>116.7</v>
      </c>
      <c r="DD29">
        <f t="shared" si="15"/>
        <v>0.25713525545792715</v>
      </c>
      <c r="DI29" t="s">
        <v>311</v>
      </c>
      <c r="DJ29">
        <v>110.1</v>
      </c>
      <c r="DK29">
        <f t="shared" si="16"/>
        <v>0.33198000473275036</v>
      </c>
      <c r="DP29" t="s">
        <v>304</v>
      </c>
      <c r="DQ29">
        <v>91.02000000000001</v>
      </c>
      <c r="DR29">
        <f t="shared" si="17"/>
        <v>0.34771886757645337</v>
      </c>
      <c r="DW29" t="s">
        <v>335</v>
      </c>
      <c r="DX29">
        <v>66.8</v>
      </c>
      <c r="DY29">
        <f t="shared" si="18"/>
        <v>0.28449885016467708</v>
      </c>
      <c r="ED29" t="s">
        <v>344</v>
      </c>
      <c r="EE29">
        <v>48.7</v>
      </c>
      <c r="EF29">
        <f t="shared" si="19"/>
        <v>0.24991259473778502</v>
      </c>
    </row>
    <row r="30" spans="1:136" x14ac:dyDescent="0.2">
      <c r="A30" t="s">
        <v>457</v>
      </c>
      <c r="B30">
        <v>267.45</v>
      </c>
      <c r="C30">
        <f t="shared" si="1"/>
        <v>0.25626888599642172</v>
      </c>
      <c r="H30" t="s">
        <v>500</v>
      </c>
      <c r="I30">
        <v>250.23</v>
      </c>
      <c r="J30">
        <f t="shared" si="2"/>
        <v>0.25624601583680867</v>
      </c>
      <c r="O30" t="s">
        <v>457</v>
      </c>
      <c r="P30">
        <v>211.1</v>
      </c>
      <c r="Q30">
        <f t="shared" si="3"/>
        <v>0.23179238429705964</v>
      </c>
      <c r="V30" t="s">
        <v>223</v>
      </c>
      <c r="W30">
        <v>194.05340458993462</v>
      </c>
      <c r="X30">
        <f t="shared" si="0"/>
        <v>0.21158603723471073</v>
      </c>
      <c r="AC30" t="s">
        <v>457</v>
      </c>
      <c r="AD30">
        <v>171.3</v>
      </c>
      <c r="AE30">
        <f t="shared" si="4"/>
        <v>0.19450284765567297</v>
      </c>
      <c r="AJ30" t="s">
        <v>312</v>
      </c>
      <c r="AK30">
        <v>173.50872980000003</v>
      </c>
      <c r="AL30">
        <f t="shared" si="5"/>
        <v>0.21044053940898175</v>
      </c>
      <c r="AQ30" t="s">
        <v>177</v>
      </c>
      <c r="AR30">
        <v>140</v>
      </c>
      <c r="AS30">
        <f t="shared" si="6"/>
        <v>0.1753965057257563</v>
      </c>
      <c r="AX30" t="s">
        <v>319</v>
      </c>
      <c r="AY30">
        <v>150</v>
      </c>
      <c r="AZ30">
        <f t="shared" si="7"/>
        <v>0.1889472175947649</v>
      </c>
      <c r="BE30" t="s">
        <v>319</v>
      </c>
      <c r="BF30">
        <v>135</v>
      </c>
      <c r="BG30">
        <f t="shared" si="8"/>
        <v>0.17493069505018696</v>
      </c>
      <c r="BL30" t="s">
        <v>319</v>
      </c>
      <c r="BM30">
        <v>112.5</v>
      </c>
      <c r="BN30">
        <f t="shared" si="9"/>
        <v>0.14906413560622794</v>
      </c>
      <c r="BS30" t="s">
        <v>511</v>
      </c>
      <c r="BT30">
        <v>116.65</v>
      </c>
      <c r="BU30">
        <f t="shared" si="10"/>
        <v>0.15708463838819983</v>
      </c>
      <c r="BZ30" t="s">
        <v>274</v>
      </c>
      <c r="CA30">
        <v>111.3</v>
      </c>
      <c r="CB30">
        <f t="shared" si="11"/>
        <v>0.15410507252145944</v>
      </c>
      <c r="CG30" t="s">
        <v>319</v>
      </c>
      <c r="CH30">
        <v>67.5</v>
      </c>
      <c r="CI30">
        <f t="shared" si="12"/>
        <v>9.6302089639782693E-2</v>
      </c>
      <c r="CN30" t="s">
        <v>344</v>
      </c>
      <c r="CO30">
        <v>67.2</v>
      </c>
      <c r="CP30">
        <f t="shared" si="13"/>
        <v>0.10210747395104627</v>
      </c>
      <c r="CU30" t="s">
        <v>333</v>
      </c>
      <c r="CV30">
        <v>81.410712944632863</v>
      </c>
      <c r="CW30">
        <f t="shared" si="14"/>
        <v>0.1541528996380494</v>
      </c>
      <c r="DB30" t="s">
        <v>345</v>
      </c>
      <c r="DC30">
        <v>114</v>
      </c>
      <c r="DD30">
        <f t="shared" si="15"/>
        <v>0.25118611073010877</v>
      </c>
      <c r="DI30" t="s">
        <v>325</v>
      </c>
      <c r="DJ30">
        <v>101.06535888930357</v>
      </c>
      <c r="DK30">
        <f t="shared" si="16"/>
        <v>0.30473822272832074</v>
      </c>
      <c r="DP30" t="s">
        <v>311</v>
      </c>
      <c r="DQ30">
        <v>88.9</v>
      </c>
      <c r="DR30">
        <f t="shared" si="17"/>
        <v>0.33961994427100306</v>
      </c>
      <c r="DW30" t="s">
        <v>209</v>
      </c>
      <c r="DX30">
        <v>66.7</v>
      </c>
      <c r="DY30">
        <f t="shared" si="18"/>
        <v>0.2840729536823946</v>
      </c>
      <c r="ED30" t="s">
        <v>333</v>
      </c>
      <c r="EE30">
        <v>46.080049144761816</v>
      </c>
      <c r="EF30">
        <f t="shared" si="19"/>
        <v>0.23646785723638761</v>
      </c>
    </row>
    <row r="31" spans="1:136" x14ac:dyDescent="0.2">
      <c r="A31" t="s">
        <v>460</v>
      </c>
      <c r="B31">
        <v>265.88</v>
      </c>
      <c r="C31">
        <f t="shared" si="1"/>
        <v>0.25476452199935917</v>
      </c>
      <c r="H31" t="s">
        <v>457</v>
      </c>
      <c r="I31">
        <v>248.61</v>
      </c>
      <c r="J31">
        <f t="shared" si="2"/>
        <v>0.25458706788630059</v>
      </c>
      <c r="O31" t="s">
        <v>452</v>
      </c>
      <c r="P31">
        <v>180.69</v>
      </c>
      <c r="Q31">
        <f t="shared" si="3"/>
        <v>0.19840154390637477</v>
      </c>
      <c r="V31" t="s">
        <v>500</v>
      </c>
      <c r="W31">
        <v>191.46</v>
      </c>
      <c r="X31">
        <f t="shared" si="0"/>
        <v>0.20875831977574566</v>
      </c>
      <c r="AC31" t="s">
        <v>312</v>
      </c>
      <c r="AD31">
        <v>159.6036</v>
      </c>
      <c r="AE31">
        <f t="shared" si="4"/>
        <v>0.18122215234148842</v>
      </c>
      <c r="AJ31" t="s">
        <v>460</v>
      </c>
      <c r="AK31">
        <v>173.46</v>
      </c>
      <c r="AL31">
        <f t="shared" si="5"/>
        <v>0.21038143733723516</v>
      </c>
      <c r="AQ31" t="s">
        <v>322</v>
      </c>
      <c r="AR31">
        <v>137.4</v>
      </c>
      <c r="AS31">
        <f t="shared" si="6"/>
        <v>0.17213914204799227</v>
      </c>
      <c r="AX31" t="s">
        <v>242</v>
      </c>
      <c r="AY31">
        <v>146.017539704</v>
      </c>
      <c r="AZ31">
        <f t="shared" si="7"/>
        <v>0.18393071898069274</v>
      </c>
      <c r="BE31" t="s">
        <v>325</v>
      </c>
      <c r="BF31">
        <v>117.7</v>
      </c>
      <c r="BG31">
        <f t="shared" si="8"/>
        <v>0.1525136504252371</v>
      </c>
      <c r="BL31" t="s">
        <v>274</v>
      </c>
      <c r="BM31">
        <v>106.3</v>
      </c>
      <c r="BN31">
        <f t="shared" si="9"/>
        <v>0.14084904546615137</v>
      </c>
      <c r="BS31" t="s">
        <v>460</v>
      </c>
      <c r="BT31">
        <v>113.23</v>
      </c>
      <c r="BU31">
        <f t="shared" si="10"/>
        <v>0.1524791564911776</v>
      </c>
      <c r="BZ31" t="s">
        <v>337</v>
      </c>
      <c r="CA31">
        <v>103.758201</v>
      </c>
      <c r="CB31">
        <f t="shared" si="11"/>
        <v>0.14366275911771037</v>
      </c>
      <c r="CG31" t="s">
        <v>339</v>
      </c>
      <c r="CH31">
        <v>61.9</v>
      </c>
      <c r="CI31">
        <f t="shared" si="12"/>
        <v>8.8312582943741461E-2</v>
      </c>
      <c r="CN31" t="s">
        <v>348</v>
      </c>
      <c r="CO31">
        <v>61.9</v>
      </c>
      <c r="CP31">
        <f t="shared" si="13"/>
        <v>9.405435472574053E-2</v>
      </c>
      <c r="CU31" t="s">
        <v>351</v>
      </c>
      <c r="CV31">
        <v>77.379181694946695</v>
      </c>
      <c r="CW31">
        <f t="shared" si="14"/>
        <v>0.14651911030441228</v>
      </c>
      <c r="DB31" t="s">
        <v>326</v>
      </c>
      <c r="DC31">
        <v>101.3</v>
      </c>
      <c r="DD31">
        <f t="shared" si="15"/>
        <v>0.22320309664000021</v>
      </c>
      <c r="DI31" t="s">
        <v>331</v>
      </c>
      <c r="DJ31">
        <v>88.2</v>
      </c>
      <c r="DK31">
        <f t="shared" si="16"/>
        <v>0.2659458348540289</v>
      </c>
      <c r="DP31" t="s">
        <v>331</v>
      </c>
      <c r="DQ31">
        <v>84</v>
      </c>
      <c r="DR31">
        <f t="shared" si="17"/>
        <v>0.32090073474425485</v>
      </c>
      <c r="DW31" t="s">
        <v>333</v>
      </c>
      <c r="DX31">
        <v>62.985089874489255</v>
      </c>
      <c r="DY31">
        <f t="shared" si="18"/>
        <v>0.26825128213788979</v>
      </c>
      <c r="ED31" t="s">
        <v>354</v>
      </c>
      <c r="EE31">
        <v>42.559199999999997</v>
      </c>
      <c r="EF31">
        <f t="shared" si="19"/>
        <v>0.21840000209372359</v>
      </c>
    </row>
    <row r="32" spans="1:136" x14ac:dyDescent="0.2">
      <c r="A32" t="s">
        <v>321</v>
      </c>
      <c r="B32">
        <v>226.8</v>
      </c>
      <c r="C32">
        <f t="shared" si="1"/>
        <v>0.21731831498967452</v>
      </c>
      <c r="H32" t="s">
        <v>223</v>
      </c>
      <c r="I32">
        <v>197.49010716800001</v>
      </c>
      <c r="J32">
        <f t="shared" si="2"/>
        <v>0.20223815341479587</v>
      </c>
      <c r="O32" t="s">
        <v>223</v>
      </c>
      <c r="P32">
        <v>173.23261500000001</v>
      </c>
      <c r="Q32">
        <f t="shared" si="3"/>
        <v>0.19021317323005488</v>
      </c>
      <c r="V32" t="s">
        <v>499</v>
      </c>
      <c r="W32">
        <v>168.32</v>
      </c>
      <c r="X32">
        <f t="shared" si="0"/>
        <v>0.18352763180117782</v>
      </c>
      <c r="AC32" t="s">
        <v>520</v>
      </c>
      <c r="AD32">
        <v>157.5</v>
      </c>
      <c r="AE32">
        <f t="shared" si="4"/>
        <v>0.17883361649602153</v>
      </c>
      <c r="AJ32" t="s">
        <v>450</v>
      </c>
      <c r="AK32">
        <v>159.6</v>
      </c>
      <c r="AL32">
        <f t="shared" si="5"/>
        <v>0.19357129827639069</v>
      </c>
      <c r="AQ32" t="s">
        <v>321</v>
      </c>
      <c r="AR32">
        <v>132.80000000000001</v>
      </c>
      <c r="AS32">
        <f t="shared" si="6"/>
        <v>0.16637611400271743</v>
      </c>
      <c r="AX32" t="s">
        <v>322</v>
      </c>
      <c r="AY32">
        <v>137.4</v>
      </c>
      <c r="AZ32">
        <f t="shared" si="7"/>
        <v>0.17307565131680466</v>
      </c>
      <c r="BE32" t="s">
        <v>321</v>
      </c>
      <c r="BF32">
        <v>116.4</v>
      </c>
      <c r="BG32">
        <f t="shared" si="8"/>
        <v>0.1508291326210501</v>
      </c>
      <c r="BL32" t="s">
        <v>460</v>
      </c>
      <c r="BM32">
        <v>105.69</v>
      </c>
      <c r="BN32">
        <f t="shared" si="9"/>
        <v>0.14004078659753094</v>
      </c>
      <c r="BS32" t="s">
        <v>457</v>
      </c>
      <c r="BT32">
        <v>111.93</v>
      </c>
      <c r="BU32">
        <f t="shared" si="10"/>
        <v>0.1507285347174557</v>
      </c>
      <c r="BZ32" t="s">
        <v>333</v>
      </c>
      <c r="CA32">
        <v>103.58260947665939</v>
      </c>
      <c r="CB32">
        <f t="shared" si="11"/>
        <v>0.14341963652616899</v>
      </c>
      <c r="CG32" t="s">
        <v>512</v>
      </c>
      <c r="CH32">
        <v>56.12</v>
      </c>
      <c r="CI32">
        <f t="shared" si="12"/>
        <v>8.0066270675327469E-2</v>
      </c>
      <c r="CN32" t="s">
        <v>350</v>
      </c>
      <c r="CO32">
        <v>57.1</v>
      </c>
      <c r="CP32">
        <f t="shared" si="13"/>
        <v>8.6760963729237237E-2</v>
      </c>
      <c r="CU32" t="s">
        <v>344</v>
      </c>
      <c r="CV32">
        <v>68.400000000000006</v>
      </c>
      <c r="CW32">
        <f t="shared" si="14"/>
        <v>0.1295168406449598</v>
      </c>
      <c r="DB32" t="s">
        <v>331</v>
      </c>
      <c r="DC32">
        <v>90.9</v>
      </c>
      <c r="DD32">
        <f t="shared" si="15"/>
        <v>0.20028787250321836</v>
      </c>
      <c r="DI32" t="s">
        <v>352</v>
      </c>
      <c r="DJ32">
        <v>75</v>
      </c>
      <c r="DK32">
        <f t="shared" si="16"/>
        <v>0.22614441739288171</v>
      </c>
      <c r="DP32" t="s">
        <v>353</v>
      </c>
      <c r="DQ32">
        <v>84</v>
      </c>
      <c r="DR32">
        <f t="shared" si="17"/>
        <v>0.32090073474425485</v>
      </c>
      <c r="DW32" t="s">
        <v>344</v>
      </c>
      <c r="DX32">
        <v>60.9</v>
      </c>
      <c r="DY32">
        <f t="shared" si="18"/>
        <v>0.25937095771001245</v>
      </c>
      <c r="ED32" t="s">
        <v>209</v>
      </c>
      <c r="EE32">
        <v>40.1</v>
      </c>
      <c r="EF32">
        <f t="shared" si="19"/>
        <v>0.20578018581078397</v>
      </c>
    </row>
    <row r="33" spans="1:136" x14ac:dyDescent="0.2">
      <c r="A33" t="s">
        <v>501</v>
      </c>
      <c r="B33">
        <v>198.94</v>
      </c>
      <c r="C33">
        <f t="shared" si="1"/>
        <v>0.19062304049402931</v>
      </c>
      <c r="H33" t="s">
        <v>501</v>
      </c>
      <c r="I33">
        <v>182.51</v>
      </c>
      <c r="J33">
        <f t="shared" si="2"/>
        <v>0.18689789533779302</v>
      </c>
      <c r="O33" t="s">
        <v>490</v>
      </c>
      <c r="P33">
        <v>161.76</v>
      </c>
      <c r="Q33">
        <f t="shared" si="3"/>
        <v>0.17761599281805954</v>
      </c>
      <c r="V33" t="s">
        <v>502</v>
      </c>
      <c r="W33">
        <v>150.81</v>
      </c>
      <c r="X33">
        <f t="shared" si="0"/>
        <v>0.16443561164410425</v>
      </c>
      <c r="AC33" t="s">
        <v>328</v>
      </c>
      <c r="AD33">
        <v>157.28110860000001</v>
      </c>
      <c r="AE33">
        <f t="shared" si="4"/>
        <v>0.1785850759202636</v>
      </c>
      <c r="AJ33" t="s">
        <v>520</v>
      </c>
      <c r="AK33">
        <v>158.69999999999999</v>
      </c>
      <c r="AL33">
        <f t="shared" si="5"/>
        <v>0.19247973080490727</v>
      </c>
      <c r="AQ33" t="s">
        <v>242</v>
      </c>
      <c r="AR33">
        <v>131.4508446936</v>
      </c>
      <c r="AS33">
        <f t="shared" si="6"/>
        <v>0.16468584881397511</v>
      </c>
      <c r="AX33" t="s">
        <v>492</v>
      </c>
      <c r="AY33">
        <v>136.11000000000001</v>
      </c>
      <c r="AZ33">
        <f t="shared" si="7"/>
        <v>0.17145070524548969</v>
      </c>
      <c r="BE33" t="s">
        <v>460</v>
      </c>
      <c r="BF33">
        <v>110.53</v>
      </c>
      <c r="BG33">
        <f t="shared" si="8"/>
        <v>0.1432228868436827</v>
      </c>
      <c r="BL33" t="s">
        <v>457</v>
      </c>
      <c r="BM33">
        <v>102.37</v>
      </c>
      <c r="BN33">
        <f t="shared" si="9"/>
        <v>0.13564173832897383</v>
      </c>
      <c r="BS33" t="s">
        <v>274</v>
      </c>
      <c r="BT33">
        <v>111.5</v>
      </c>
      <c r="BU33">
        <f t="shared" si="10"/>
        <v>0.15014948289999386</v>
      </c>
      <c r="BZ33" t="s">
        <v>320</v>
      </c>
      <c r="CA33">
        <v>103</v>
      </c>
      <c r="CB33">
        <f t="shared" si="11"/>
        <v>0.14261296019506131</v>
      </c>
      <c r="CG33" t="s">
        <v>344</v>
      </c>
      <c r="CH33">
        <v>51.9</v>
      </c>
      <c r="CI33">
        <f t="shared" si="12"/>
        <v>7.4045606700810687E-2</v>
      </c>
      <c r="CN33" t="s">
        <v>356</v>
      </c>
      <c r="CO33">
        <v>50.6</v>
      </c>
      <c r="CP33">
        <f t="shared" si="13"/>
        <v>7.6884496754805673E-2</v>
      </c>
      <c r="CU33" t="s">
        <v>523</v>
      </c>
      <c r="CV33">
        <v>63.4</v>
      </c>
      <c r="CW33">
        <f t="shared" si="14"/>
        <v>0.1200492353346557</v>
      </c>
      <c r="DB33" t="s">
        <v>333</v>
      </c>
      <c r="DC33">
        <v>88.517800000000008</v>
      </c>
      <c r="DD33">
        <f t="shared" si="15"/>
        <v>0.19503896414373359</v>
      </c>
      <c r="DI33" t="s">
        <v>333</v>
      </c>
      <c r="DJ33">
        <v>73.041688119565165</v>
      </c>
      <c r="DK33">
        <f t="shared" si="16"/>
        <v>0.2202396000692218</v>
      </c>
      <c r="DP33" t="s">
        <v>305</v>
      </c>
      <c r="DQ33">
        <v>82.8</v>
      </c>
      <c r="DR33">
        <f t="shared" si="17"/>
        <v>0.31631643853362262</v>
      </c>
      <c r="DW33" t="s">
        <v>354</v>
      </c>
      <c r="DX33">
        <v>58.503600000000006</v>
      </c>
      <c r="DY33">
        <f t="shared" si="18"/>
        <v>0.24916477440859586</v>
      </c>
      <c r="ED33" t="s">
        <v>357</v>
      </c>
      <c r="EE33">
        <v>38.125949999999996</v>
      </c>
      <c r="EF33">
        <f t="shared" si="19"/>
        <v>0.19565000187562737</v>
      </c>
    </row>
    <row r="34" spans="1:136" x14ac:dyDescent="0.2">
      <c r="A34" t="s">
        <v>329</v>
      </c>
      <c r="B34">
        <v>197.6973653</v>
      </c>
      <c r="C34">
        <f t="shared" si="1"/>
        <v>0.18943235584168497</v>
      </c>
      <c r="H34" t="s">
        <v>503</v>
      </c>
      <c r="I34">
        <v>182.18</v>
      </c>
      <c r="J34">
        <f t="shared" si="2"/>
        <v>0.18655996149602289</v>
      </c>
      <c r="O34" t="s">
        <v>503</v>
      </c>
      <c r="P34">
        <v>161.21</v>
      </c>
      <c r="Q34">
        <f t="shared" si="3"/>
        <v>0.1770120808741307</v>
      </c>
      <c r="V34" t="s">
        <v>312</v>
      </c>
      <c r="W34">
        <v>147.12</v>
      </c>
      <c r="X34">
        <f t="shared" si="0"/>
        <v>0.16041222190226523</v>
      </c>
      <c r="AC34" t="s">
        <v>310</v>
      </c>
      <c r="AD34">
        <v>138.19999999999999</v>
      </c>
      <c r="AE34">
        <f t="shared" si="4"/>
        <v>0.15691940190317571</v>
      </c>
      <c r="AJ34" t="s">
        <v>204</v>
      </c>
      <c r="AK34">
        <v>134</v>
      </c>
      <c r="AL34">
        <f t="shared" si="5"/>
        <v>0.16252226797641825</v>
      </c>
      <c r="AQ34" t="s">
        <v>34</v>
      </c>
      <c r="AR34">
        <v>131.38999999999999</v>
      </c>
      <c r="AS34">
        <f t="shared" si="6"/>
        <v>0.16460962062362228</v>
      </c>
      <c r="AX34" t="s">
        <v>321</v>
      </c>
      <c r="AY34">
        <v>123.6</v>
      </c>
      <c r="AZ34">
        <f t="shared" si="7"/>
        <v>0.15569250729808626</v>
      </c>
      <c r="BE34" t="s">
        <v>274</v>
      </c>
      <c r="BF34">
        <v>102.9</v>
      </c>
      <c r="BG34">
        <f t="shared" si="8"/>
        <v>0.13333606311603141</v>
      </c>
      <c r="BL34" t="s">
        <v>321</v>
      </c>
      <c r="BM34">
        <v>99.6</v>
      </c>
      <c r="BN34">
        <f t="shared" si="9"/>
        <v>0.13197144805671379</v>
      </c>
      <c r="BS34" t="s">
        <v>37</v>
      </c>
      <c r="BT34">
        <v>99.36</v>
      </c>
      <c r="BU34">
        <f t="shared" si="10"/>
        <v>0.13380136879769855</v>
      </c>
      <c r="BZ34" t="s">
        <v>458</v>
      </c>
      <c r="CA34">
        <v>98.55</v>
      </c>
      <c r="CB34">
        <f t="shared" si="11"/>
        <v>0.13645152647789602</v>
      </c>
      <c r="CG34" t="s">
        <v>348</v>
      </c>
      <c r="CH34">
        <v>50.436254485488753</v>
      </c>
      <c r="CI34">
        <f t="shared" si="12"/>
        <v>7.1957284452687842E-2</v>
      </c>
      <c r="CN34" t="s">
        <v>342</v>
      </c>
      <c r="CO34">
        <v>50.5</v>
      </c>
      <c r="CP34">
        <f t="shared" si="13"/>
        <v>7.6732551109045186E-2</v>
      </c>
      <c r="CU34" t="s">
        <v>520</v>
      </c>
      <c r="CV34">
        <v>58</v>
      </c>
      <c r="CW34">
        <f t="shared" si="14"/>
        <v>0.1098242215995273</v>
      </c>
      <c r="DB34" t="s">
        <v>337</v>
      </c>
      <c r="DC34">
        <v>80.820600000000013</v>
      </c>
      <c r="DD34">
        <f t="shared" si="15"/>
        <v>0.17807905421819153</v>
      </c>
      <c r="DI34" t="s">
        <v>344</v>
      </c>
      <c r="DJ34">
        <v>72.7</v>
      </c>
      <c r="DK34">
        <f t="shared" si="16"/>
        <v>0.21920932192616671</v>
      </c>
      <c r="DP34" t="s">
        <v>344</v>
      </c>
      <c r="DQ34">
        <v>76.099999999999994</v>
      </c>
      <c r="DR34">
        <f t="shared" si="17"/>
        <v>0.2907207846909261</v>
      </c>
      <c r="DW34" t="s">
        <v>353</v>
      </c>
      <c r="DX34">
        <v>57.6</v>
      </c>
      <c r="DY34">
        <f t="shared" si="18"/>
        <v>0.24531637379469162</v>
      </c>
      <c r="ED34" t="s">
        <v>337</v>
      </c>
      <c r="EE34">
        <v>26.599499999999999</v>
      </c>
      <c r="EF34">
        <f t="shared" si="19"/>
        <v>0.13650000130857723</v>
      </c>
    </row>
    <row r="35" spans="1:136" x14ac:dyDescent="0.2">
      <c r="A35" t="s">
        <v>223</v>
      </c>
      <c r="B35">
        <v>190.089903202784</v>
      </c>
      <c r="C35">
        <f t="shared" si="1"/>
        <v>0.18214293412953858</v>
      </c>
      <c r="H35" t="s">
        <v>490</v>
      </c>
      <c r="I35">
        <v>174.92</v>
      </c>
      <c r="J35">
        <f t="shared" si="2"/>
        <v>0.17912541697707937</v>
      </c>
      <c r="O35" t="s">
        <v>501</v>
      </c>
      <c r="P35">
        <v>159.56</v>
      </c>
      <c r="Q35">
        <f t="shared" si="3"/>
        <v>0.17520034504234411</v>
      </c>
      <c r="V35" t="s">
        <v>503</v>
      </c>
      <c r="W35">
        <v>136.08000000000001</v>
      </c>
      <c r="X35">
        <f t="shared" si="0"/>
        <v>0.14837476316245413</v>
      </c>
      <c r="AC35" t="s">
        <v>204</v>
      </c>
      <c r="AD35">
        <v>134.04000000000002</v>
      </c>
      <c r="AE35">
        <f t="shared" si="4"/>
        <v>0.15219592352461417</v>
      </c>
      <c r="AJ35" t="s">
        <v>177</v>
      </c>
      <c r="AK35">
        <v>131.81</v>
      </c>
      <c r="AL35">
        <f t="shared" si="5"/>
        <v>0.15986612046247531</v>
      </c>
      <c r="AQ35" t="s">
        <v>460</v>
      </c>
      <c r="AR35">
        <v>130.27000000000001</v>
      </c>
      <c r="AS35">
        <f t="shared" si="6"/>
        <v>0.16320644857781624</v>
      </c>
      <c r="AX35" t="s">
        <v>459</v>
      </c>
      <c r="AY35">
        <v>118.48</v>
      </c>
      <c r="AZ35">
        <f t="shared" si="7"/>
        <v>0.1492431089375183</v>
      </c>
      <c r="BE35" t="s">
        <v>204</v>
      </c>
      <c r="BF35">
        <v>100</v>
      </c>
      <c r="BG35">
        <f t="shared" si="8"/>
        <v>0.12957829262976811</v>
      </c>
      <c r="BL35" t="s">
        <v>334</v>
      </c>
      <c r="BM35">
        <v>86.4</v>
      </c>
      <c r="BN35">
        <f t="shared" si="9"/>
        <v>0.11448125614558306</v>
      </c>
      <c r="BS35" t="s">
        <v>319</v>
      </c>
      <c r="BT35">
        <v>97.5</v>
      </c>
      <c r="BU35">
        <f t="shared" si="10"/>
        <v>0.1312966330291426</v>
      </c>
      <c r="BZ35" t="s">
        <v>334</v>
      </c>
      <c r="CA35">
        <v>91.9</v>
      </c>
      <c r="CB35">
        <f t="shared" si="11"/>
        <v>0.12724399069831199</v>
      </c>
      <c r="CG35" t="s">
        <v>204</v>
      </c>
      <c r="CH35">
        <v>47</v>
      </c>
      <c r="CI35">
        <f t="shared" si="12"/>
        <v>6.7054788341774613E-2</v>
      </c>
      <c r="CN35" t="s">
        <v>204</v>
      </c>
      <c r="CO35">
        <v>49.3</v>
      </c>
      <c r="CP35">
        <f t="shared" si="13"/>
        <v>7.4909203359919352E-2</v>
      </c>
      <c r="CU35" t="s">
        <v>348</v>
      </c>
      <c r="CV35">
        <v>56.6</v>
      </c>
      <c r="CW35">
        <f t="shared" si="14"/>
        <v>0.10717329211264216</v>
      </c>
      <c r="DB35" t="s">
        <v>361</v>
      </c>
      <c r="DC35">
        <v>73.3</v>
      </c>
      <c r="DD35">
        <f t="shared" si="15"/>
        <v>0.1615082624255875</v>
      </c>
      <c r="DI35" t="s">
        <v>362</v>
      </c>
      <c r="DJ35">
        <v>69.099999999999994</v>
      </c>
      <c r="DK35">
        <f t="shared" si="16"/>
        <v>0.20835438989130836</v>
      </c>
      <c r="DP35" t="s">
        <v>363</v>
      </c>
      <c r="DQ35">
        <v>75</v>
      </c>
      <c r="DR35">
        <f t="shared" si="17"/>
        <v>0.28651851316451327</v>
      </c>
      <c r="DW35" t="s">
        <v>357</v>
      </c>
      <c r="DX35">
        <v>52.409475</v>
      </c>
      <c r="DY35">
        <f t="shared" si="18"/>
        <v>0.22321011040770042</v>
      </c>
      <c r="ED35" t="s">
        <v>365</v>
      </c>
      <c r="EE35">
        <v>25</v>
      </c>
      <c r="EF35">
        <f t="shared" si="19"/>
        <v>0.12829188641570072</v>
      </c>
    </row>
    <row r="36" spans="1:136" x14ac:dyDescent="0.2">
      <c r="A36" t="s">
        <v>490</v>
      </c>
      <c r="B36">
        <v>189.94</v>
      </c>
      <c r="C36">
        <f t="shared" si="1"/>
        <v>0.1819992978357089</v>
      </c>
      <c r="H36" t="s">
        <v>329</v>
      </c>
      <c r="I36">
        <v>170.69</v>
      </c>
      <c r="J36">
        <f t="shared" si="2"/>
        <v>0.17479371955075279</v>
      </c>
      <c r="O36" t="s">
        <v>502</v>
      </c>
      <c r="P36">
        <v>147.14000000000001</v>
      </c>
      <c r="Q36">
        <f t="shared" si="3"/>
        <v>0.16156291532671418</v>
      </c>
      <c r="V36" t="s">
        <v>204</v>
      </c>
      <c r="W36">
        <v>134</v>
      </c>
      <c r="X36">
        <f t="shared" si="0"/>
        <v>0.14610683615350423</v>
      </c>
      <c r="AC36" t="s">
        <v>502</v>
      </c>
      <c r="AD36">
        <v>131.44999999999999</v>
      </c>
      <c r="AE36">
        <f t="shared" si="4"/>
        <v>0.14925510405334622</v>
      </c>
      <c r="AJ36" t="s">
        <v>502</v>
      </c>
      <c r="AK36">
        <v>120.48</v>
      </c>
      <c r="AL36">
        <f t="shared" si="5"/>
        <v>0.1461244988492453</v>
      </c>
      <c r="AQ36" t="s">
        <v>450</v>
      </c>
      <c r="AR36">
        <v>118.04</v>
      </c>
      <c r="AS36">
        <f t="shared" si="6"/>
        <v>0.14788431097048768</v>
      </c>
      <c r="AX36" t="s">
        <v>502</v>
      </c>
      <c r="AY36">
        <v>112.69</v>
      </c>
      <c r="AZ36">
        <f t="shared" si="7"/>
        <v>0.14194974633836036</v>
      </c>
      <c r="BE36" t="s">
        <v>336</v>
      </c>
      <c r="BF36">
        <v>99.9</v>
      </c>
      <c r="BG36">
        <f t="shared" si="8"/>
        <v>0.12944871433713837</v>
      </c>
      <c r="BL36" t="s">
        <v>341</v>
      </c>
      <c r="BM36">
        <v>85.8</v>
      </c>
      <c r="BN36">
        <f t="shared" si="9"/>
        <v>0.11368624742234984</v>
      </c>
      <c r="BS36" t="s">
        <v>337</v>
      </c>
      <c r="BT36">
        <v>94.328913680302378</v>
      </c>
      <c r="BU36">
        <f t="shared" si="10"/>
        <v>0.12702634629251622</v>
      </c>
      <c r="BZ36" t="s">
        <v>319</v>
      </c>
      <c r="CA36">
        <v>82.5</v>
      </c>
      <c r="CB36">
        <f t="shared" si="11"/>
        <v>0.11422882734070444</v>
      </c>
      <c r="CG36" t="s">
        <v>350</v>
      </c>
      <c r="CH36">
        <v>45.3</v>
      </c>
      <c r="CI36">
        <f t="shared" si="12"/>
        <v>6.4629402380476375E-2</v>
      </c>
      <c r="CN36" t="s">
        <v>319</v>
      </c>
      <c r="CO36">
        <v>45</v>
      </c>
      <c r="CP36">
        <f t="shared" si="13"/>
        <v>6.8375540592218481E-2</v>
      </c>
      <c r="CU36" t="s">
        <v>365</v>
      </c>
      <c r="CV36">
        <v>51.4</v>
      </c>
      <c r="CW36">
        <f t="shared" si="14"/>
        <v>9.732698258992592E-2</v>
      </c>
      <c r="DB36" t="s">
        <v>334</v>
      </c>
      <c r="DC36">
        <v>72.2</v>
      </c>
      <c r="DD36">
        <f t="shared" si="15"/>
        <v>0.15908453679573559</v>
      </c>
      <c r="DI36" t="s">
        <v>335</v>
      </c>
      <c r="DJ36">
        <v>66.900000000000006</v>
      </c>
      <c r="DK36">
        <f t="shared" si="16"/>
        <v>0.20172082031445052</v>
      </c>
      <c r="DP36" t="s">
        <v>335</v>
      </c>
      <c r="DQ36">
        <v>69.8</v>
      </c>
      <c r="DR36">
        <f t="shared" si="17"/>
        <v>0.26665322958510701</v>
      </c>
      <c r="DW36" t="s">
        <v>364</v>
      </c>
      <c r="DX36">
        <v>51.4</v>
      </c>
      <c r="DY36">
        <f t="shared" si="18"/>
        <v>0.21891079189317966</v>
      </c>
      <c r="ED36" t="s">
        <v>364</v>
      </c>
      <c r="EE36">
        <v>23.8</v>
      </c>
      <c r="EF36">
        <f t="shared" si="19"/>
        <v>0.12213387586774709</v>
      </c>
    </row>
    <row r="37" spans="1:136" x14ac:dyDescent="0.2">
      <c r="A37" t="s">
        <v>502</v>
      </c>
      <c r="B37">
        <v>189.61</v>
      </c>
      <c r="C37">
        <f t="shared" si="1"/>
        <v>0.18168309393823714</v>
      </c>
      <c r="H37" t="s">
        <v>452</v>
      </c>
      <c r="I37">
        <v>167.72000000000003</v>
      </c>
      <c r="J37">
        <f t="shared" si="2"/>
        <v>0.17175231497482138</v>
      </c>
      <c r="O37" t="s">
        <v>461</v>
      </c>
      <c r="P37">
        <v>142.93</v>
      </c>
      <c r="Q37">
        <f t="shared" si="3"/>
        <v>0.15694024390136777</v>
      </c>
      <c r="V37" t="s">
        <v>490</v>
      </c>
      <c r="W37">
        <v>131.62</v>
      </c>
      <c r="X37">
        <f t="shared" si="0"/>
        <v>0.14351180428749422</v>
      </c>
      <c r="AC37" t="s">
        <v>177</v>
      </c>
      <c r="AD37">
        <v>121.2</v>
      </c>
      <c r="AE37">
        <f t="shared" si="4"/>
        <v>0.13761672583693849</v>
      </c>
      <c r="AJ37" t="s">
        <v>242</v>
      </c>
      <c r="AK37">
        <v>116.58000000000001</v>
      </c>
      <c r="AL37">
        <f t="shared" si="5"/>
        <v>0.14139437313948389</v>
      </c>
      <c r="AQ37" t="s">
        <v>502</v>
      </c>
      <c r="AR37">
        <v>117.5</v>
      </c>
      <c r="AS37">
        <f t="shared" si="6"/>
        <v>0.14720778159125975</v>
      </c>
      <c r="AX37" t="s">
        <v>499</v>
      </c>
      <c r="AY37">
        <v>103.28</v>
      </c>
      <c r="AZ37">
        <f t="shared" si="7"/>
        <v>0.13009645755458213</v>
      </c>
      <c r="BE37" t="s">
        <v>458</v>
      </c>
      <c r="BF37">
        <v>99.09</v>
      </c>
      <c r="BG37">
        <f t="shared" si="8"/>
        <v>0.12839913016683724</v>
      </c>
      <c r="BL37" t="s">
        <v>502</v>
      </c>
      <c r="BM37">
        <v>82.13</v>
      </c>
      <c r="BN37">
        <f t="shared" si="9"/>
        <v>0.10882344406524</v>
      </c>
      <c r="BS37" t="s">
        <v>334</v>
      </c>
      <c r="BT37">
        <v>85.9</v>
      </c>
      <c r="BU37">
        <f t="shared" si="10"/>
        <v>0.11567570027900873</v>
      </c>
      <c r="BZ37" t="s">
        <v>459</v>
      </c>
      <c r="CA37">
        <v>79.419999999999987</v>
      </c>
      <c r="CB37">
        <f t="shared" si="11"/>
        <v>0.10996428445331813</v>
      </c>
      <c r="CG37" t="s">
        <v>367</v>
      </c>
      <c r="CH37">
        <v>44.322302158273374</v>
      </c>
      <c r="CI37">
        <f t="shared" si="12"/>
        <v>6.3234523192408534E-2</v>
      </c>
      <c r="CN37" t="s">
        <v>367</v>
      </c>
      <c r="CO37">
        <v>40.799999999999997</v>
      </c>
      <c r="CP37">
        <f t="shared" si="13"/>
        <v>6.1993823470278084E-2</v>
      </c>
      <c r="CU37" t="s">
        <v>371</v>
      </c>
      <c r="CV37">
        <v>47.2</v>
      </c>
      <c r="CW37">
        <f t="shared" si="14"/>
        <v>8.9374194129270501E-2</v>
      </c>
      <c r="DB37" t="s">
        <v>368</v>
      </c>
      <c r="DC37">
        <v>71.5</v>
      </c>
      <c r="DD37">
        <f t="shared" si="15"/>
        <v>0.15754216594037526</v>
      </c>
      <c r="DI37" t="s">
        <v>364</v>
      </c>
      <c r="DJ37">
        <v>64.2</v>
      </c>
      <c r="DK37">
        <f t="shared" si="16"/>
        <v>0.19357962128830675</v>
      </c>
      <c r="DP37" t="s">
        <v>364</v>
      </c>
      <c r="DQ37">
        <v>61.3</v>
      </c>
      <c r="DR37">
        <f t="shared" si="17"/>
        <v>0.23418113142646219</v>
      </c>
      <c r="DW37" t="s">
        <v>32</v>
      </c>
      <c r="DX37">
        <v>44.099999999999994</v>
      </c>
      <c r="DY37">
        <f t="shared" si="18"/>
        <v>0.18782034868656072</v>
      </c>
      <c r="ED37" t="s">
        <v>310</v>
      </c>
      <c r="EE37">
        <v>22.737316278756872</v>
      </c>
      <c r="EF37">
        <f t="shared" si="19"/>
        <v>0.11668052789728559</v>
      </c>
    </row>
    <row r="38" spans="1:136" x14ac:dyDescent="0.2">
      <c r="A38" t="s">
        <v>503</v>
      </c>
      <c r="B38">
        <v>186.16</v>
      </c>
      <c r="C38">
        <f t="shared" si="1"/>
        <v>0.17837732591921432</v>
      </c>
      <c r="H38" t="s">
        <v>336</v>
      </c>
      <c r="I38">
        <v>163.29</v>
      </c>
      <c r="J38">
        <f t="shared" si="2"/>
        <v>0.16721580915954318</v>
      </c>
      <c r="O38" t="s">
        <v>204</v>
      </c>
      <c r="P38">
        <v>133.98000000000002</v>
      </c>
      <c r="Q38">
        <f t="shared" si="3"/>
        <v>0.14711294954107085</v>
      </c>
      <c r="V38" t="s">
        <v>492</v>
      </c>
      <c r="W38">
        <v>124.6</v>
      </c>
      <c r="X38">
        <f t="shared" si="0"/>
        <v>0.13585755063228824</v>
      </c>
      <c r="AC38" t="s">
        <v>242</v>
      </c>
      <c r="AD38">
        <v>108.21</v>
      </c>
      <c r="AE38">
        <f t="shared" si="4"/>
        <v>0.12286721041926661</v>
      </c>
      <c r="AJ38" t="s">
        <v>492</v>
      </c>
      <c r="AK38">
        <v>116.39</v>
      </c>
      <c r="AL38">
        <f t="shared" si="5"/>
        <v>0.14116393111772627</v>
      </c>
      <c r="AQ38" t="s">
        <v>204</v>
      </c>
      <c r="AR38">
        <v>111</v>
      </c>
      <c r="AS38">
        <f t="shared" si="6"/>
        <v>0.13906437239684966</v>
      </c>
      <c r="AX38" t="s">
        <v>336</v>
      </c>
      <c r="AY38">
        <v>102.2</v>
      </c>
      <c r="AZ38">
        <f t="shared" si="7"/>
        <v>0.12873603758789984</v>
      </c>
      <c r="BE38" t="s">
        <v>502</v>
      </c>
      <c r="BF38">
        <v>91.45</v>
      </c>
      <c r="BG38">
        <f t="shared" si="8"/>
        <v>0.11849934860992295</v>
      </c>
      <c r="BL38" t="s">
        <v>459</v>
      </c>
      <c r="BM38">
        <v>77.44</v>
      </c>
      <c r="BN38">
        <f t="shared" si="9"/>
        <v>0.1026091258786337</v>
      </c>
      <c r="BS38" t="s">
        <v>333</v>
      </c>
      <c r="BT38">
        <v>77.723571244961917</v>
      </c>
      <c r="BU38">
        <f t="shared" si="10"/>
        <v>0.10466505857911984</v>
      </c>
      <c r="BZ38" t="s">
        <v>492</v>
      </c>
      <c r="CA38">
        <v>73.83</v>
      </c>
      <c r="CB38">
        <f t="shared" si="11"/>
        <v>0.10222441603108133</v>
      </c>
      <c r="CG38" t="s">
        <v>370</v>
      </c>
      <c r="CH38">
        <v>38.112663755458513</v>
      </c>
      <c r="CI38">
        <f t="shared" si="12"/>
        <v>5.4375246835393513E-2</v>
      </c>
      <c r="CN38" t="s">
        <v>372</v>
      </c>
      <c r="CO38">
        <v>40.1</v>
      </c>
      <c r="CP38">
        <f t="shared" si="13"/>
        <v>6.09302039499547E-2</v>
      </c>
      <c r="CU38" t="s">
        <v>304</v>
      </c>
      <c r="CV38">
        <v>40.725885102603527</v>
      </c>
      <c r="CW38">
        <f t="shared" si="14"/>
        <v>7.7115321212848573E-2</v>
      </c>
      <c r="DB38" t="s">
        <v>371</v>
      </c>
      <c r="DC38">
        <v>71.400000000000006</v>
      </c>
      <c r="DD38">
        <f t="shared" si="15"/>
        <v>0.15732182724675237</v>
      </c>
      <c r="DI38" t="s">
        <v>310</v>
      </c>
      <c r="DJ38">
        <v>62.41939</v>
      </c>
      <c r="DK38">
        <f t="shared" si="16"/>
        <v>0.18821062114092088</v>
      </c>
      <c r="DP38" t="s">
        <v>354</v>
      </c>
      <c r="DQ38">
        <v>53.28</v>
      </c>
      <c r="DR38">
        <f t="shared" si="17"/>
        <v>0.20354275175207023</v>
      </c>
      <c r="DW38" t="s">
        <v>337</v>
      </c>
      <c r="DX38">
        <v>36.564749999999997</v>
      </c>
      <c r="DY38">
        <f t="shared" si="18"/>
        <v>0.15572798400537238</v>
      </c>
      <c r="ED38" t="s">
        <v>374</v>
      </c>
      <c r="EE38">
        <v>16.600000000000001</v>
      </c>
      <c r="EF38">
        <f t="shared" si="19"/>
        <v>8.5185812580025291E-2</v>
      </c>
    </row>
    <row r="39" spans="1:136" x14ac:dyDescent="0.2">
      <c r="A39" t="s">
        <v>456</v>
      </c>
      <c r="B39">
        <v>182.44</v>
      </c>
      <c r="C39">
        <f t="shared" si="1"/>
        <v>0.17481284562044189</v>
      </c>
      <c r="H39" t="s">
        <v>502</v>
      </c>
      <c r="I39">
        <v>157.94</v>
      </c>
      <c r="J39">
        <f t="shared" si="2"/>
        <v>0.16173718475508755</v>
      </c>
      <c r="O39" t="s">
        <v>330</v>
      </c>
      <c r="P39">
        <v>132</v>
      </c>
      <c r="Q39">
        <f t="shared" si="3"/>
        <v>0.14493886654292693</v>
      </c>
      <c r="V39" t="s">
        <v>177</v>
      </c>
      <c r="W39">
        <v>108.84</v>
      </c>
      <c r="X39">
        <f t="shared" si="0"/>
        <v>0.1186736421413985</v>
      </c>
      <c r="AC39" t="s">
        <v>330</v>
      </c>
      <c r="AD39">
        <v>98.8</v>
      </c>
      <c r="AE39">
        <f t="shared" si="4"/>
        <v>0.11218261149083765</v>
      </c>
      <c r="AJ39" t="s">
        <v>336</v>
      </c>
      <c r="AK39">
        <v>92.2</v>
      </c>
      <c r="AL39">
        <f t="shared" si="5"/>
        <v>0.11182502318974449</v>
      </c>
      <c r="AQ39" t="s">
        <v>336</v>
      </c>
      <c r="AR39">
        <v>106.2</v>
      </c>
      <c r="AS39">
        <f t="shared" si="6"/>
        <v>0.13305077791482373</v>
      </c>
      <c r="AX39" t="s">
        <v>204</v>
      </c>
      <c r="AY39">
        <v>100</v>
      </c>
      <c r="AZ39">
        <f t="shared" si="7"/>
        <v>0.12596481172984325</v>
      </c>
      <c r="BE39" t="s">
        <v>459</v>
      </c>
      <c r="BF39">
        <v>87.4</v>
      </c>
      <c r="BG39">
        <f t="shared" si="8"/>
        <v>0.11325142775841736</v>
      </c>
      <c r="BL39" t="s">
        <v>342</v>
      </c>
      <c r="BM39">
        <v>76.900000000000006</v>
      </c>
      <c r="BN39">
        <f t="shared" si="9"/>
        <v>0.10189361802772383</v>
      </c>
      <c r="BS39" t="s">
        <v>459</v>
      </c>
      <c r="BT39">
        <v>76.78</v>
      </c>
      <c r="BU39">
        <f t="shared" si="10"/>
        <v>0.10339441522028275</v>
      </c>
      <c r="BZ39" t="s">
        <v>502</v>
      </c>
      <c r="CA39">
        <v>72.570000000000007</v>
      </c>
      <c r="CB39">
        <f t="shared" si="11"/>
        <v>0.1004798303044233</v>
      </c>
      <c r="CG39" t="s">
        <v>506</v>
      </c>
      <c r="CH39">
        <v>38.1</v>
      </c>
      <c r="CI39">
        <f t="shared" si="12"/>
        <v>5.4357179485566225E-2</v>
      </c>
      <c r="CN39" t="s">
        <v>512</v>
      </c>
      <c r="CO39">
        <v>39.46</v>
      </c>
      <c r="CP39">
        <f t="shared" si="13"/>
        <v>5.9957751817087589E-2</v>
      </c>
      <c r="CU39" t="s">
        <v>350</v>
      </c>
      <c r="CV39">
        <v>39.6</v>
      </c>
      <c r="CW39">
        <f t="shared" si="14"/>
        <v>7.4983434057608295E-2</v>
      </c>
      <c r="DB39" t="s">
        <v>344</v>
      </c>
      <c r="DC39">
        <v>70.599999999999994</v>
      </c>
      <c r="DD39">
        <f t="shared" si="15"/>
        <v>0.15555911769776912</v>
      </c>
      <c r="DI39" t="s">
        <v>337</v>
      </c>
      <c r="DJ39">
        <v>56.973000000000006</v>
      </c>
      <c r="DK39">
        <f t="shared" si="16"/>
        <v>0.1717883452283287</v>
      </c>
      <c r="DP39" t="s">
        <v>333</v>
      </c>
      <c r="DQ39">
        <v>53.28</v>
      </c>
      <c r="DR39">
        <f t="shared" si="17"/>
        <v>0.20354275175207023</v>
      </c>
      <c r="DW39" t="s">
        <v>310</v>
      </c>
      <c r="DX39">
        <v>32.391699276343083</v>
      </c>
      <c r="DY39">
        <f t="shared" si="18"/>
        <v>0.13795510776945524</v>
      </c>
      <c r="ED39" t="s">
        <v>378</v>
      </c>
      <c r="EE39">
        <v>16.3</v>
      </c>
      <c r="EF39">
        <f t="shared" si="19"/>
        <v>8.3646309943036873E-2</v>
      </c>
    </row>
    <row r="40" spans="1:136" x14ac:dyDescent="0.2">
      <c r="A40" t="s">
        <v>452</v>
      </c>
      <c r="B40">
        <v>181.66631000000001</v>
      </c>
      <c r="C40">
        <f t="shared" si="1"/>
        <v>0.17407150079185124</v>
      </c>
      <c r="H40" t="s">
        <v>340</v>
      </c>
      <c r="I40">
        <v>136.38999999999999</v>
      </c>
      <c r="J40">
        <f t="shared" si="2"/>
        <v>0.13966908084555144</v>
      </c>
      <c r="O40" t="s">
        <v>336</v>
      </c>
      <c r="P40">
        <v>124.3</v>
      </c>
      <c r="Q40">
        <f t="shared" si="3"/>
        <v>0.13648409932792285</v>
      </c>
      <c r="V40" t="s">
        <v>336</v>
      </c>
      <c r="W40">
        <v>104.6</v>
      </c>
      <c r="X40">
        <f t="shared" si="0"/>
        <v>0.11405056016161597</v>
      </c>
      <c r="AC40" t="s">
        <v>490</v>
      </c>
      <c r="AD40">
        <v>96.28</v>
      </c>
      <c r="AE40">
        <f t="shared" si="4"/>
        <v>0.10932127362690131</v>
      </c>
      <c r="AJ40" t="s">
        <v>499</v>
      </c>
      <c r="AK40">
        <v>90.04</v>
      </c>
      <c r="AL40">
        <f t="shared" si="5"/>
        <v>0.10920526125818433</v>
      </c>
      <c r="AQ40" t="s">
        <v>499</v>
      </c>
      <c r="AR40">
        <v>105.09</v>
      </c>
      <c r="AS40">
        <f t="shared" si="6"/>
        <v>0.1316601341908552</v>
      </c>
      <c r="AX40" t="s">
        <v>460</v>
      </c>
      <c r="AY40">
        <v>99.46</v>
      </c>
      <c r="AZ40">
        <f t="shared" si="7"/>
        <v>0.12528460174650211</v>
      </c>
      <c r="BE40" t="s">
        <v>490</v>
      </c>
      <c r="BF40">
        <v>84.16</v>
      </c>
      <c r="BG40">
        <f t="shared" si="8"/>
        <v>0.10905309107721284</v>
      </c>
      <c r="BL40" t="s">
        <v>339</v>
      </c>
      <c r="BM40">
        <v>76.900000000000006</v>
      </c>
      <c r="BN40">
        <f t="shared" si="9"/>
        <v>0.10189361802772383</v>
      </c>
      <c r="BS40" t="s">
        <v>502</v>
      </c>
      <c r="BT40">
        <v>76.460000000000008</v>
      </c>
      <c r="BU40">
        <f t="shared" si="10"/>
        <v>0.10296349293752045</v>
      </c>
      <c r="BZ40" t="s">
        <v>342</v>
      </c>
      <c r="CA40">
        <v>70.849999999999994</v>
      </c>
      <c r="CB40">
        <f t="shared" si="11"/>
        <v>9.8098332328350413E-2</v>
      </c>
      <c r="CG40" t="s">
        <v>522</v>
      </c>
      <c r="CH40">
        <v>36.879999999999995</v>
      </c>
      <c r="CI40">
        <f t="shared" si="12"/>
        <v>5.2616608383928662E-2</v>
      </c>
      <c r="CN40" t="s">
        <v>267</v>
      </c>
      <c r="CO40">
        <v>38.376100000000001</v>
      </c>
      <c r="CP40">
        <f t="shared" si="13"/>
        <v>5.8310812962689682E-2</v>
      </c>
      <c r="CU40" t="s">
        <v>204</v>
      </c>
      <c r="CV40">
        <v>39.299999999999997</v>
      </c>
      <c r="CW40">
        <f t="shared" si="14"/>
        <v>7.4415377738990041E-2</v>
      </c>
      <c r="DB40" t="s">
        <v>154</v>
      </c>
      <c r="DC40">
        <v>69</v>
      </c>
      <c r="DD40">
        <f t="shared" si="15"/>
        <v>0.1520336985998027</v>
      </c>
      <c r="DI40" t="s">
        <v>334</v>
      </c>
      <c r="DJ40">
        <v>56.5</v>
      </c>
      <c r="DK40">
        <f t="shared" si="16"/>
        <v>0.17036212776930421</v>
      </c>
      <c r="DP40" t="s">
        <v>357</v>
      </c>
      <c r="DQ40">
        <v>47.73</v>
      </c>
      <c r="DR40">
        <f t="shared" si="17"/>
        <v>0.18234038177789624</v>
      </c>
      <c r="DW40" t="s">
        <v>365</v>
      </c>
      <c r="DX40">
        <v>31.2</v>
      </c>
      <c r="DY40">
        <f t="shared" si="18"/>
        <v>0.13287970247212461</v>
      </c>
      <c r="ED40" t="s">
        <v>383</v>
      </c>
      <c r="EE40">
        <v>15.959699999999998</v>
      </c>
      <c r="EF40">
        <f t="shared" si="19"/>
        <v>8.1900000785146351E-2</v>
      </c>
    </row>
    <row r="41" spans="1:136" x14ac:dyDescent="0.2">
      <c r="A41" t="s">
        <v>336</v>
      </c>
      <c r="B41">
        <v>165.24704019999999</v>
      </c>
      <c r="C41">
        <f t="shared" si="1"/>
        <v>0.15833866108154762</v>
      </c>
      <c r="H41" t="s">
        <v>330</v>
      </c>
      <c r="I41">
        <v>134.54</v>
      </c>
      <c r="J41">
        <f t="shared" si="2"/>
        <v>0.13777460324774901</v>
      </c>
      <c r="O41" t="s">
        <v>164</v>
      </c>
      <c r="P41">
        <v>120.07903</v>
      </c>
      <c r="Q41">
        <f t="shared" si="3"/>
        <v>0.13184938260434939</v>
      </c>
      <c r="V41" t="s">
        <v>330</v>
      </c>
      <c r="W41">
        <v>102.5</v>
      </c>
      <c r="X41">
        <f t="shared" si="0"/>
        <v>0.11176082616219539</v>
      </c>
      <c r="AC41" t="s">
        <v>499</v>
      </c>
      <c r="AD41">
        <v>95.23</v>
      </c>
      <c r="AE41">
        <f t="shared" si="4"/>
        <v>0.10812904951692781</v>
      </c>
      <c r="AJ41" t="s">
        <v>490</v>
      </c>
      <c r="AK41">
        <v>89.42</v>
      </c>
      <c r="AL41">
        <f t="shared" si="5"/>
        <v>0.10845329255560687</v>
      </c>
      <c r="AQ41" t="s">
        <v>492</v>
      </c>
      <c r="AR41">
        <v>97.22</v>
      </c>
      <c r="AS41">
        <f t="shared" si="6"/>
        <v>0.12180034490470019</v>
      </c>
      <c r="AX41" t="s">
        <v>347</v>
      </c>
      <c r="AY41">
        <v>98.159789106883352</v>
      </c>
      <c r="AZ41">
        <f t="shared" si="7"/>
        <v>0.12364679354289682</v>
      </c>
      <c r="BE41" t="s">
        <v>355</v>
      </c>
      <c r="BF41">
        <v>81.2</v>
      </c>
      <c r="BG41">
        <f t="shared" si="8"/>
        <v>0.10521757361537172</v>
      </c>
      <c r="BL41" t="s">
        <v>355</v>
      </c>
      <c r="BM41">
        <v>76.5</v>
      </c>
      <c r="BN41">
        <f t="shared" si="9"/>
        <v>0.101363612212235</v>
      </c>
      <c r="BS41" t="s">
        <v>341</v>
      </c>
      <c r="BT41">
        <v>75.739999999999995</v>
      </c>
      <c r="BU41">
        <f t="shared" si="10"/>
        <v>0.10199391780130523</v>
      </c>
      <c r="BZ41" t="s">
        <v>339</v>
      </c>
      <c r="CA41">
        <v>66.5</v>
      </c>
      <c r="CB41">
        <f t="shared" si="11"/>
        <v>9.2075357795840543E-2</v>
      </c>
      <c r="CG41" t="s">
        <v>356</v>
      </c>
      <c r="CH41">
        <v>36.799999999999997</v>
      </c>
      <c r="CI41">
        <f t="shared" si="12"/>
        <v>5.2502472573985222E-2</v>
      </c>
      <c r="CN41" t="s">
        <v>376</v>
      </c>
      <c r="CO41">
        <v>35.5</v>
      </c>
      <c r="CP41">
        <f t="shared" si="13"/>
        <v>5.3940704244972361E-2</v>
      </c>
      <c r="CU41" t="s">
        <v>342</v>
      </c>
      <c r="CV41">
        <v>38.576000000000001</v>
      </c>
      <c r="CW41">
        <f t="shared" si="14"/>
        <v>7.3044468490058023E-2</v>
      </c>
      <c r="DB41" t="s">
        <v>377</v>
      </c>
      <c r="DC41">
        <v>60.7</v>
      </c>
      <c r="DD41">
        <f t="shared" si="15"/>
        <v>0.1337455870291018</v>
      </c>
      <c r="DI41" t="s">
        <v>520</v>
      </c>
      <c r="DJ41">
        <v>46.33</v>
      </c>
      <c r="DK41">
        <f t="shared" si="16"/>
        <v>0.13969694477082945</v>
      </c>
      <c r="DP41" t="s">
        <v>310</v>
      </c>
      <c r="DQ41">
        <v>39.451000000000001</v>
      </c>
      <c r="DR41">
        <f t="shared" si="17"/>
        <v>0.15071255817137619</v>
      </c>
      <c r="DW41" t="s">
        <v>338</v>
      </c>
      <c r="DX41">
        <v>31.1</v>
      </c>
      <c r="DY41">
        <f t="shared" si="18"/>
        <v>0.13245380598984219</v>
      </c>
      <c r="ED41" t="s">
        <v>379</v>
      </c>
      <c r="EE41">
        <v>15.959699999999998</v>
      </c>
      <c r="EF41">
        <f t="shared" si="19"/>
        <v>8.1900000785146351E-2</v>
      </c>
    </row>
    <row r="42" spans="1:136" x14ac:dyDescent="0.2">
      <c r="A42" t="s">
        <v>491</v>
      </c>
      <c r="B42">
        <v>149.06</v>
      </c>
      <c r="C42">
        <f t="shared" si="1"/>
        <v>0.14282834229436017</v>
      </c>
      <c r="H42" t="s">
        <v>204</v>
      </c>
      <c r="I42">
        <v>134.01999999999998</v>
      </c>
      <c r="J42">
        <f t="shared" si="2"/>
        <v>0.13724210143647483</v>
      </c>
      <c r="O42" t="s">
        <v>340</v>
      </c>
      <c r="P42">
        <v>116.09</v>
      </c>
      <c r="Q42">
        <f t="shared" si="3"/>
        <v>0.12746934103763929</v>
      </c>
      <c r="V42" t="s">
        <v>242</v>
      </c>
      <c r="W42">
        <v>98.350000000000009</v>
      </c>
      <c r="X42">
        <f t="shared" si="0"/>
        <v>0.10723587563953091</v>
      </c>
      <c r="AC42" t="s">
        <v>461</v>
      </c>
      <c r="AD42">
        <v>88.91</v>
      </c>
      <c r="AE42">
        <f t="shared" si="4"/>
        <v>0.10095299582642078</v>
      </c>
      <c r="AJ42" t="s">
        <v>342</v>
      </c>
      <c r="AK42">
        <v>84.199999999999989</v>
      </c>
      <c r="AL42">
        <f t="shared" si="5"/>
        <v>0.1021222012210031</v>
      </c>
      <c r="AQ42" t="s">
        <v>339</v>
      </c>
      <c r="AR42">
        <v>90.805691999999993</v>
      </c>
      <c r="AS42">
        <f t="shared" si="6"/>
        <v>0.11376429340578043</v>
      </c>
      <c r="AX42" t="s">
        <v>274</v>
      </c>
      <c r="AY42">
        <v>92.7</v>
      </c>
      <c r="AZ42">
        <f t="shared" si="7"/>
        <v>0.11676938047356471</v>
      </c>
      <c r="BE42" t="s">
        <v>342</v>
      </c>
      <c r="BF42">
        <v>79.76375800000001</v>
      </c>
      <c r="BG42">
        <f t="shared" si="8"/>
        <v>0.10335651575374011</v>
      </c>
      <c r="BL42" t="s">
        <v>333</v>
      </c>
      <c r="BM42">
        <v>72.787499999999994</v>
      </c>
      <c r="BN42">
        <f t="shared" si="9"/>
        <v>9.6444495737229477E-2</v>
      </c>
      <c r="BS42" t="s">
        <v>342</v>
      </c>
      <c r="BT42">
        <v>73.599999999999994</v>
      </c>
      <c r="BU42">
        <f t="shared" si="10"/>
        <v>9.9112125035332246E-2</v>
      </c>
      <c r="BZ42" t="s">
        <v>37</v>
      </c>
      <c r="CA42">
        <v>63.76</v>
      </c>
      <c r="CB42">
        <f t="shared" si="11"/>
        <v>8.8281576136282611E-2</v>
      </c>
      <c r="CG42" t="s">
        <v>519</v>
      </c>
      <c r="CH42">
        <v>35.200000000000003</v>
      </c>
      <c r="CI42">
        <f t="shared" si="12"/>
        <v>5.0219756375116303E-2</v>
      </c>
      <c r="CN42" t="s">
        <v>370</v>
      </c>
      <c r="CO42">
        <v>35.083842794759825</v>
      </c>
      <c r="CP42">
        <f t="shared" si="13"/>
        <v>5.3308371492091389E-2</v>
      </c>
      <c r="CU42" t="s">
        <v>267</v>
      </c>
      <c r="CV42">
        <v>35.237299999999998</v>
      </c>
      <c r="CW42">
        <f t="shared" si="14"/>
        <v>6.672256972015557E-2</v>
      </c>
      <c r="DB42" t="s">
        <v>365</v>
      </c>
      <c r="DC42">
        <v>52.2</v>
      </c>
      <c r="DD42">
        <f t="shared" si="15"/>
        <v>0.1150167980711551</v>
      </c>
      <c r="DI42" t="s">
        <v>365</v>
      </c>
      <c r="DJ42">
        <v>45.3</v>
      </c>
      <c r="DK42">
        <f t="shared" si="16"/>
        <v>0.13659122810530056</v>
      </c>
      <c r="DP42" t="s">
        <v>365</v>
      </c>
      <c r="DQ42">
        <v>39</v>
      </c>
      <c r="DR42">
        <f t="shared" si="17"/>
        <v>0.14898962684554692</v>
      </c>
      <c r="DW42" t="s">
        <v>374</v>
      </c>
      <c r="DX42">
        <v>22.1</v>
      </c>
      <c r="DY42">
        <f t="shared" si="18"/>
        <v>9.4123122584421612E-2</v>
      </c>
      <c r="ED42" t="s">
        <v>386</v>
      </c>
      <c r="EE42">
        <v>15.7</v>
      </c>
      <c r="EF42">
        <f t="shared" si="19"/>
        <v>8.056730466906005E-2</v>
      </c>
    </row>
    <row r="43" spans="1:136" x14ac:dyDescent="0.2">
      <c r="A43" t="s">
        <v>164</v>
      </c>
      <c r="B43">
        <v>138.89157764999999</v>
      </c>
      <c r="C43">
        <f t="shared" si="1"/>
        <v>0.13308502478463641</v>
      </c>
      <c r="H43" t="s">
        <v>164</v>
      </c>
      <c r="I43">
        <v>131.81</v>
      </c>
      <c r="J43">
        <f t="shared" si="2"/>
        <v>0.13497896873855955</v>
      </c>
      <c r="O43" t="s">
        <v>329</v>
      </c>
      <c r="P43">
        <v>103.09</v>
      </c>
      <c r="Q43">
        <f t="shared" si="3"/>
        <v>0.11319505872659347</v>
      </c>
      <c r="V43" t="s">
        <v>328</v>
      </c>
      <c r="W43">
        <v>92.5</v>
      </c>
      <c r="X43">
        <f t="shared" si="0"/>
        <v>0.10085733092685925</v>
      </c>
      <c r="AC43" t="s">
        <v>336</v>
      </c>
      <c r="AD43">
        <v>86.9</v>
      </c>
      <c r="AE43">
        <f t="shared" si="4"/>
        <v>9.8670738244471576E-2</v>
      </c>
      <c r="AJ43" t="s">
        <v>274</v>
      </c>
      <c r="AK43">
        <v>74.150000000000006</v>
      </c>
      <c r="AL43">
        <f t="shared" si="5"/>
        <v>8.9933031122771748E-2</v>
      </c>
      <c r="AQ43" t="s">
        <v>347</v>
      </c>
      <c r="AR43">
        <v>88.629393798434421</v>
      </c>
      <c r="AS43">
        <f t="shared" si="6"/>
        <v>0.1110377569774101</v>
      </c>
      <c r="AX43" t="s">
        <v>339</v>
      </c>
      <c r="AY43">
        <v>91.322626000000014</v>
      </c>
      <c r="AZ43">
        <f t="shared" si="7"/>
        <v>0.11503437390764891</v>
      </c>
      <c r="BE43" t="s">
        <v>492</v>
      </c>
      <c r="BF43">
        <v>79.400000000000006</v>
      </c>
      <c r="BG43">
        <f t="shared" si="8"/>
        <v>0.10288516434803589</v>
      </c>
      <c r="BL43" t="s">
        <v>492</v>
      </c>
      <c r="BM43">
        <v>70.989999999999995</v>
      </c>
      <c r="BN43">
        <f t="shared" si="9"/>
        <v>9.4062782103876641E-2</v>
      </c>
      <c r="BS43" t="s">
        <v>339</v>
      </c>
      <c r="BT43">
        <v>73.2</v>
      </c>
      <c r="BU43">
        <f t="shared" si="10"/>
        <v>9.8573472181879382E-2</v>
      </c>
      <c r="BZ43" t="s">
        <v>321</v>
      </c>
      <c r="CA43">
        <v>57.6</v>
      </c>
      <c r="CB43">
        <f t="shared" si="11"/>
        <v>7.9752490361510012E-2</v>
      </c>
      <c r="CG43" t="s">
        <v>267</v>
      </c>
      <c r="CH43">
        <v>34.601700000000001</v>
      </c>
      <c r="CI43">
        <f t="shared" si="12"/>
        <v>4.9366163186501763E-2</v>
      </c>
      <c r="CN43" t="s">
        <v>384</v>
      </c>
      <c r="CO43">
        <v>34.799999999999997</v>
      </c>
      <c r="CP43">
        <f t="shared" si="13"/>
        <v>5.2877084724648957E-2</v>
      </c>
      <c r="CU43" t="s">
        <v>372</v>
      </c>
      <c r="CV43">
        <v>34.4</v>
      </c>
      <c r="CW43">
        <f t="shared" si="14"/>
        <v>6.5137124534892052E-2</v>
      </c>
      <c r="DB43" t="s">
        <v>332</v>
      </c>
      <c r="DC43">
        <v>52</v>
      </c>
      <c r="DD43">
        <f t="shared" si="15"/>
        <v>0.11457612068390928</v>
      </c>
      <c r="DI43" t="s">
        <v>291</v>
      </c>
      <c r="DJ43">
        <v>43.9</v>
      </c>
      <c r="DK43">
        <f t="shared" si="16"/>
        <v>0.13236986564730008</v>
      </c>
      <c r="DP43" t="s">
        <v>382</v>
      </c>
      <c r="DQ43">
        <v>35</v>
      </c>
      <c r="DR43">
        <f t="shared" si="17"/>
        <v>0.13370863947677286</v>
      </c>
      <c r="DW43" t="s">
        <v>383</v>
      </c>
      <c r="DX43">
        <v>21.938849999999999</v>
      </c>
      <c r="DY43">
        <f t="shared" si="18"/>
        <v>9.3436790403223433E-2</v>
      </c>
      <c r="ED43" t="s">
        <v>267</v>
      </c>
      <c r="EE43">
        <v>15.33</v>
      </c>
      <c r="EF43">
        <f t="shared" si="19"/>
        <v>7.8668584750107684E-2</v>
      </c>
    </row>
    <row r="44" spans="1:136" x14ac:dyDescent="0.2">
      <c r="A44" t="s">
        <v>330</v>
      </c>
      <c r="B44">
        <v>132.68</v>
      </c>
      <c r="C44">
        <f t="shared" si="1"/>
        <v>0.12713313065621701</v>
      </c>
      <c r="H44" t="s">
        <v>491</v>
      </c>
      <c r="I44">
        <v>130.87</v>
      </c>
      <c r="J44">
        <f t="shared" si="2"/>
        <v>0.13401636931048697</v>
      </c>
      <c r="O44" t="s">
        <v>492</v>
      </c>
      <c r="P44">
        <v>101.53</v>
      </c>
      <c r="Q44">
        <f t="shared" si="3"/>
        <v>0.11148214484926797</v>
      </c>
      <c r="V44" t="s">
        <v>507</v>
      </c>
      <c r="W44">
        <v>92.11</v>
      </c>
      <c r="X44">
        <f t="shared" si="0"/>
        <v>0.10043209461268114</v>
      </c>
      <c r="AC44" t="s">
        <v>342</v>
      </c>
      <c r="AD44">
        <v>83.805999999999997</v>
      </c>
      <c r="AE44">
        <f t="shared" si="4"/>
        <v>9.5157651200416388E-2</v>
      </c>
      <c r="AJ44" t="s">
        <v>349</v>
      </c>
      <c r="AK44">
        <v>72.7</v>
      </c>
      <c r="AL44">
        <f t="shared" si="5"/>
        <v>8.8174394640937362E-2</v>
      </c>
      <c r="AQ44" t="s">
        <v>342</v>
      </c>
      <c r="AR44">
        <v>84.399999999999991</v>
      </c>
      <c r="AS44">
        <f t="shared" si="6"/>
        <v>0.10573903630895594</v>
      </c>
      <c r="AX44" t="s">
        <v>355</v>
      </c>
      <c r="AY44">
        <v>82.3</v>
      </c>
      <c r="AZ44">
        <f t="shared" si="7"/>
        <v>0.103669040053661</v>
      </c>
      <c r="BE44" t="s">
        <v>334</v>
      </c>
      <c r="BF44">
        <v>72.094530651341003</v>
      </c>
      <c r="BG44">
        <f t="shared" si="8"/>
        <v>9.3418861897452521E-2</v>
      </c>
      <c r="BL44" t="s">
        <v>360</v>
      </c>
      <c r="BM44">
        <v>70.099999999999994</v>
      </c>
      <c r="BN44">
        <f t="shared" si="9"/>
        <v>9.2883519164414022E-2</v>
      </c>
      <c r="BS44" t="s">
        <v>360</v>
      </c>
      <c r="BT44">
        <v>72.11</v>
      </c>
      <c r="BU44">
        <f t="shared" si="10"/>
        <v>9.7105643156220223E-2</v>
      </c>
      <c r="BZ44" t="s">
        <v>344</v>
      </c>
      <c r="CA44">
        <v>50.1</v>
      </c>
      <c r="CB44">
        <f t="shared" si="11"/>
        <v>6.9368051512355061E-2</v>
      </c>
      <c r="CG44" t="s">
        <v>320</v>
      </c>
      <c r="CH44">
        <v>33.299999999999997</v>
      </c>
      <c r="CI44">
        <f t="shared" si="12"/>
        <v>4.7509030888959455E-2</v>
      </c>
      <c r="CN44" t="s">
        <v>381</v>
      </c>
      <c r="CO44">
        <v>34.799999999999997</v>
      </c>
      <c r="CP44">
        <f t="shared" si="13"/>
        <v>5.2877084724648957E-2</v>
      </c>
      <c r="CU44" t="s">
        <v>367</v>
      </c>
      <c r="CV44">
        <v>33.6</v>
      </c>
      <c r="CW44">
        <f t="shared" si="14"/>
        <v>6.3622307685243407E-2</v>
      </c>
      <c r="DB44" t="s">
        <v>351</v>
      </c>
      <c r="DC44">
        <v>46.183200000000006</v>
      </c>
      <c r="DD44">
        <f t="shared" si="15"/>
        <v>0.1017594595532523</v>
      </c>
      <c r="DI44" t="s">
        <v>345</v>
      </c>
      <c r="DJ44">
        <v>41.4</v>
      </c>
      <c r="DK44">
        <f t="shared" si="16"/>
        <v>0.12483171840087071</v>
      </c>
      <c r="DP44" t="s">
        <v>345</v>
      </c>
      <c r="DQ44">
        <v>34.799999999999997</v>
      </c>
      <c r="DR44">
        <f t="shared" si="17"/>
        <v>0.13294459010833415</v>
      </c>
      <c r="DW44" t="s">
        <v>345</v>
      </c>
      <c r="DX44">
        <v>20.7</v>
      </c>
      <c r="DY44">
        <f t="shared" si="18"/>
        <v>8.8160571832467283E-2</v>
      </c>
      <c r="ED44" t="s">
        <v>382</v>
      </c>
      <c r="EE44">
        <v>14.8</v>
      </c>
      <c r="EF44">
        <f t="shared" si="19"/>
        <v>7.5948796758094836E-2</v>
      </c>
    </row>
    <row r="45" spans="1:136" x14ac:dyDescent="0.2">
      <c r="A45" t="s">
        <v>204</v>
      </c>
      <c r="B45">
        <v>132.18</v>
      </c>
      <c r="C45">
        <f t="shared" si="1"/>
        <v>0.12665403384186588</v>
      </c>
      <c r="H45" t="s">
        <v>492</v>
      </c>
      <c r="I45">
        <v>109.8</v>
      </c>
      <c r="J45">
        <f t="shared" si="2"/>
        <v>0.11243980553443469</v>
      </c>
      <c r="O45" t="s">
        <v>328</v>
      </c>
      <c r="P45">
        <v>96.1</v>
      </c>
      <c r="Q45">
        <f t="shared" si="3"/>
        <v>0.10551988693011574</v>
      </c>
      <c r="V45" t="s">
        <v>342</v>
      </c>
      <c r="W45">
        <v>85.61999999999999</v>
      </c>
      <c r="X45">
        <f t="shared" si="0"/>
        <v>9.3355726204947975E-2</v>
      </c>
      <c r="AC45" t="s">
        <v>347</v>
      </c>
      <c r="AD45">
        <v>72.2</v>
      </c>
      <c r="AE45">
        <f t="shared" si="4"/>
        <v>8.1979600704842892E-2</v>
      </c>
      <c r="AJ45" t="s">
        <v>347</v>
      </c>
      <c r="AK45">
        <v>71.908019603412967</v>
      </c>
      <c r="AL45">
        <f t="shared" si="5"/>
        <v>8.7213839042085212E-2</v>
      </c>
      <c r="AQ45" t="s">
        <v>274</v>
      </c>
      <c r="AR45">
        <v>83.2</v>
      </c>
      <c r="AS45">
        <f t="shared" si="6"/>
        <v>0.10423563768844947</v>
      </c>
      <c r="AX45" t="s">
        <v>342</v>
      </c>
      <c r="AY45">
        <v>81.245901000000003</v>
      </c>
      <c r="AZ45">
        <f t="shared" si="7"/>
        <v>0.10234124623286485</v>
      </c>
      <c r="BE45" t="s">
        <v>341</v>
      </c>
      <c r="BF45">
        <v>68.5</v>
      </c>
      <c r="BG45">
        <f t="shared" si="8"/>
        <v>8.8761130451391168E-2</v>
      </c>
      <c r="BL45" t="s">
        <v>322</v>
      </c>
      <c r="BM45">
        <v>56.7</v>
      </c>
      <c r="BN45">
        <f t="shared" si="9"/>
        <v>7.5128324345538899E-2</v>
      </c>
      <c r="BS45" t="s">
        <v>321</v>
      </c>
      <c r="BT45">
        <v>72</v>
      </c>
      <c r="BU45">
        <f t="shared" si="10"/>
        <v>9.6957513621520677E-2</v>
      </c>
      <c r="BZ45" t="s">
        <v>461</v>
      </c>
      <c r="CA45">
        <v>49.45</v>
      </c>
      <c r="CB45">
        <f t="shared" si="11"/>
        <v>6.8468066812094969E-2</v>
      </c>
      <c r="CG45" t="s">
        <v>372</v>
      </c>
      <c r="CH45">
        <v>32.673567122263314</v>
      </c>
      <c r="CI45">
        <f t="shared" si="12"/>
        <v>4.6615300590513456E-2</v>
      </c>
      <c r="CN45" t="s">
        <v>506</v>
      </c>
      <c r="CO45">
        <v>34.1</v>
      </c>
      <c r="CP45">
        <f t="shared" si="13"/>
        <v>5.1813465204325559E-2</v>
      </c>
      <c r="CU45" t="s">
        <v>506</v>
      </c>
      <c r="CV45">
        <v>32.5</v>
      </c>
      <c r="CW45">
        <f t="shared" si="14"/>
        <v>6.1539434516976507E-2</v>
      </c>
      <c r="DB45" t="s">
        <v>523</v>
      </c>
      <c r="DC45">
        <v>46</v>
      </c>
      <c r="DD45">
        <f t="shared" si="15"/>
        <v>0.10135579906653513</v>
      </c>
      <c r="DI45" t="s">
        <v>385</v>
      </c>
      <c r="DJ45">
        <v>39.799999999999997</v>
      </c>
      <c r="DK45">
        <f t="shared" si="16"/>
        <v>0.1200073041631559</v>
      </c>
      <c r="DP45" t="s">
        <v>337</v>
      </c>
      <c r="DQ45">
        <v>33.299999999999997</v>
      </c>
      <c r="DR45">
        <f t="shared" si="17"/>
        <v>0.12721421984504389</v>
      </c>
      <c r="DW45" t="s">
        <v>267</v>
      </c>
      <c r="DX45">
        <v>20.475000000000001</v>
      </c>
      <c r="DY45">
        <f t="shared" si="18"/>
        <v>8.7202304747331788E-2</v>
      </c>
      <c r="ED45" t="s">
        <v>345</v>
      </c>
      <c r="EE45">
        <v>14.4</v>
      </c>
      <c r="EF45">
        <f t="shared" si="19"/>
        <v>7.3896126575443616E-2</v>
      </c>
    </row>
    <row r="46" spans="1:136" x14ac:dyDescent="0.2">
      <c r="A46" t="s">
        <v>492</v>
      </c>
      <c r="B46">
        <v>106.34</v>
      </c>
      <c r="C46">
        <f t="shared" si="1"/>
        <v>0.10189431047619925</v>
      </c>
      <c r="H46" t="s">
        <v>456</v>
      </c>
      <c r="I46">
        <v>99.53</v>
      </c>
      <c r="J46">
        <f t="shared" si="2"/>
        <v>0.10192289476176944</v>
      </c>
      <c r="O46" t="s">
        <v>346</v>
      </c>
      <c r="P46">
        <v>92.69</v>
      </c>
      <c r="Q46">
        <f t="shared" si="3"/>
        <v>0.1017756328777568</v>
      </c>
      <c r="V46" t="s">
        <v>461</v>
      </c>
      <c r="W46">
        <v>70.44</v>
      </c>
      <c r="X46">
        <f t="shared" si="0"/>
        <v>7.6804220437707738E-2</v>
      </c>
      <c r="AC46" t="s">
        <v>274</v>
      </c>
      <c r="AD46">
        <v>69.2</v>
      </c>
      <c r="AE46">
        <f t="shared" si="4"/>
        <v>7.857324610491867E-2</v>
      </c>
      <c r="AJ46" t="s">
        <v>461</v>
      </c>
      <c r="AK46">
        <v>71.790000000000006</v>
      </c>
      <c r="AL46">
        <f t="shared" si="5"/>
        <v>8.7070698641993044E-2</v>
      </c>
      <c r="AQ46" t="s">
        <v>349</v>
      </c>
      <c r="AR46">
        <v>73.5</v>
      </c>
      <c r="AS46">
        <f t="shared" si="6"/>
        <v>9.2083165506022052E-2</v>
      </c>
      <c r="AX46" t="s">
        <v>34</v>
      </c>
      <c r="AY46">
        <v>80.55</v>
      </c>
      <c r="AZ46">
        <f t="shared" si="7"/>
        <v>0.10146465584838875</v>
      </c>
      <c r="BE46" t="s">
        <v>333</v>
      </c>
      <c r="BF46">
        <v>67.875</v>
      </c>
      <c r="BG46">
        <f t="shared" si="8"/>
        <v>8.7951266122455116E-2</v>
      </c>
      <c r="BL46" t="s">
        <v>337</v>
      </c>
      <c r="BM46">
        <v>53.880924902572218</v>
      </c>
      <c r="BN46">
        <f t="shared" si="9"/>
        <v>7.1393008855697854E-2</v>
      </c>
      <c r="BS46" t="s">
        <v>492</v>
      </c>
      <c r="BT46">
        <v>71.89</v>
      </c>
      <c r="BU46">
        <f t="shared" si="10"/>
        <v>9.6809384086821132E-2</v>
      </c>
      <c r="BZ46" t="s">
        <v>204</v>
      </c>
      <c r="CA46">
        <v>49.1</v>
      </c>
      <c r="CB46">
        <f t="shared" si="11"/>
        <v>6.7983459665801063E-2</v>
      </c>
      <c r="CG46" t="s">
        <v>381</v>
      </c>
      <c r="CH46">
        <v>31.7</v>
      </c>
      <c r="CI46">
        <f t="shared" si="12"/>
        <v>4.5226314690090537E-2</v>
      </c>
      <c r="CN46" t="s">
        <v>505</v>
      </c>
      <c r="CO46">
        <v>32.9</v>
      </c>
      <c r="CP46">
        <f t="shared" si="13"/>
        <v>4.999011745519974E-2</v>
      </c>
      <c r="CU46" t="s">
        <v>376</v>
      </c>
      <c r="CV46">
        <v>31.4</v>
      </c>
      <c r="CW46">
        <f t="shared" si="14"/>
        <v>5.9456561348709601E-2</v>
      </c>
      <c r="DB46" t="s">
        <v>324</v>
      </c>
      <c r="DC46">
        <v>39.197147657725338</v>
      </c>
      <c r="DD46">
        <f t="shared" si="15"/>
        <v>8.6366483086472115E-2</v>
      </c>
      <c r="DI46" t="s">
        <v>387</v>
      </c>
      <c r="DJ46">
        <v>34.700000000000003</v>
      </c>
      <c r="DK46">
        <f t="shared" si="16"/>
        <v>0.10462948378043996</v>
      </c>
      <c r="DP46" t="s">
        <v>362</v>
      </c>
      <c r="DQ46">
        <v>32.799999999999997</v>
      </c>
      <c r="DR46">
        <f t="shared" si="17"/>
        <v>0.12530409642394713</v>
      </c>
      <c r="DW46" t="s">
        <v>311</v>
      </c>
      <c r="DX46">
        <v>20.100000000000001</v>
      </c>
      <c r="DY46">
        <f t="shared" si="18"/>
        <v>8.5605192938772598E-2</v>
      </c>
      <c r="ED46" t="s">
        <v>350</v>
      </c>
      <c r="EE46">
        <v>13.7</v>
      </c>
      <c r="EF46">
        <f t="shared" si="19"/>
        <v>7.0303953755803991E-2</v>
      </c>
    </row>
    <row r="47" spans="1:136" x14ac:dyDescent="0.2">
      <c r="A47" t="s">
        <v>346</v>
      </c>
      <c r="B47">
        <v>104.92069822000001</v>
      </c>
      <c r="C47">
        <f t="shared" si="1"/>
        <v>0.10053434455339746</v>
      </c>
      <c r="H47" t="s">
        <v>346</v>
      </c>
      <c r="I47">
        <v>98.09</v>
      </c>
      <c r="J47">
        <f t="shared" si="2"/>
        <v>0.10044827436131785</v>
      </c>
      <c r="O47" t="s">
        <v>342</v>
      </c>
      <c r="P47">
        <v>86.5</v>
      </c>
      <c r="Q47">
        <f t="shared" si="3"/>
        <v>9.4978878454266516E-2</v>
      </c>
      <c r="V47" t="s">
        <v>274</v>
      </c>
      <c r="W47">
        <v>66</v>
      </c>
      <c r="X47">
        <f t="shared" si="0"/>
        <v>7.196306855321849E-2</v>
      </c>
      <c r="AC47" t="s">
        <v>492</v>
      </c>
      <c r="AD47">
        <v>66.37</v>
      </c>
      <c r="AE47">
        <f t="shared" si="4"/>
        <v>7.5359918265656828E-2</v>
      </c>
      <c r="AJ47" t="s">
        <v>339</v>
      </c>
      <c r="AK47">
        <v>71.728610000000003</v>
      </c>
      <c r="AL47">
        <f t="shared" si="5"/>
        <v>8.6996241611910413E-2</v>
      </c>
      <c r="AQ47" t="s">
        <v>490</v>
      </c>
      <c r="AR47">
        <v>67.61</v>
      </c>
      <c r="AS47">
        <f t="shared" si="6"/>
        <v>8.4703983943702738E-2</v>
      </c>
      <c r="AX47" t="s">
        <v>333</v>
      </c>
      <c r="AY47">
        <v>64.575063909999997</v>
      </c>
      <c r="AZ47">
        <f t="shared" si="7"/>
        <v>8.1341857678657467E-2</v>
      </c>
      <c r="BE47" t="s">
        <v>339</v>
      </c>
      <c r="BF47">
        <v>65.034689</v>
      </c>
      <c r="BG47">
        <f t="shared" si="8"/>
        <v>8.4270839623279623E-2</v>
      </c>
      <c r="BL47" t="s">
        <v>490</v>
      </c>
      <c r="BM47">
        <v>51.73</v>
      </c>
      <c r="BN47">
        <f t="shared" si="9"/>
        <v>6.8543002088090416E-2</v>
      </c>
      <c r="BS47" t="s">
        <v>461</v>
      </c>
      <c r="BT47">
        <v>55.62</v>
      </c>
      <c r="BU47">
        <f t="shared" si="10"/>
        <v>7.4899679272624725E-2</v>
      </c>
      <c r="BZ47" t="s">
        <v>307</v>
      </c>
      <c r="CA47">
        <v>48.5</v>
      </c>
      <c r="CB47">
        <f t="shared" si="11"/>
        <v>6.7152704557868675E-2</v>
      </c>
      <c r="CG47" t="s">
        <v>384</v>
      </c>
      <c r="CH47">
        <v>30.7</v>
      </c>
      <c r="CI47">
        <f t="shared" si="12"/>
        <v>4.3799617065797457E-2</v>
      </c>
      <c r="CN47" t="s">
        <v>519</v>
      </c>
      <c r="CO47">
        <v>28.8</v>
      </c>
      <c r="CP47">
        <f t="shared" si="13"/>
        <v>4.376034597901983E-2</v>
      </c>
      <c r="CU47" t="s">
        <v>370</v>
      </c>
      <c r="CV47">
        <v>28.9</v>
      </c>
      <c r="CW47">
        <f t="shared" si="14"/>
        <v>5.4722758693557562E-2</v>
      </c>
      <c r="DB47" t="s">
        <v>348</v>
      </c>
      <c r="DC47">
        <v>38.9</v>
      </c>
      <c r="DD47">
        <f t="shared" si="15"/>
        <v>8.5711751819309054E-2</v>
      </c>
      <c r="DI47" t="s">
        <v>154</v>
      </c>
      <c r="DJ47">
        <v>28.8</v>
      </c>
      <c r="DK47">
        <f t="shared" si="16"/>
        <v>8.6839456278866578E-2</v>
      </c>
      <c r="DP47" t="s">
        <v>389</v>
      </c>
      <c r="DQ47">
        <v>29.4</v>
      </c>
      <c r="DR47">
        <f t="shared" si="17"/>
        <v>0.11231525716048919</v>
      </c>
      <c r="DW47" t="s">
        <v>390</v>
      </c>
      <c r="DX47">
        <v>20</v>
      </c>
      <c r="DY47">
        <f t="shared" si="18"/>
        <v>8.5179296456490139E-2</v>
      </c>
      <c r="ED47" t="s">
        <v>385</v>
      </c>
      <c r="EE47">
        <v>13.7</v>
      </c>
      <c r="EF47">
        <f t="shared" si="19"/>
        <v>7.0303953755803991E-2</v>
      </c>
    </row>
    <row r="48" spans="1:136" x14ac:dyDescent="0.2">
      <c r="A48" t="s">
        <v>328</v>
      </c>
      <c r="B48">
        <v>89.258977350000009</v>
      </c>
      <c r="C48">
        <f t="shared" si="1"/>
        <v>8.5527383401250115E-2</v>
      </c>
      <c r="H48" t="s">
        <v>461</v>
      </c>
      <c r="I48">
        <v>93.64</v>
      </c>
      <c r="J48">
        <f t="shared" si="2"/>
        <v>9.5891287707144487E-2</v>
      </c>
      <c r="O48" t="s">
        <v>242</v>
      </c>
      <c r="P48">
        <v>81.989000000000004</v>
      </c>
      <c r="Q48">
        <f t="shared" si="3"/>
        <v>9.0025702492333604E-2</v>
      </c>
      <c r="V48" t="s">
        <v>339</v>
      </c>
      <c r="W48">
        <v>64.41</v>
      </c>
      <c r="X48">
        <f t="shared" si="0"/>
        <v>7.0229412810800043E-2</v>
      </c>
      <c r="AC48" t="s">
        <v>339</v>
      </c>
      <c r="AD48">
        <v>65.923870999999991</v>
      </c>
      <c r="AE48">
        <f t="shared" si="4"/>
        <v>7.4853360408553615E-2</v>
      </c>
      <c r="AJ48" t="s">
        <v>277</v>
      </c>
      <c r="AK48">
        <v>71.099999999999994</v>
      </c>
      <c r="AL48">
        <f t="shared" si="5"/>
        <v>8.6233830247189072E-2</v>
      </c>
      <c r="AQ48" t="s">
        <v>355</v>
      </c>
      <c r="AR48">
        <v>66.3</v>
      </c>
      <c r="AS48">
        <f t="shared" si="6"/>
        <v>8.3062773782983157E-2</v>
      </c>
      <c r="AX48" t="s">
        <v>367</v>
      </c>
      <c r="AY48">
        <v>63.01</v>
      </c>
      <c r="AZ48">
        <f t="shared" si="7"/>
        <v>7.9370427870974244E-2</v>
      </c>
      <c r="BE48" t="s">
        <v>499</v>
      </c>
      <c r="BF48">
        <v>64.52</v>
      </c>
      <c r="BG48">
        <f t="shared" si="8"/>
        <v>8.3603914404726393E-2</v>
      </c>
      <c r="BL48" t="s">
        <v>204</v>
      </c>
      <c r="BM48">
        <v>50.8</v>
      </c>
      <c r="BN48">
        <f t="shared" si="9"/>
        <v>6.7310738567078934E-2</v>
      </c>
      <c r="BS48" t="s">
        <v>204</v>
      </c>
      <c r="BT48">
        <v>50.4</v>
      </c>
      <c r="BU48">
        <f t="shared" si="10"/>
        <v>6.7870259535064481E-2</v>
      </c>
      <c r="BZ48" t="s">
        <v>367</v>
      </c>
      <c r="CA48">
        <v>45.080778451272415</v>
      </c>
      <c r="CB48">
        <f t="shared" si="11"/>
        <v>6.2418478279938745E-2</v>
      </c>
      <c r="CG48" t="s">
        <v>518</v>
      </c>
      <c r="CH48">
        <v>30.2</v>
      </c>
      <c r="CI48">
        <f t="shared" si="12"/>
        <v>4.3086268253650917E-2</v>
      </c>
      <c r="CN48" t="s">
        <v>328</v>
      </c>
      <c r="CO48">
        <v>28.5</v>
      </c>
      <c r="CP48">
        <f t="shared" si="13"/>
        <v>4.3304509041738375E-2</v>
      </c>
      <c r="CU48" t="s">
        <v>505</v>
      </c>
      <c r="CV48">
        <v>27.1</v>
      </c>
      <c r="CW48">
        <f t="shared" si="14"/>
        <v>5.1314420781848107E-2</v>
      </c>
      <c r="DB48" t="s">
        <v>267</v>
      </c>
      <c r="DC48">
        <v>32.680200000000006</v>
      </c>
      <c r="DD48">
        <f t="shared" si="15"/>
        <v>7.2007125753351775E-2</v>
      </c>
      <c r="DI48" t="s">
        <v>388</v>
      </c>
      <c r="DJ48">
        <v>28.099999999999998</v>
      </c>
      <c r="DK48">
        <f t="shared" si="16"/>
        <v>8.4728775049866339E-2</v>
      </c>
      <c r="DP48" t="s">
        <v>385</v>
      </c>
      <c r="DQ48">
        <v>27.9</v>
      </c>
      <c r="DR48">
        <f t="shared" si="17"/>
        <v>0.10658488689719893</v>
      </c>
      <c r="DW48" t="s">
        <v>382</v>
      </c>
      <c r="DX48">
        <v>19.7</v>
      </c>
      <c r="DY48">
        <f t="shared" si="18"/>
        <v>8.390160700964279E-2</v>
      </c>
      <c r="ED48" t="s">
        <v>395</v>
      </c>
      <c r="EE48">
        <v>13.4</v>
      </c>
      <c r="EF48">
        <f t="shared" si="19"/>
        <v>6.8764451118815587E-2</v>
      </c>
    </row>
    <row r="49" spans="1:136" x14ac:dyDescent="0.2">
      <c r="A49" t="s">
        <v>342</v>
      </c>
      <c r="B49">
        <v>88.626000000000005</v>
      </c>
      <c r="C49">
        <f t="shared" si="1"/>
        <v>8.4920868537367258E-2</v>
      </c>
      <c r="H49" t="s">
        <v>328</v>
      </c>
      <c r="I49">
        <v>92.688450000000003</v>
      </c>
      <c r="J49">
        <f t="shared" si="2"/>
        <v>9.4916860594609964E-2</v>
      </c>
      <c r="O49" t="s">
        <v>497</v>
      </c>
      <c r="P49">
        <v>62.34</v>
      </c>
      <c r="Q49">
        <f t="shared" si="3"/>
        <v>6.8450673790045949E-2</v>
      </c>
      <c r="V49" t="s">
        <v>329</v>
      </c>
      <c r="W49">
        <v>62.36</v>
      </c>
      <c r="X49">
        <f t="shared" si="0"/>
        <v>6.7994196287556138E-2</v>
      </c>
      <c r="AC49" t="s">
        <v>277</v>
      </c>
      <c r="AD49">
        <v>64.63</v>
      </c>
      <c r="AE49">
        <f t="shared" si="4"/>
        <v>7.3384232597700771E-2</v>
      </c>
      <c r="AJ49" t="s">
        <v>367</v>
      </c>
      <c r="AK49">
        <v>60.607711456954128</v>
      </c>
      <c r="AL49">
        <f t="shared" si="5"/>
        <v>7.3508229274959203E-2</v>
      </c>
      <c r="AQ49" t="s">
        <v>461</v>
      </c>
      <c r="AR49">
        <v>64.48</v>
      </c>
      <c r="AS49">
        <f t="shared" si="6"/>
        <v>8.0782619208548331E-2</v>
      </c>
      <c r="AX49" t="s">
        <v>461</v>
      </c>
      <c r="AY49">
        <v>61.03</v>
      </c>
      <c r="AZ49">
        <f t="shared" si="7"/>
        <v>7.6876324598723345E-2</v>
      </c>
      <c r="BE49" t="s">
        <v>461</v>
      </c>
      <c r="BF49">
        <v>61.59</v>
      </c>
      <c r="BG49">
        <f t="shared" si="8"/>
        <v>7.9807270430674204E-2</v>
      </c>
      <c r="BL49" t="s">
        <v>344</v>
      </c>
      <c r="BM49">
        <v>48.7</v>
      </c>
      <c r="BN49">
        <f t="shared" si="9"/>
        <v>6.4528208035762674E-2</v>
      </c>
      <c r="BS49" t="s">
        <v>344</v>
      </c>
      <c r="BT49">
        <v>48.7</v>
      </c>
      <c r="BU49">
        <f t="shared" si="10"/>
        <v>6.5580984907889703E-2</v>
      </c>
      <c r="BZ49" t="s">
        <v>348</v>
      </c>
      <c r="CA49">
        <v>43.408273335889604</v>
      </c>
      <c r="CB49">
        <f t="shared" si="11"/>
        <v>6.0102741333859858E-2</v>
      </c>
      <c r="CG49" t="s">
        <v>328</v>
      </c>
      <c r="CH49">
        <v>29.8</v>
      </c>
      <c r="CI49">
        <f t="shared" si="12"/>
        <v>4.2515589203933689E-2</v>
      </c>
      <c r="CN49" t="s">
        <v>518</v>
      </c>
      <c r="CO49">
        <v>27.8</v>
      </c>
      <c r="CP49">
        <f t="shared" si="13"/>
        <v>4.2240889521414977E-2</v>
      </c>
      <c r="CU49" t="s">
        <v>519</v>
      </c>
      <c r="CV49">
        <v>24.6</v>
      </c>
      <c r="CW49">
        <f t="shared" si="14"/>
        <v>4.6580618126696061E-2</v>
      </c>
      <c r="DB49" t="s">
        <v>394</v>
      </c>
      <c r="DC49">
        <v>32.5</v>
      </c>
      <c r="DD49">
        <f t="shared" si="15"/>
        <v>7.1610075427443312E-2</v>
      </c>
      <c r="DI49" t="s">
        <v>392</v>
      </c>
      <c r="DJ49">
        <v>27</v>
      </c>
      <c r="DK49">
        <f t="shared" si="16"/>
        <v>8.1411990261437417E-2</v>
      </c>
      <c r="DP49" t="s">
        <v>388</v>
      </c>
      <c r="DQ49">
        <v>25.5</v>
      </c>
      <c r="DR49">
        <f t="shared" si="17"/>
        <v>9.7416294475934515E-2</v>
      </c>
      <c r="DW49" t="s">
        <v>385</v>
      </c>
      <c r="DX49">
        <v>19.600000000000001</v>
      </c>
      <c r="DY49">
        <f t="shared" si="18"/>
        <v>8.3475710527360344E-2</v>
      </c>
      <c r="ED49" t="s">
        <v>388</v>
      </c>
      <c r="EE49">
        <v>13.3</v>
      </c>
      <c r="EF49">
        <f t="shared" si="19"/>
        <v>6.8251283573152785E-2</v>
      </c>
    </row>
    <row r="50" spans="1:136" x14ac:dyDescent="0.2">
      <c r="A50" t="s">
        <v>461</v>
      </c>
      <c r="B50">
        <v>80.959999999999994</v>
      </c>
      <c r="C50">
        <f t="shared" si="1"/>
        <v>7.7575356179735655E-2</v>
      </c>
      <c r="H50" t="s">
        <v>342</v>
      </c>
      <c r="I50">
        <v>87.896999999999991</v>
      </c>
      <c r="J50">
        <f t="shared" si="2"/>
        <v>9.0010214818398951E-2</v>
      </c>
      <c r="O50" t="s">
        <v>491</v>
      </c>
      <c r="P50">
        <v>60.68</v>
      </c>
      <c r="Q50">
        <f t="shared" si="3"/>
        <v>6.6627957741097019E-2</v>
      </c>
      <c r="V50" t="s">
        <v>367</v>
      </c>
      <c r="W50">
        <v>60.343057368172659</v>
      </c>
      <c r="X50">
        <f t="shared" si="0"/>
        <v>6.5795023849948564E-2</v>
      </c>
      <c r="AC50" t="s">
        <v>367</v>
      </c>
      <c r="AD50">
        <v>60.188837642826797</v>
      </c>
      <c r="AE50">
        <f t="shared" si="4"/>
        <v>6.8341507989578373E-2</v>
      </c>
      <c r="AJ50" t="s">
        <v>355</v>
      </c>
      <c r="AK50">
        <v>58.2</v>
      </c>
      <c r="AL50">
        <f t="shared" si="5"/>
        <v>7.0588029822593601E-2</v>
      </c>
      <c r="AQ50" t="s">
        <v>367</v>
      </c>
      <c r="AR50">
        <v>60.425675103633033</v>
      </c>
      <c r="AS50">
        <f t="shared" si="6"/>
        <v>7.5703230494979012E-2</v>
      </c>
      <c r="AX50" t="s">
        <v>349</v>
      </c>
      <c r="AY50">
        <v>59.9</v>
      </c>
      <c r="AZ50">
        <f t="shared" si="7"/>
        <v>7.5452922226176111E-2</v>
      </c>
      <c r="BE50" t="s">
        <v>360</v>
      </c>
      <c r="BF50">
        <v>55.1</v>
      </c>
      <c r="BG50">
        <f t="shared" si="8"/>
        <v>7.1397639239002247E-2</v>
      </c>
      <c r="BL50" t="s">
        <v>350</v>
      </c>
      <c r="BM50">
        <v>46</v>
      </c>
      <c r="BN50">
        <f t="shared" si="9"/>
        <v>6.0950668781213205E-2</v>
      </c>
      <c r="BS50" t="s">
        <v>367</v>
      </c>
      <c r="BT50">
        <v>46.278616011557681</v>
      </c>
      <c r="BU50">
        <f t="shared" si="10"/>
        <v>6.2320271421190683E-2</v>
      </c>
      <c r="BZ50" t="s">
        <v>490</v>
      </c>
      <c r="CA50">
        <v>42.82</v>
      </c>
      <c r="CB50">
        <f t="shared" si="11"/>
        <v>5.9288222869441992E-2</v>
      </c>
      <c r="CG50" t="s">
        <v>505</v>
      </c>
      <c r="CH50">
        <v>29</v>
      </c>
      <c r="CI50">
        <f t="shared" si="12"/>
        <v>4.1374231104499233E-2</v>
      </c>
      <c r="CN50" t="s">
        <v>393</v>
      </c>
      <c r="CO50">
        <v>26.3</v>
      </c>
      <c r="CP50">
        <f t="shared" si="13"/>
        <v>3.9961704835007696E-2</v>
      </c>
      <c r="CU50" t="s">
        <v>347</v>
      </c>
      <c r="CV50">
        <v>23.8</v>
      </c>
      <c r="CW50">
        <f t="shared" si="14"/>
        <v>4.5065801277047415E-2</v>
      </c>
      <c r="DB50" t="s">
        <v>520</v>
      </c>
      <c r="DC50">
        <v>32.200000000000003</v>
      </c>
      <c r="DD50">
        <f t="shared" si="15"/>
        <v>7.0949059346574597E-2</v>
      </c>
      <c r="DI50" t="s">
        <v>204</v>
      </c>
      <c r="DJ50">
        <v>24.7</v>
      </c>
      <c r="DK50">
        <f t="shared" si="16"/>
        <v>7.4476894794722373E-2</v>
      </c>
      <c r="DP50" t="s">
        <v>334</v>
      </c>
      <c r="DQ50">
        <v>21</v>
      </c>
      <c r="DR50">
        <f t="shared" si="17"/>
        <v>8.0225183686063711E-2</v>
      </c>
      <c r="DW50" t="s">
        <v>378</v>
      </c>
      <c r="DX50">
        <v>19.2</v>
      </c>
      <c r="DY50">
        <f t="shared" si="18"/>
        <v>8.1772124598230536E-2</v>
      </c>
      <c r="ED50" t="s">
        <v>348</v>
      </c>
      <c r="EE50">
        <v>13.2</v>
      </c>
      <c r="EF50">
        <f t="shared" si="19"/>
        <v>6.7738116027489984E-2</v>
      </c>
    </row>
    <row r="51" spans="1:136" x14ac:dyDescent="0.2">
      <c r="A51" t="s">
        <v>358</v>
      </c>
      <c r="B51">
        <v>64.284874500000001</v>
      </c>
      <c r="C51">
        <f t="shared" si="1"/>
        <v>6.1597357167824933E-2</v>
      </c>
      <c r="H51" t="s">
        <v>358</v>
      </c>
      <c r="I51">
        <v>61.98</v>
      </c>
      <c r="J51">
        <f t="shared" si="2"/>
        <v>6.3470119736104391E-2</v>
      </c>
      <c r="O51" t="s">
        <v>359</v>
      </c>
      <c r="P51">
        <v>57</v>
      </c>
      <c r="Q51">
        <f t="shared" si="3"/>
        <v>6.2587237825354816E-2</v>
      </c>
      <c r="V51" t="s">
        <v>277</v>
      </c>
      <c r="W51">
        <v>58.75</v>
      </c>
      <c r="X51">
        <f t="shared" si="0"/>
        <v>6.4058034507599795E-2</v>
      </c>
      <c r="AC51" t="s">
        <v>452</v>
      </c>
      <c r="AD51">
        <v>59.247999999999998</v>
      </c>
      <c r="AE51">
        <f t="shared" si="4"/>
        <v>6.7273232445436718E-2</v>
      </c>
      <c r="AJ51" t="s">
        <v>452</v>
      </c>
      <c r="AK51">
        <v>56.128999999999998</v>
      </c>
      <c r="AL51">
        <f t="shared" si="5"/>
        <v>6.8076211785435672E-2</v>
      </c>
      <c r="AQ51" t="s">
        <v>333</v>
      </c>
      <c r="AR51">
        <v>58.1</v>
      </c>
      <c r="AS51">
        <f t="shared" si="6"/>
        <v>7.2789549876188867E-2</v>
      </c>
      <c r="AX51" t="s">
        <v>490</v>
      </c>
      <c r="AY51">
        <v>56.1</v>
      </c>
      <c r="AZ51">
        <f t="shared" si="7"/>
        <v>7.0666259380442076E-2</v>
      </c>
      <c r="BE51" t="s">
        <v>349</v>
      </c>
      <c r="BF51">
        <v>49.3</v>
      </c>
      <c r="BG51">
        <f t="shared" si="8"/>
        <v>6.3882098266475687E-2</v>
      </c>
      <c r="BL51" t="s">
        <v>367</v>
      </c>
      <c r="BM51">
        <v>45.596565330509321</v>
      </c>
      <c r="BN51">
        <f t="shared" si="9"/>
        <v>6.0416111978713535E-2</v>
      </c>
      <c r="BS51" t="s">
        <v>350</v>
      </c>
      <c r="BT51">
        <v>45.7</v>
      </c>
      <c r="BU51">
        <f t="shared" si="10"/>
        <v>6.1541088506992997E-2</v>
      </c>
      <c r="BZ51" t="s">
        <v>350</v>
      </c>
      <c r="CA51">
        <v>42.8</v>
      </c>
      <c r="CB51">
        <f t="shared" si="11"/>
        <v>5.9260531032510909E-2</v>
      </c>
      <c r="CG51" t="s">
        <v>376</v>
      </c>
      <c r="CH51">
        <v>28.92547712818822</v>
      </c>
      <c r="CI51">
        <f t="shared" si="12"/>
        <v>4.1267909500329866E-2</v>
      </c>
      <c r="CN51" t="s">
        <v>396</v>
      </c>
      <c r="CO51">
        <v>23.3</v>
      </c>
      <c r="CP51">
        <f t="shared" si="13"/>
        <v>3.5403335462193125E-2</v>
      </c>
      <c r="CU51" t="s">
        <v>328</v>
      </c>
      <c r="CV51">
        <v>23.1</v>
      </c>
      <c r="CW51">
        <f t="shared" si="14"/>
        <v>4.3740336533604839E-2</v>
      </c>
      <c r="DB51" t="s">
        <v>204</v>
      </c>
      <c r="DC51">
        <v>32.200000000000003</v>
      </c>
      <c r="DD51">
        <f t="shared" si="15"/>
        <v>7.0949059346574597E-2</v>
      </c>
      <c r="DI51" t="s">
        <v>397</v>
      </c>
      <c r="DJ51">
        <v>23</v>
      </c>
      <c r="DK51">
        <f t="shared" si="16"/>
        <v>6.9350954667150383E-2</v>
      </c>
      <c r="DP51" t="s">
        <v>383</v>
      </c>
      <c r="DQ51">
        <v>19.979999999999997</v>
      </c>
      <c r="DR51">
        <f t="shared" si="17"/>
        <v>7.632853190702632E-2</v>
      </c>
      <c r="DW51" t="s">
        <v>399</v>
      </c>
      <c r="DX51">
        <v>18.7</v>
      </c>
      <c r="DY51">
        <f t="shared" si="18"/>
        <v>7.9642642186818283E-2</v>
      </c>
      <c r="ED51" t="s">
        <v>372</v>
      </c>
      <c r="EE51">
        <v>12.3</v>
      </c>
      <c r="EF51">
        <f t="shared" si="19"/>
        <v>6.3119608116524756E-2</v>
      </c>
    </row>
    <row r="52" spans="1:136" x14ac:dyDescent="0.2">
      <c r="A52" t="s">
        <v>274</v>
      </c>
      <c r="B52">
        <v>60.27</v>
      </c>
      <c r="C52">
        <f t="shared" si="1"/>
        <v>5.7750330001885737E-2</v>
      </c>
      <c r="H52" t="s">
        <v>274</v>
      </c>
      <c r="I52">
        <v>57.059999999999995</v>
      </c>
      <c r="J52">
        <f t="shared" si="2"/>
        <v>5.8431833367894745E-2</v>
      </c>
      <c r="O52" t="s">
        <v>274</v>
      </c>
      <c r="P52">
        <v>55.4</v>
      </c>
      <c r="Q52">
        <f t="shared" si="3"/>
        <v>6.0830403079379938E-2</v>
      </c>
      <c r="V52" t="s">
        <v>310</v>
      </c>
      <c r="W52">
        <v>56.546999999999997</v>
      </c>
      <c r="X52">
        <f t="shared" si="0"/>
        <v>6.165599450725525E-2</v>
      </c>
      <c r="AC52" t="s">
        <v>355</v>
      </c>
      <c r="AD52">
        <v>55.38</v>
      </c>
      <c r="AE52">
        <f t="shared" si="4"/>
        <v>6.2881305914601102E-2</v>
      </c>
      <c r="AJ52" t="s">
        <v>333</v>
      </c>
      <c r="AK52">
        <v>53.35</v>
      </c>
      <c r="AL52">
        <f t="shared" si="5"/>
        <v>6.4705694004044134E-2</v>
      </c>
      <c r="AQ52" t="s">
        <v>452</v>
      </c>
      <c r="AR52">
        <v>53.536000000000001</v>
      </c>
      <c r="AS52">
        <f t="shared" si="6"/>
        <v>6.7071623789529217E-2</v>
      </c>
      <c r="AX52" t="s">
        <v>337</v>
      </c>
      <c r="AY52">
        <v>54.8</v>
      </c>
      <c r="AZ52">
        <f t="shared" si="7"/>
        <v>6.9028716827954112E-2</v>
      </c>
      <c r="BE52" t="s">
        <v>337</v>
      </c>
      <c r="BF52">
        <v>48.5</v>
      </c>
      <c r="BG52">
        <f t="shared" si="8"/>
        <v>6.2845471925437546E-2</v>
      </c>
      <c r="BL52" t="s">
        <v>461</v>
      </c>
      <c r="BM52">
        <v>44.92</v>
      </c>
      <c r="BN52">
        <f t="shared" si="9"/>
        <v>5.9519653079393421E-2</v>
      </c>
      <c r="BS52" t="s">
        <v>348</v>
      </c>
      <c r="BT52">
        <v>44.026339837154431</v>
      </c>
      <c r="BU52">
        <f t="shared" si="10"/>
        <v>5.9287283950924995E-2</v>
      </c>
      <c r="BZ52" t="s">
        <v>360</v>
      </c>
      <c r="CA52">
        <v>41.92</v>
      </c>
      <c r="CB52">
        <f t="shared" si="11"/>
        <v>5.8042090207543397E-2</v>
      </c>
      <c r="CG52" t="s">
        <v>396</v>
      </c>
      <c r="CH52">
        <v>27.3</v>
      </c>
      <c r="CI52">
        <f t="shared" si="12"/>
        <v>3.8948845143201002E-2</v>
      </c>
      <c r="CN52" t="s">
        <v>347</v>
      </c>
      <c r="CO52">
        <v>23.2</v>
      </c>
      <c r="CP52">
        <f t="shared" si="13"/>
        <v>3.5251389816432638E-2</v>
      </c>
      <c r="CU52" t="s">
        <v>518</v>
      </c>
      <c r="CV52">
        <v>22.9</v>
      </c>
      <c r="CW52">
        <f t="shared" si="14"/>
        <v>4.3361632321192674E-2</v>
      </c>
      <c r="DB52" t="s">
        <v>392</v>
      </c>
      <c r="DC52">
        <v>31.3</v>
      </c>
      <c r="DD52">
        <f t="shared" si="15"/>
        <v>6.896601110396848E-2</v>
      </c>
      <c r="DI52" t="s">
        <v>372</v>
      </c>
      <c r="DJ52">
        <v>22.8</v>
      </c>
      <c r="DK52">
        <f t="shared" si="16"/>
        <v>6.8747902887436041E-2</v>
      </c>
      <c r="DP52" t="s">
        <v>267</v>
      </c>
      <c r="DQ52">
        <v>19.53</v>
      </c>
      <c r="DR52">
        <f t="shared" si="17"/>
        <v>7.4609420828039258E-2</v>
      </c>
      <c r="DW52" t="s">
        <v>388</v>
      </c>
      <c r="DX52">
        <v>18.100000000000001</v>
      </c>
      <c r="DY52">
        <f t="shared" si="18"/>
        <v>7.7087263293123584E-2</v>
      </c>
      <c r="ED52" t="s">
        <v>32</v>
      </c>
      <c r="EE52">
        <v>11.399999999999999</v>
      </c>
      <c r="EF52">
        <f t="shared" si="19"/>
        <v>5.8501100205559528E-2</v>
      </c>
    </row>
    <row r="53" spans="1:136" x14ac:dyDescent="0.2">
      <c r="A53" t="s">
        <v>367</v>
      </c>
      <c r="B53">
        <v>52.186226502369671</v>
      </c>
      <c r="C53">
        <f t="shared" si="1"/>
        <v>5.0004509740584097E-2</v>
      </c>
      <c r="H53" t="s">
        <v>359</v>
      </c>
      <c r="I53">
        <v>57</v>
      </c>
      <c r="J53">
        <f t="shared" si="2"/>
        <v>5.8370390851209271E-2</v>
      </c>
      <c r="O53" t="s">
        <v>310</v>
      </c>
      <c r="P53">
        <v>54.54</v>
      </c>
      <c r="Q53">
        <f t="shared" si="3"/>
        <v>5.988610440341844E-2</v>
      </c>
      <c r="V53" t="s">
        <v>366</v>
      </c>
      <c r="W53">
        <v>56.124290330886652</v>
      </c>
      <c r="X53">
        <f t="shared" si="0"/>
        <v>6.1195093220944449E-2</v>
      </c>
      <c r="AC53" t="s">
        <v>504</v>
      </c>
      <c r="AD53">
        <v>51.411298819914556</v>
      </c>
      <c r="AE53">
        <f t="shared" si="4"/>
        <v>5.8375038074431528E-2</v>
      </c>
      <c r="AJ53" t="s">
        <v>504</v>
      </c>
      <c r="AK53">
        <v>51.769086869481654</v>
      </c>
      <c r="AL53">
        <f t="shared" si="5"/>
        <v>6.2788279172360989E-2</v>
      </c>
      <c r="AQ53" t="s">
        <v>504</v>
      </c>
      <c r="AR53">
        <v>51.613597484353214</v>
      </c>
      <c r="AS53">
        <f t="shared" si="6"/>
        <v>6.4663176047794563E-2</v>
      </c>
      <c r="AX53" t="s">
        <v>504</v>
      </c>
      <c r="AY53">
        <v>53.82</v>
      </c>
      <c r="AZ53">
        <f t="shared" si="7"/>
        <v>6.7794261673001649E-2</v>
      </c>
      <c r="BE53" t="s">
        <v>367</v>
      </c>
      <c r="BF53">
        <v>46.417303506458488</v>
      </c>
      <c r="BG53">
        <f t="shared" si="8"/>
        <v>6.0146749368446405E-2</v>
      </c>
      <c r="BL53" t="s">
        <v>348</v>
      </c>
      <c r="BM53">
        <v>44.3</v>
      </c>
      <c r="BN53">
        <f t="shared" si="9"/>
        <v>5.869814406538576E-2</v>
      </c>
      <c r="BS53" t="s">
        <v>369</v>
      </c>
      <c r="BT53">
        <v>41.6</v>
      </c>
      <c r="BU53">
        <f t="shared" si="10"/>
        <v>5.6019896759100844E-2</v>
      </c>
      <c r="BZ53" t="s">
        <v>341</v>
      </c>
      <c r="CA53">
        <v>40.08</v>
      </c>
      <c r="CB53">
        <f t="shared" si="11"/>
        <v>5.5494441209884046E-2</v>
      </c>
      <c r="CG53" t="s">
        <v>375</v>
      </c>
      <c r="CH53">
        <v>22.8</v>
      </c>
      <c r="CI53">
        <f t="shared" si="12"/>
        <v>3.2528705833882149E-2</v>
      </c>
      <c r="CN53" t="s">
        <v>401</v>
      </c>
      <c r="CO53">
        <v>18.319990319456551</v>
      </c>
      <c r="CP53">
        <f t="shared" si="13"/>
        <v>2.7836427594156693E-2</v>
      </c>
      <c r="CU53" t="s">
        <v>393</v>
      </c>
      <c r="CV53">
        <v>22.1</v>
      </c>
      <c r="CW53">
        <f t="shared" si="14"/>
        <v>4.1846815471544022E-2</v>
      </c>
      <c r="DB53" t="s">
        <v>350</v>
      </c>
      <c r="DC53">
        <v>30.6</v>
      </c>
      <c r="DD53">
        <f t="shared" si="15"/>
        <v>6.7423640248608155E-2</v>
      </c>
      <c r="DI53" t="s">
        <v>394</v>
      </c>
      <c r="DJ53">
        <v>22.5</v>
      </c>
      <c r="DK53">
        <f t="shared" si="16"/>
        <v>6.7843325217864514E-2</v>
      </c>
      <c r="DP53" t="s">
        <v>372</v>
      </c>
      <c r="DQ53">
        <v>19.2</v>
      </c>
      <c r="DR53">
        <f t="shared" si="17"/>
        <v>7.3348739370115393E-2</v>
      </c>
      <c r="DW53" t="s">
        <v>386</v>
      </c>
      <c r="DX53">
        <v>17</v>
      </c>
      <c r="DY53">
        <f t="shared" si="18"/>
        <v>7.2402401988016618E-2</v>
      </c>
      <c r="ED53" t="s">
        <v>403</v>
      </c>
      <c r="EE53">
        <v>10.8</v>
      </c>
      <c r="EF53">
        <f t="shared" si="19"/>
        <v>5.5422094931582712E-2</v>
      </c>
    </row>
    <row r="54" spans="1:136" x14ac:dyDescent="0.2">
      <c r="A54" t="s">
        <v>310</v>
      </c>
      <c r="B54">
        <v>50.657488290000003</v>
      </c>
      <c r="C54">
        <f t="shared" si="1"/>
        <v>4.8539682525537781E-2</v>
      </c>
      <c r="H54" t="s">
        <v>310</v>
      </c>
      <c r="I54">
        <v>52.603830000000002</v>
      </c>
      <c r="J54">
        <f t="shared" si="2"/>
        <v>5.3868528374922238E-2</v>
      </c>
      <c r="O54" t="s">
        <v>366</v>
      </c>
      <c r="P54">
        <v>54.13</v>
      </c>
      <c r="Q54">
        <f t="shared" si="3"/>
        <v>5.943591549976239E-2</v>
      </c>
      <c r="V54" t="s">
        <v>359</v>
      </c>
      <c r="W54">
        <v>55.3</v>
      </c>
      <c r="X54">
        <f t="shared" si="0"/>
        <v>6.0296328651408826E-2</v>
      </c>
      <c r="AC54" t="s">
        <v>349</v>
      </c>
      <c r="AD54">
        <v>50.8</v>
      </c>
      <c r="AE54">
        <f t="shared" si="4"/>
        <v>5.7680937892050116E-2</v>
      </c>
      <c r="AJ54" t="s">
        <v>505</v>
      </c>
      <c r="AK54">
        <v>50.506426214128439</v>
      </c>
      <c r="AL54">
        <f t="shared" si="5"/>
        <v>6.1256857729132669E-2</v>
      </c>
      <c r="AQ54" t="s">
        <v>505</v>
      </c>
      <c r="AR54">
        <v>50.354729253027529</v>
      </c>
      <c r="AS54">
        <f t="shared" si="6"/>
        <v>6.308602541248251E-2</v>
      </c>
      <c r="AX54" t="s">
        <v>505</v>
      </c>
      <c r="AY54">
        <v>52.51</v>
      </c>
      <c r="AZ54">
        <f t="shared" si="7"/>
        <v>6.6144122639340691E-2</v>
      </c>
      <c r="BE54" t="s">
        <v>452</v>
      </c>
      <c r="BF54">
        <v>44.165999999999997</v>
      </c>
      <c r="BG54">
        <f t="shared" si="8"/>
        <v>5.7229548722863385E-2</v>
      </c>
      <c r="BL54" t="s">
        <v>369</v>
      </c>
      <c r="BM54">
        <v>42.4</v>
      </c>
      <c r="BN54">
        <f t="shared" si="9"/>
        <v>5.6180616441813915E-2</v>
      </c>
      <c r="BS54" t="s">
        <v>506</v>
      </c>
      <c r="BT54">
        <v>40.1</v>
      </c>
      <c r="BU54">
        <f t="shared" si="10"/>
        <v>5.3999948558652498E-2</v>
      </c>
      <c r="BZ54" t="s">
        <v>506</v>
      </c>
      <c r="CA54">
        <v>39.1</v>
      </c>
      <c r="CB54">
        <f t="shared" si="11"/>
        <v>5.4137541200261138E-2</v>
      </c>
      <c r="CG54" t="s">
        <v>400</v>
      </c>
      <c r="CH54">
        <v>18.2</v>
      </c>
      <c r="CI54">
        <f t="shared" si="12"/>
        <v>2.5965896762134E-2</v>
      </c>
      <c r="CN54" t="s">
        <v>400</v>
      </c>
      <c r="CO54">
        <v>17.5</v>
      </c>
      <c r="CP54">
        <f t="shared" si="13"/>
        <v>2.6590488008084969E-2</v>
      </c>
      <c r="CU54" t="s">
        <v>381</v>
      </c>
      <c r="CV54">
        <v>21.1</v>
      </c>
      <c r="CW54">
        <f t="shared" si="14"/>
        <v>3.9953294409483212E-2</v>
      </c>
      <c r="DB54" t="s">
        <v>372</v>
      </c>
      <c r="DC54">
        <v>28.7</v>
      </c>
      <c r="DD54">
        <f t="shared" si="15"/>
        <v>6.3237205069773011E-2</v>
      </c>
      <c r="DI54" t="s">
        <v>350</v>
      </c>
      <c r="DJ54">
        <v>21.6</v>
      </c>
      <c r="DK54">
        <f t="shared" si="16"/>
        <v>6.5129592209149934E-2</v>
      </c>
      <c r="DP54" t="s">
        <v>350</v>
      </c>
      <c r="DQ54">
        <v>18.8</v>
      </c>
      <c r="DR54">
        <f t="shared" si="17"/>
        <v>7.1820640633237995E-2</v>
      </c>
      <c r="DW54" t="s">
        <v>395</v>
      </c>
      <c r="DX54">
        <v>16.8</v>
      </c>
      <c r="DY54">
        <f t="shared" si="18"/>
        <v>7.1550609023451728E-2</v>
      </c>
      <c r="ED54" t="s">
        <v>408</v>
      </c>
      <c r="EE54">
        <v>9</v>
      </c>
      <c r="EF54">
        <f t="shared" si="19"/>
        <v>4.6185079109652256E-2</v>
      </c>
    </row>
    <row r="55" spans="1:136" x14ac:dyDescent="0.2">
      <c r="A55" t="s">
        <v>366</v>
      </c>
      <c r="B55">
        <v>50.276674755000002</v>
      </c>
      <c r="C55">
        <f t="shared" si="1"/>
        <v>4.8174789422577191E-2</v>
      </c>
      <c r="H55" t="s">
        <v>366</v>
      </c>
      <c r="I55">
        <v>52.208385</v>
      </c>
      <c r="J55">
        <f t="shared" si="2"/>
        <v>5.3463576108077393E-2</v>
      </c>
      <c r="O55" t="s">
        <v>367</v>
      </c>
      <c r="P55">
        <v>50.858629807072752</v>
      </c>
      <c r="Q55">
        <f t="shared" si="3"/>
        <v>5.5843879986086697E-2</v>
      </c>
      <c r="V55" t="s">
        <v>504</v>
      </c>
      <c r="W55">
        <v>51.543028168647474</v>
      </c>
      <c r="X55">
        <f t="shared" si="0"/>
        <v>5.6199916205164402E-2</v>
      </c>
      <c r="AC55" t="s">
        <v>505</v>
      </c>
      <c r="AD55">
        <v>50.157364702355665</v>
      </c>
      <c r="AE55">
        <f t="shared" si="4"/>
        <v>5.6951256657981973E-2</v>
      </c>
      <c r="AJ55" t="s">
        <v>369</v>
      </c>
      <c r="AK55">
        <v>45.6</v>
      </c>
      <c r="AL55">
        <f t="shared" si="5"/>
        <v>5.5306085221825917E-2</v>
      </c>
      <c r="AQ55" t="s">
        <v>337</v>
      </c>
      <c r="AR55">
        <v>49.3</v>
      </c>
      <c r="AS55">
        <f t="shared" si="6"/>
        <v>6.1764626659141321E-2</v>
      </c>
      <c r="AX55" t="s">
        <v>450</v>
      </c>
      <c r="AY55">
        <v>51.64</v>
      </c>
      <c r="AZ55">
        <f t="shared" si="7"/>
        <v>6.5048228777291064E-2</v>
      </c>
      <c r="BE55" t="s">
        <v>369</v>
      </c>
      <c r="BF55">
        <v>43.2</v>
      </c>
      <c r="BG55">
        <f t="shared" si="8"/>
        <v>5.5977822416059829E-2</v>
      </c>
      <c r="BL55" t="s">
        <v>370</v>
      </c>
      <c r="BM55">
        <v>39.208400245994738</v>
      </c>
      <c r="BN55">
        <f t="shared" si="9"/>
        <v>5.1951700365975302E-2</v>
      </c>
      <c r="BS55" t="s">
        <v>370</v>
      </c>
      <c r="BT55">
        <v>39.794894335993746</v>
      </c>
      <c r="BU55">
        <f t="shared" si="10"/>
        <v>5.3589083467348475E-2</v>
      </c>
      <c r="BZ55" t="s">
        <v>370</v>
      </c>
      <c r="CA55">
        <v>38.764876084554849</v>
      </c>
      <c r="CB55">
        <f t="shared" si="11"/>
        <v>5.3673531359350532E-2</v>
      </c>
      <c r="CG55" t="s">
        <v>347</v>
      </c>
      <c r="CH55">
        <v>16.5</v>
      </c>
      <c r="CI55">
        <f t="shared" si="12"/>
        <v>2.354051080083577E-2</v>
      </c>
      <c r="CN55" t="s">
        <v>371</v>
      </c>
      <c r="CO55">
        <v>16.5</v>
      </c>
      <c r="CP55">
        <f t="shared" si="13"/>
        <v>2.5071031550480113E-2</v>
      </c>
      <c r="CU55" t="s">
        <v>319</v>
      </c>
      <c r="CV55">
        <v>18</v>
      </c>
      <c r="CW55">
        <f t="shared" si="14"/>
        <v>3.4083379117094678E-2</v>
      </c>
      <c r="DB55" t="s">
        <v>407</v>
      </c>
      <c r="DC55">
        <v>28.4</v>
      </c>
      <c r="DD55">
        <f t="shared" si="15"/>
        <v>6.2576188988904297E-2</v>
      </c>
      <c r="DI55" t="s">
        <v>328</v>
      </c>
      <c r="DJ55">
        <v>21.4</v>
      </c>
      <c r="DK55">
        <f t="shared" si="16"/>
        <v>6.4526540429435578E-2</v>
      </c>
      <c r="DP55" t="s">
        <v>348</v>
      </c>
      <c r="DQ55">
        <v>18.3</v>
      </c>
      <c r="DR55">
        <f t="shared" si="17"/>
        <v>6.991051721214124E-2</v>
      </c>
      <c r="DW55" t="s">
        <v>350</v>
      </c>
      <c r="DX55">
        <v>15.9</v>
      </c>
      <c r="DY55">
        <f t="shared" si="18"/>
        <v>6.7717540682909652E-2</v>
      </c>
      <c r="ED55" t="s">
        <v>394</v>
      </c>
      <c r="EE55">
        <v>7.7</v>
      </c>
      <c r="EF55">
        <f t="shared" si="19"/>
        <v>3.9513901016035823E-2</v>
      </c>
    </row>
    <row r="56" spans="1:136" x14ac:dyDescent="0.2">
      <c r="A56" t="s">
        <v>277</v>
      </c>
      <c r="B56">
        <v>47.9026</v>
      </c>
      <c r="C56">
        <f t="shared" si="1"/>
        <v>4.5899966118273294E-2</v>
      </c>
      <c r="H56" t="s">
        <v>367</v>
      </c>
      <c r="I56">
        <v>51.03834216867471</v>
      </c>
      <c r="J56">
        <f t="shared" si="2"/>
        <v>5.2265403171636811E-2</v>
      </c>
      <c r="O56" t="s">
        <v>373</v>
      </c>
      <c r="P56">
        <v>49.27</v>
      </c>
      <c r="Q56">
        <f t="shared" si="3"/>
        <v>5.4099529958863718E-2</v>
      </c>
      <c r="V56" t="s">
        <v>355</v>
      </c>
      <c r="W56">
        <v>51.4</v>
      </c>
      <c r="X56">
        <f t="shared" si="0"/>
        <v>5.6043965509627737E-2</v>
      </c>
      <c r="AC56" t="s">
        <v>333</v>
      </c>
      <c r="AD56">
        <v>48.5</v>
      </c>
      <c r="AE56">
        <f t="shared" si="4"/>
        <v>5.5069399365441557E-2</v>
      </c>
      <c r="AJ56" t="s">
        <v>506</v>
      </c>
      <c r="AK56">
        <v>42.806025898178895</v>
      </c>
      <c r="AL56">
        <f t="shared" si="5"/>
        <v>5.191740605992038E-2</v>
      </c>
      <c r="AQ56" t="s">
        <v>506</v>
      </c>
      <c r="AR56">
        <v>44.729254081931188</v>
      </c>
      <c r="AS56">
        <f t="shared" si="6"/>
        <v>5.6038249069216083E-2</v>
      </c>
      <c r="AX56" t="s">
        <v>344</v>
      </c>
      <c r="AY56">
        <v>48.7</v>
      </c>
      <c r="AZ56">
        <f t="shared" si="7"/>
        <v>6.1344863312433676E-2</v>
      </c>
      <c r="BE56" t="s">
        <v>344</v>
      </c>
      <c r="BF56">
        <v>41.847480842911885</v>
      </c>
      <c r="BG56">
        <f t="shared" si="8"/>
        <v>5.4225251184814513E-2</v>
      </c>
      <c r="BL56" t="s">
        <v>522</v>
      </c>
      <c r="BM56">
        <v>36.11</v>
      </c>
      <c r="BN56">
        <f t="shared" si="9"/>
        <v>4.7846274993252363E-2</v>
      </c>
      <c r="BS56" t="s">
        <v>267</v>
      </c>
      <c r="BT56">
        <v>37.141450679539965</v>
      </c>
      <c r="BU56">
        <f t="shared" si="10"/>
        <v>5.0015870974785208E-2</v>
      </c>
      <c r="BZ56" t="s">
        <v>519</v>
      </c>
      <c r="CA56">
        <v>35.700000000000003</v>
      </c>
      <c r="CB56">
        <f t="shared" si="11"/>
        <v>4.9429928921977562E-2</v>
      </c>
      <c r="CG56" t="s">
        <v>401</v>
      </c>
      <c r="CH56">
        <v>14.107639306839356</v>
      </c>
      <c r="CI56">
        <f t="shared" si="12"/>
        <v>2.0127335483451338E-2</v>
      </c>
      <c r="CN56" t="s">
        <v>406</v>
      </c>
      <c r="CO56">
        <v>16.3</v>
      </c>
      <c r="CP56">
        <f t="shared" si="13"/>
        <v>2.4767140258959142E-2</v>
      </c>
      <c r="CU56" t="s">
        <v>396</v>
      </c>
      <c r="CV56">
        <v>17.899999999999999</v>
      </c>
      <c r="CW56">
        <f t="shared" si="14"/>
        <v>3.3894027010888596E-2</v>
      </c>
      <c r="DB56" t="s">
        <v>342</v>
      </c>
      <c r="DC56">
        <v>26.057000000000002</v>
      </c>
      <c r="DD56">
        <f t="shared" si="15"/>
        <v>5.74136533973197E-2</v>
      </c>
      <c r="DI56" t="s">
        <v>342</v>
      </c>
      <c r="DJ56">
        <v>21.228999999999999</v>
      </c>
      <c r="DK56">
        <f t="shared" si="16"/>
        <v>6.401093115777981E-2</v>
      </c>
      <c r="DP56" t="s">
        <v>204</v>
      </c>
      <c r="DQ56">
        <v>17.8</v>
      </c>
      <c r="DR56">
        <f t="shared" si="17"/>
        <v>6.8000393791044486E-2</v>
      </c>
      <c r="DW56" t="s">
        <v>348</v>
      </c>
      <c r="DX56">
        <v>15.5</v>
      </c>
      <c r="DY56">
        <f t="shared" si="18"/>
        <v>6.6013954753779858E-2</v>
      </c>
      <c r="ED56" t="s">
        <v>376</v>
      </c>
      <c r="EE56">
        <v>7.6</v>
      </c>
      <c r="EF56">
        <f t="shared" si="19"/>
        <v>3.9000733470373014E-2</v>
      </c>
    </row>
    <row r="57" spans="1:136" x14ac:dyDescent="0.2">
      <c r="A57" t="s">
        <v>369</v>
      </c>
      <c r="B57">
        <v>46.64</v>
      </c>
      <c r="C57">
        <f t="shared" si="1"/>
        <v>4.4690150842673811E-2</v>
      </c>
      <c r="H57" t="s">
        <v>373</v>
      </c>
      <c r="I57">
        <v>47.36</v>
      </c>
      <c r="J57">
        <f t="shared" si="2"/>
        <v>4.8498626503741593E-2</v>
      </c>
      <c r="O57" t="s">
        <v>369</v>
      </c>
      <c r="P57">
        <v>48.183</v>
      </c>
      <c r="Q57">
        <f t="shared" si="3"/>
        <v>5.2905980353317034E-2</v>
      </c>
      <c r="V57" t="s">
        <v>505</v>
      </c>
      <c r="W57">
        <v>50.285881140143886</v>
      </c>
      <c r="X57">
        <f t="shared" si="0"/>
        <v>5.4829186541623817E-2</v>
      </c>
      <c r="AC57" t="s">
        <v>156</v>
      </c>
      <c r="AD57">
        <v>46.08</v>
      </c>
      <c r="AE57">
        <f t="shared" si="4"/>
        <v>5.2321606654836018E-2</v>
      </c>
      <c r="AJ57" t="s">
        <v>522</v>
      </c>
      <c r="AK57">
        <v>40.005000000000003</v>
      </c>
      <c r="AL57">
        <f t="shared" si="5"/>
        <v>4.8520174107437405E-2</v>
      </c>
      <c r="AQ57" t="s">
        <v>369</v>
      </c>
      <c r="AR57">
        <v>44.4</v>
      </c>
      <c r="AS57">
        <f t="shared" si="6"/>
        <v>5.5625748958739854E-2</v>
      </c>
      <c r="AX57" t="s">
        <v>452</v>
      </c>
      <c r="AY57">
        <v>47.738</v>
      </c>
      <c r="AZ57">
        <f t="shared" si="7"/>
        <v>6.0133081823592581E-2</v>
      </c>
      <c r="BE57" t="s">
        <v>370</v>
      </c>
      <c r="BF57">
        <v>39.914151450422644</v>
      </c>
      <c r="BG57">
        <f t="shared" si="8"/>
        <v>5.1720075967117494E-2</v>
      </c>
      <c r="BL57" t="s">
        <v>375</v>
      </c>
      <c r="BM57">
        <v>33.5</v>
      </c>
      <c r="BN57">
        <f t="shared" si="9"/>
        <v>4.4387987047187875E-2</v>
      </c>
      <c r="BS57" t="s">
        <v>519</v>
      </c>
      <c r="BT57">
        <v>36</v>
      </c>
      <c r="BU57">
        <f t="shared" si="10"/>
        <v>4.8478756810760339E-2</v>
      </c>
      <c r="BZ57" t="s">
        <v>522</v>
      </c>
      <c r="CA57">
        <v>35.200000000000003</v>
      </c>
      <c r="CB57">
        <f t="shared" si="11"/>
        <v>4.873763299870057E-2</v>
      </c>
      <c r="CG57" t="s">
        <v>360</v>
      </c>
      <c r="CH57">
        <v>13.57</v>
      </c>
      <c r="CI57">
        <f t="shared" si="12"/>
        <v>1.9360286761657054E-2</v>
      </c>
      <c r="CN57" t="s">
        <v>410</v>
      </c>
      <c r="CO57">
        <v>12.3</v>
      </c>
      <c r="CP57">
        <f t="shared" si="13"/>
        <v>1.868931442853972E-2</v>
      </c>
      <c r="CU57" t="s">
        <v>406</v>
      </c>
      <c r="CV57">
        <v>16.7</v>
      </c>
      <c r="CW57">
        <f t="shared" si="14"/>
        <v>3.1621801736415614E-2</v>
      </c>
      <c r="DB57" t="s">
        <v>376</v>
      </c>
      <c r="DC57">
        <v>24.5</v>
      </c>
      <c r="DD57">
        <f t="shared" si="15"/>
        <v>5.39829799376111E-2</v>
      </c>
      <c r="DI57" t="s">
        <v>348</v>
      </c>
      <c r="DJ57">
        <v>21.2</v>
      </c>
      <c r="DK57">
        <f t="shared" si="16"/>
        <v>6.3923488649721222E-2</v>
      </c>
      <c r="DP57" t="s">
        <v>392</v>
      </c>
      <c r="DQ57">
        <v>16.8</v>
      </c>
      <c r="DR57">
        <f t="shared" si="17"/>
        <v>6.4180146948850977E-2</v>
      </c>
      <c r="DW57" t="s">
        <v>372</v>
      </c>
      <c r="DX57">
        <v>15.4</v>
      </c>
      <c r="DY57">
        <f t="shared" si="18"/>
        <v>6.5588058271497413E-2</v>
      </c>
      <c r="ED57" t="s">
        <v>506</v>
      </c>
      <c r="EE57">
        <v>7</v>
      </c>
      <c r="EF57">
        <f t="shared" si="19"/>
        <v>3.5921728196396198E-2</v>
      </c>
    </row>
    <row r="58" spans="1:136" x14ac:dyDescent="0.2">
      <c r="A58" t="s">
        <v>504</v>
      </c>
      <c r="B58">
        <v>44.575735137440759</v>
      </c>
      <c r="C58">
        <f t="shared" si="1"/>
        <v>4.2712185403415578E-2</v>
      </c>
      <c r="H58" t="s">
        <v>369</v>
      </c>
      <c r="I58">
        <v>46.9</v>
      </c>
      <c r="J58">
        <f t="shared" si="2"/>
        <v>4.802756720915289E-2</v>
      </c>
      <c r="O58" t="s">
        <v>277</v>
      </c>
      <c r="P58">
        <v>48.174999999999997</v>
      </c>
      <c r="Q58">
        <f t="shared" si="3"/>
        <v>5.2897196179587151E-2</v>
      </c>
      <c r="V58" t="s">
        <v>369</v>
      </c>
      <c r="W58">
        <v>49.3</v>
      </c>
      <c r="X58">
        <f t="shared" si="0"/>
        <v>5.375423151020714E-2</v>
      </c>
      <c r="AC58" t="s">
        <v>369</v>
      </c>
      <c r="AD58">
        <v>44.4</v>
      </c>
      <c r="AE58">
        <f t="shared" si="4"/>
        <v>5.0414048078878455E-2</v>
      </c>
      <c r="AJ58" t="s">
        <v>375</v>
      </c>
      <c r="AK58">
        <v>35.200000000000003</v>
      </c>
      <c r="AL58">
        <f t="shared" si="5"/>
        <v>4.269241666246211E-2</v>
      </c>
      <c r="AQ58" t="s">
        <v>344</v>
      </c>
      <c r="AR58">
        <v>43.971686545535626</v>
      </c>
      <c r="AS58">
        <f t="shared" si="6"/>
        <v>5.5089144078251433E-2</v>
      </c>
      <c r="AX58" t="s">
        <v>369</v>
      </c>
      <c r="AY58">
        <v>45.4</v>
      </c>
      <c r="AZ58">
        <f t="shared" si="7"/>
        <v>5.7188024525348838E-2</v>
      </c>
      <c r="BE58" t="s">
        <v>350</v>
      </c>
      <c r="BF58">
        <v>39.495294677852648</v>
      </c>
      <c r="BG58">
        <f t="shared" si="8"/>
        <v>5.117732851265714E-2</v>
      </c>
      <c r="BL58" t="s">
        <v>519</v>
      </c>
      <c r="BM58">
        <v>32.9</v>
      </c>
      <c r="BN58">
        <f t="shared" si="9"/>
        <v>4.3592978323954659E-2</v>
      </c>
      <c r="BS58" t="s">
        <v>522</v>
      </c>
      <c r="BT58">
        <v>35.81</v>
      </c>
      <c r="BU58">
        <f t="shared" si="10"/>
        <v>4.8222896705370222E-2</v>
      </c>
      <c r="BZ58" t="s">
        <v>267</v>
      </c>
      <c r="CA58">
        <v>33.822600000000001</v>
      </c>
      <c r="CB58">
        <f t="shared" si="11"/>
        <v>4.6830496189257095E-2</v>
      </c>
      <c r="CG58" t="s">
        <v>406</v>
      </c>
      <c r="CH58">
        <v>13.281275413787831</v>
      </c>
      <c r="CI58">
        <f t="shared" si="12"/>
        <v>1.8948364080433149E-2</v>
      </c>
      <c r="CN58" t="s">
        <v>412</v>
      </c>
      <c r="CO58">
        <v>11.7</v>
      </c>
      <c r="CP58">
        <f t="shared" si="13"/>
        <v>1.7777640553976803E-2</v>
      </c>
      <c r="CU58" t="s">
        <v>401</v>
      </c>
      <c r="CV58">
        <v>14.650427198760257</v>
      </c>
      <c r="CW58">
        <f t="shared" si="14"/>
        <v>2.7740892469041181E-2</v>
      </c>
      <c r="DB58" t="s">
        <v>518</v>
      </c>
      <c r="DC58">
        <v>23.2</v>
      </c>
      <c r="DD58">
        <f t="shared" si="15"/>
        <v>5.1118576920513366E-2</v>
      </c>
      <c r="DI58" t="s">
        <v>267</v>
      </c>
      <c r="DJ58">
        <v>18.991</v>
      </c>
      <c r="DK58">
        <f t="shared" si="16"/>
        <v>5.7262781742776221E-2</v>
      </c>
      <c r="DP58" t="s">
        <v>506</v>
      </c>
      <c r="DQ58">
        <v>15.9</v>
      </c>
      <c r="DR58">
        <f t="shared" si="17"/>
        <v>6.0741924790876818E-2</v>
      </c>
      <c r="DW58" t="s">
        <v>506</v>
      </c>
      <c r="DX58">
        <v>11.5</v>
      </c>
      <c r="DY58">
        <f t="shared" si="18"/>
        <v>4.897809546248183E-2</v>
      </c>
      <c r="ED58" t="s">
        <v>328</v>
      </c>
      <c r="EE58">
        <v>5.8</v>
      </c>
      <c r="EF58">
        <f t="shared" si="19"/>
        <v>2.9763717648442566E-2</v>
      </c>
    </row>
    <row r="59" spans="1:136" x14ac:dyDescent="0.2">
      <c r="A59" t="s">
        <v>505</v>
      </c>
      <c r="B59">
        <v>43.488522085308063</v>
      </c>
      <c r="C59">
        <f t="shared" si="1"/>
        <v>4.1670424783820083E-2</v>
      </c>
      <c r="H59" t="s">
        <v>277</v>
      </c>
      <c r="I59">
        <v>46.24</v>
      </c>
      <c r="J59">
        <f t="shared" si="2"/>
        <v>4.7351699525612571E-2</v>
      </c>
      <c r="O59" t="s">
        <v>504</v>
      </c>
      <c r="P59">
        <v>43.441746293541314</v>
      </c>
      <c r="Q59">
        <f t="shared" si="3"/>
        <v>4.7699980821449051E-2</v>
      </c>
      <c r="V59" t="s">
        <v>333</v>
      </c>
      <c r="W59">
        <v>44.08</v>
      </c>
      <c r="X59">
        <f t="shared" si="0"/>
        <v>4.8062606997361687E-2</v>
      </c>
      <c r="AC59" t="s">
        <v>506</v>
      </c>
      <c r="AD59">
        <v>41.385407058030026</v>
      </c>
      <c r="AE59">
        <f t="shared" si="4"/>
        <v>4.699112390061895E-2</v>
      </c>
      <c r="AJ59" t="s">
        <v>518</v>
      </c>
      <c r="AK59">
        <v>31.566516383830276</v>
      </c>
      <c r="AL59">
        <f t="shared" si="5"/>
        <v>3.8285536080707921E-2</v>
      </c>
      <c r="AQ59" t="s">
        <v>522</v>
      </c>
      <c r="AR59">
        <v>42.442999999999998</v>
      </c>
      <c r="AS59">
        <f t="shared" si="6"/>
        <v>5.3173956375130532E-2</v>
      </c>
      <c r="AX59" t="s">
        <v>522</v>
      </c>
      <c r="AY59">
        <v>43.717999999999996</v>
      </c>
      <c r="AZ59">
        <f t="shared" si="7"/>
        <v>5.506929639205288E-2</v>
      </c>
      <c r="BE59" t="s">
        <v>506</v>
      </c>
      <c r="BF59">
        <v>38.1</v>
      </c>
      <c r="BG59">
        <f t="shared" si="8"/>
        <v>4.9369329491941658E-2</v>
      </c>
      <c r="BL59" t="s">
        <v>328</v>
      </c>
      <c r="BM59">
        <v>32.299999999999997</v>
      </c>
      <c r="BN59">
        <f t="shared" si="9"/>
        <v>4.2797969600721443E-2</v>
      </c>
      <c r="BS59" t="s">
        <v>384</v>
      </c>
      <c r="BT59">
        <v>32.5</v>
      </c>
      <c r="BU59">
        <f t="shared" si="10"/>
        <v>4.3765544343047531E-2</v>
      </c>
      <c r="BZ59" t="s">
        <v>384</v>
      </c>
      <c r="CA59">
        <v>32.1</v>
      </c>
      <c r="CB59">
        <f t="shared" si="11"/>
        <v>4.4445398274383187E-2</v>
      </c>
      <c r="CG59" t="s">
        <v>412</v>
      </c>
      <c r="CH59">
        <v>12.4</v>
      </c>
      <c r="CI59">
        <f t="shared" si="12"/>
        <v>1.7691050541234155E-2</v>
      </c>
      <c r="CN59" t="s">
        <v>413</v>
      </c>
      <c r="CO59">
        <v>10.7</v>
      </c>
      <c r="CP59">
        <f t="shared" si="13"/>
        <v>1.6258184096371951E-2</v>
      </c>
      <c r="CU59" t="s">
        <v>415</v>
      </c>
      <c r="CV59">
        <v>9.9</v>
      </c>
      <c r="CW59">
        <f t="shared" si="14"/>
        <v>1.8745858514402074E-2</v>
      </c>
      <c r="DB59" t="s">
        <v>328</v>
      </c>
      <c r="DC59">
        <v>22.3</v>
      </c>
      <c r="DD59">
        <f t="shared" si="15"/>
        <v>4.9135528677907256E-2</v>
      </c>
      <c r="DI59" t="s">
        <v>416</v>
      </c>
      <c r="DJ59">
        <v>18.7</v>
      </c>
      <c r="DK59">
        <f t="shared" si="16"/>
        <v>5.6385341403291843E-2</v>
      </c>
      <c r="DP59" t="s">
        <v>394</v>
      </c>
      <c r="DQ59">
        <v>15.8</v>
      </c>
      <c r="DR59">
        <f t="shared" si="17"/>
        <v>6.0359900106657469E-2</v>
      </c>
      <c r="DW59" t="s">
        <v>394</v>
      </c>
      <c r="DX59">
        <v>11.1</v>
      </c>
      <c r="DY59">
        <f t="shared" si="18"/>
        <v>4.7274509533352028E-2</v>
      </c>
      <c r="ED59" t="s">
        <v>421</v>
      </c>
      <c r="EE59">
        <v>5.6</v>
      </c>
      <c r="EF59">
        <f t="shared" si="19"/>
        <v>2.8737382557116959E-2</v>
      </c>
    </row>
    <row r="60" spans="1:136" x14ac:dyDescent="0.2">
      <c r="A60" t="s">
        <v>522</v>
      </c>
      <c r="B60">
        <v>42.700226798000003</v>
      </c>
      <c r="C60">
        <f t="shared" si="1"/>
        <v>4.0915085261985479E-2</v>
      </c>
      <c r="H60" t="s">
        <v>504</v>
      </c>
      <c r="I60">
        <v>43.595250602409649</v>
      </c>
      <c r="J60">
        <f t="shared" si="2"/>
        <v>4.4643365209106445E-2</v>
      </c>
      <c r="O60" t="s">
        <v>505</v>
      </c>
      <c r="P60">
        <v>42.382191505893964</v>
      </c>
      <c r="Q60">
        <f t="shared" si="3"/>
        <v>4.6536566655072248E-2</v>
      </c>
      <c r="V60" t="s">
        <v>349</v>
      </c>
      <c r="W60">
        <v>42.417999999999999</v>
      </c>
      <c r="X60">
        <f t="shared" si="0"/>
        <v>4.6250446089248824E-2</v>
      </c>
      <c r="AC60" t="s">
        <v>522</v>
      </c>
      <c r="AD60">
        <v>40.375999999999998</v>
      </c>
      <c r="AE60">
        <f t="shared" si="4"/>
        <v>4.584499110884676E-2</v>
      </c>
      <c r="AJ60" t="s">
        <v>344</v>
      </c>
      <c r="AK60">
        <v>31.003715814506545</v>
      </c>
      <c r="AL60">
        <f t="shared" si="5"/>
        <v>3.7602941864701117E-2</v>
      </c>
      <c r="AQ60" t="s">
        <v>375</v>
      </c>
      <c r="AR60">
        <v>37.1</v>
      </c>
      <c r="AS60">
        <f t="shared" si="6"/>
        <v>4.6480074017325422E-2</v>
      </c>
      <c r="AX60" t="s">
        <v>350</v>
      </c>
      <c r="AY60">
        <v>39.495294677852648</v>
      </c>
      <c r="AZ60">
        <f t="shared" si="7"/>
        <v>4.9750173583103893E-2</v>
      </c>
      <c r="BE60" t="s">
        <v>348</v>
      </c>
      <c r="BF60">
        <v>38.026104285022242</v>
      </c>
      <c r="BG60">
        <f t="shared" si="8"/>
        <v>4.9273576686146917E-2</v>
      </c>
      <c r="BL60" t="s">
        <v>384</v>
      </c>
      <c r="BM60">
        <v>32.299999999999997</v>
      </c>
      <c r="BN60">
        <f t="shared" si="9"/>
        <v>4.2797969600721443E-2</v>
      </c>
      <c r="BS60" t="s">
        <v>328</v>
      </c>
      <c r="BT60">
        <v>32.1</v>
      </c>
      <c r="BU60">
        <f t="shared" si="10"/>
        <v>4.3226891489594639E-2</v>
      </c>
      <c r="BZ60" t="s">
        <v>328</v>
      </c>
      <c r="CA60">
        <v>32.1</v>
      </c>
      <c r="CB60">
        <f t="shared" si="11"/>
        <v>4.4445398274383187E-2</v>
      </c>
      <c r="CG60" t="s">
        <v>409</v>
      </c>
      <c r="CH60">
        <v>12.097999999999999</v>
      </c>
      <c r="CI60">
        <f t="shared" si="12"/>
        <v>1.7260187858697644E-2</v>
      </c>
      <c r="CN60" t="s">
        <v>414</v>
      </c>
      <c r="CO60">
        <v>9.1999999999999993</v>
      </c>
      <c r="CP60">
        <f t="shared" si="13"/>
        <v>1.3978999409964667E-2</v>
      </c>
      <c r="CU60" t="s">
        <v>412</v>
      </c>
      <c r="CV60">
        <v>9.9</v>
      </c>
      <c r="CW60">
        <f t="shared" si="14"/>
        <v>1.8745858514402074E-2</v>
      </c>
      <c r="DB60" t="s">
        <v>505</v>
      </c>
      <c r="DC60">
        <v>22.1</v>
      </c>
      <c r="DD60">
        <f t="shared" si="15"/>
        <v>4.8694851290661451E-2</v>
      </c>
      <c r="DI60" t="s">
        <v>376</v>
      </c>
      <c r="DJ60">
        <v>17.600000000000001</v>
      </c>
      <c r="DK60">
        <f t="shared" si="16"/>
        <v>5.3068556614862906E-2</v>
      </c>
      <c r="DP60" t="s">
        <v>520</v>
      </c>
      <c r="DQ60">
        <v>13.5</v>
      </c>
      <c r="DR60">
        <f t="shared" si="17"/>
        <v>5.1573332369612396E-2</v>
      </c>
      <c r="DW60" t="s">
        <v>403</v>
      </c>
      <c r="DX60">
        <v>11</v>
      </c>
      <c r="DY60">
        <f t="shared" si="18"/>
        <v>4.6848613051069576E-2</v>
      </c>
      <c r="ED60" t="s">
        <v>417</v>
      </c>
      <c r="EE60">
        <v>5.6</v>
      </c>
      <c r="EF60">
        <f t="shared" si="19"/>
        <v>2.8737382557116959E-2</v>
      </c>
    </row>
    <row r="61" spans="1:136" x14ac:dyDescent="0.2">
      <c r="A61" t="s">
        <v>359</v>
      </c>
      <c r="B61">
        <v>41</v>
      </c>
      <c r="C61">
        <f t="shared" si="1"/>
        <v>3.9285938776793011E-2</v>
      </c>
      <c r="H61" t="s">
        <v>505</v>
      </c>
      <c r="I61">
        <v>42.531951807228921</v>
      </c>
      <c r="J61">
        <f t="shared" si="2"/>
        <v>4.3554502643030672E-2</v>
      </c>
      <c r="O61" t="s">
        <v>456</v>
      </c>
      <c r="P61">
        <v>42.02</v>
      </c>
      <c r="Q61">
        <f t="shared" si="3"/>
        <v>4.6138872516165073E-2</v>
      </c>
      <c r="V61" t="s">
        <v>506</v>
      </c>
      <c r="W61">
        <v>41.614323256532373</v>
      </c>
      <c r="X61">
        <f t="shared" si="0"/>
        <v>4.5374157534933846E-2</v>
      </c>
      <c r="AC61" t="s">
        <v>375</v>
      </c>
      <c r="AD61">
        <v>37.229999999999997</v>
      </c>
      <c r="AE61">
        <f t="shared" si="4"/>
        <v>4.2272860585059566E-2</v>
      </c>
      <c r="AJ61" t="s">
        <v>462</v>
      </c>
      <c r="AK61">
        <v>30.33</v>
      </c>
      <c r="AL61">
        <f t="shared" si="5"/>
        <v>3.6785823788990785E-2</v>
      </c>
      <c r="AQ61" t="s">
        <v>350</v>
      </c>
      <c r="AR61">
        <v>35.660671819262788</v>
      </c>
      <c r="AS61">
        <f t="shared" si="6"/>
        <v>4.4676837349511729E-2</v>
      </c>
      <c r="AX61" t="s">
        <v>348</v>
      </c>
      <c r="AY61">
        <v>38.026104285022242</v>
      </c>
      <c r="AZ61">
        <f t="shared" si="7"/>
        <v>4.7899510670822133E-2</v>
      </c>
      <c r="BE61" t="s">
        <v>522</v>
      </c>
      <c r="BF61">
        <v>37.700000000000003</v>
      </c>
      <c r="BG61">
        <f t="shared" si="8"/>
        <v>4.8851016321422594E-2</v>
      </c>
      <c r="BL61" t="s">
        <v>518</v>
      </c>
      <c r="BM61">
        <v>31.068247945788222</v>
      </c>
      <c r="BN61">
        <f t="shared" si="9"/>
        <v>4.1165880220790117E-2</v>
      </c>
      <c r="BS61" t="s">
        <v>518</v>
      </c>
      <c r="BT61">
        <v>31.532978556894701</v>
      </c>
      <c r="BU61">
        <f t="shared" si="10"/>
        <v>4.2463322193850524E-2</v>
      </c>
      <c r="BZ61" t="s">
        <v>356</v>
      </c>
      <c r="CA61">
        <v>30.8</v>
      </c>
      <c r="CB61">
        <f t="shared" si="11"/>
        <v>4.2645428873862995E-2</v>
      </c>
      <c r="CG61" t="s">
        <v>410</v>
      </c>
      <c r="CH61">
        <v>11.9</v>
      </c>
      <c r="CI61">
        <f t="shared" si="12"/>
        <v>1.6977701729087614E-2</v>
      </c>
      <c r="CN61" t="s">
        <v>409</v>
      </c>
      <c r="CO61">
        <v>8.902000000000001</v>
      </c>
      <c r="CP61">
        <f t="shared" si="13"/>
        <v>1.3526201385598425E-2</v>
      </c>
      <c r="CU61" t="s">
        <v>413</v>
      </c>
      <c r="CV61">
        <v>9.3000000000000007</v>
      </c>
      <c r="CW61">
        <f t="shared" si="14"/>
        <v>1.7609745877165586E-2</v>
      </c>
      <c r="DB61" t="s">
        <v>519</v>
      </c>
      <c r="DC61">
        <v>22.1</v>
      </c>
      <c r="DD61">
        <f t="shared" si="15"/>
        <v>4.8694851290661451E-2</v>
      </c>
      <c r="DI61" t="s">
        <v>506</v>
      </c>
      <c r="DJ61">
        <v>17.399999999999999</v>
      </c>
      <c r="DK61">
        <f t="shared" si="16"/>
        <v>5.2465504835148551E-2</v>
      </c>
      <c r="DP61" t="s">
        <v>376</v>
      </c>
      <c r="DQ61">
        <v>11.9</v>
      </c>
      <c r="DR61">
        <f t="shared" si="17"/>
        <v>4.5460937422102769E-2</v>
      </c>
      <c r="DW61" t="s">
        <v>392</v>
      </c>
      <c r="DX61">
        <v>10.9</v>
      </c>
      <c r="DY61">
        <f t="shared" si="18"/>
        <v>4.6422716568787131E-2</v>
      </c>
      <c r="ED61" t="s">
        <v>505</v>
      </c>
      <c r="EE61">
        <v>5.3</v>
      </c>
      <c r="EF61">
        <f>(EE61/$EF$1)*100</f>
        <v>2.7197879920128554E-2</v>
      </c>
    </row>
    <row r="62" spans="1:136" x14ac:dyDescent="0.2">
      <c r="A62" t="s">
        <v>506</v>
      </c>
      <c r="B62">
        <v>40.23346146919431</v>
      </c>
      <c r="C62">
        <f t="shared" si="1"/>
        <v>3.8551446440420203E-2</v>
      </c>
      <c r="H62" t="s">
        <v>380</v>
      </c>
      <c r="I62">
        <v>38.69</v>
      </c>
      <c r="J62">
        <f t="shared" si="2"/>
        <v>3.9620182842689235E-2</v>
      </c>
      <c r="O62" t="s">
        <v>380</v>
      </c>
      <c r="P62">
        <v>38.69</v>
      </c>
      <c r="Q62">
        <f t="shared" si="3"/>
        <v>4.2482460201104869E-2</v>
      </c>
      <c r="V62" t="s">
        <v>522</v>
      </c>
      <c r="W62">
        <v>40.125999999999998</v>
      </c>
      <c r="X62">
        <f t="shared" si="0"/>
        <v>4.3751364981309777E-2</v>
      </c>
      <c r="AC62" t="s">
        <v>518</v>
      </c>
      <c r="AD62">
        <v>31.34835293897229</v>
      </c>
      <c r="AE62">
        <f t="shared" si="4"/>
        <v>3.5594535411238734E-2</v>
      </c>
      <c r="AJ62" t="s">
        <v>519</v>
      </c>
      <c r="AK62">
        <v>30.250642621412844</v>
      </c>
      <c r="AL62">
        <f t="shared" si="5"/>
        <v>3.6689574974448635E-2</v>
      </c>
      <c r="AQ62" t="s">
        <v>348</v>
      </c>
      <c r="AR62">
        <v>34.334126040428067</v>
      </c>
      <c r="AS62">
        <f t="shared" si="6"/>
        <v>4.3014898104562715E-2</v>
      </c>
      <c r="AX62" t="s">
        <v>519</v>
      </c>
      <c r="AY62">
        <v>35.65086718832864</v>
      </c>
      <c r="AZ62">
        <f t="shared" si="7"/>
        <v>4.4907547733834638E-2</v>
      </c>
      <c r="BE62" t="s">
        <v>375</v>
      </c>
      <c r="BF62">
        <v>33.78</v>
      </c>
      <c r="BG62">
        <f t="shared" si="8"/>
        <v>4.3771547250335677E-2</v>
      </c>
      <c r="BL62" t="s">
        <v>356</v>
      </c>
      <c r="BM62">
        <v>31</v>
      </c>
      <c r="BN62">
        <f t="shared" si="9"/>
        <v>4.1075450700382814E-2</v>
      </c>
      <c r="BS62" t="s">
        <v>490</v>
      </c>
      <c r="BT62">
        <v>31.49</v>
      </c>
      <c r="BU62">
        <f t="shared" si="10"/>
        <v>4.2405445888078971E-2</v>
      </c>
      <c r="BZ62" t="s">
        <v>518</v>
      </c>
      <c r="CA62">
        <v>30.716804925131701</v>
      </c>
      <c r="CB62">
        <f t="shared" si="11"/>
        <v>4.2530237651526893E-2</v>
      </c>
      <c r="CG62" t="s">
        <v>341</v>
      </c>
      <c r="CH62">
        <v>9.91</v>
      </c>
      <c r="CI62">
        <f t="shared" si="12"/>
        <v>1.4138573456744394E-2</v>
      </c>
      <c r="CN62" t="s">
        <v>419</v>
      </c>
      <c r="CO62">
        <v>8</v>
      </c>
      <c r="CP62">
        <f t="shared" si="13"/>
        <v>1.2155651660838842E-2</v>
      </c>
      <c r="CU62" t="s">
        <v>242</v>
      </c>
      <c r="CV62">
        <v>8.8564194395246556</v>
      </c>
      <c r="CW62">
        <f t="shared" si="14"/>
        <v>1.6769816743184777E-2</v>
      </c>
      <c r="DB62" t="s">
        <v>506</v>
      </c>
      <c r="DC62">
        <v>21.4</v>
      </c>
      <c r="DD62">
        <f t="shared" si="15"/>
        <v>4.7152480435301125E-2</v>
      </c>
      <c r="DI62" t="s">
        <v>423</v>
      </c>
      <c r="DJ62">
        <v>17.3</v>
      </c>
      <c r="DK62">
        <f t="shared" si="16"/>
        <v>5.216397894529138E-2</v>
      </c>
      <c r="DP62" t="s">
        <v>420</v>
      </c>
      <c r="DQ62">
        <v>11.5</v>
      </c>
      <c r="DR62">
        <f t="shared" si="17"/>
        <v>4.3932838685225371E-2</v>
      </c>
      <c r="DW62" t="s">
        <v>424</v>
      </c>
      <c r="DX62">
        <v>10.8</v>
      </c>
      <c r="DY62">
        <f t="shared" si="18"/>
        <v>4.5996820086504679E-2</v>
      </c>
      <c r="ED62" t="s">
        <v>370</v>
      </c>
      <c r="EE62">
        <v>5.2</v>
      </c>
      <c r="EF62">
        <f>(EE62/$EF$1)*100</f>
        <v>2.6684712374465749E-2</v>
      </c>
    </row>
    <row r="63" spans="1:136" x14ac:dyDescent="0.2">
      <c r="A63" t="s">
        <v>373</v>
      </c>
      <c r="B63">
        <v>40.020000000000003</v>
      </c>
      <c r="C63">
        <f t="shared" si="1"/>
        <v>3.8346909020664795E-2</v>
      </c>
      <c r="H63" t="s">
        <v>506</v>
      </c>
      <c r="I63">
        <v>38.533689156626508</v>
      </c>
      <c r="J63">
        <f t="shared" si="2"/>
        <v>3.9460113982654269E-2</v>
      </c>
      <c r="O63" t="s">
        <v>522</v>
      </c>
      <c r="P63">
        <v>37.363999999999997</v>
      </c>
      <c r="Q63">
        <f t="shared" si="3"/>
        <v>4.1026483405378192E-2</v>
      </c>
      <c r="V63" t="s">
        <v>375</v>
      </c>
      <c r="W63">
        <v>37.67</v>
      </c>
      <c r="X63">
        <f t="shared" si="0"/>
        <v>4.1073466551511228E-2</v>
      </c>
      <c r="AC63" t="s">
        <v>358</v>
      </c>
      <c r="AD63">
        <v>30.2</v>
      </c>
      <c r="AE63">
        <f t="shared" si="4"/>
        <v>3.4290636305903809E-2</v>
      </c>
      <c r="AJ63" t="s">
        <v>384</v>
      </c>
      <c r="AK63">
        <v>30.25</v>
      </c>
      <c r="AL63">
        <f t="shared" si="5"/>
        <v>3.6688795569303378E-2</v>
      </c>
      <c r="AQ63" t="s">
        <v>519</v>
      </c>
      <c r="AR63">
        <v>32.535472925302756</v>
      </c>
      <c r="AS63">
        <f t="shared" si="6"/>
        <v>4.0761487594521813E-2</v>
      </c>
      <c r="AX63" t="s">
        <v>375</v>
      </c>
      <c r="AY63">
        <v>33.200000000000003</v>
      </c>
      <c r="AZ63">
        <f t="shared" si="7"/>
        <v>4.1820317494307965E-2</v>
      </c>
      <c r="BE63" t="s">
        <v>518</v>
      </c>
      <c r="BF63">
        <v>31.627476408812409</v>
      </c>
      <c r="BG63">
        <f t="shared" si="8"/>
        <v>4.0982343932421825E-2</v>
      </c>
      <c r="BL63" t="s">
        <v>499</v>
      </c>
      <c r="BM63">
        <v>30.84</v>
      </c>
      <c r="BN63">
        <f t="shared" si="9"/>
        <v>4.0863448374187289E-2</v>
      </c>
      <c r="BS63" t="s">
        <v>356</v>
      </c>
      <c r="BT63">
        <v>30.8</v>
      </c>
      <c r="BU63">
        <f t="shared" si="10"/>
        <v>4.1476269715872739E-2</v>
      </c>
      <c r="BZ63" t="s">
        <v>505</v>
      </c>
      <c r="CA63">
        <v>29.496269630093401</v>
      </c>
      <c r="CB63">
        <f t="shared" si="11"/>
        <v>4.0840294433585493E-2</v>
      </c>
      <c r="CG63" t="s">
        <v>413</v>
      </c>
      <c r="CH63">
        <v>9.8000000000000007</v>
      </c>
      <c r="CI63">
        <f t="shared" si="12"/>
        <v>1.3981636718072156E-2</v>
      </c>
      <c r="CN63" t="s">
        <v>522</v>
      </c>
      <c r="CO63">
        <v>7.1</v>
      </c>
      <c r="CP63">
        <f t="shared" si="13"/>
        <v>1.0788140848994472E-2</v>
      </c>
      <c r="CU63" t="s">
        <v>414</v>
      </c>
      <c r="CV63">
        <v>8.5</v>
      </c>
      <c r="CW63">
        <f t="shared" si="14"/>
        <v>1.6094929027516931E-2</v>
      </c>
      <c r="DB63" t="s">
        <v>425</v>
      </c>
      <c r="DC63">
        <v>20.8</v>
      </c>
      <c r="DD63">
        <f t="shared" si="15"/>
        <v>4.5830448273563716E-2</v>
      </c>
      <c r="DI63" t="s">
        <v>428</v>
      </c>
      <c r="DJ63">
        <v>15.7</v>
      </c>
      <c r="DK63">
        <f t="shared" si="16"/>
        <v>4.7339564707576567E-2</v>
      </c>
      <c r="DP63" t="s">
        <v>505</v>
      </c>
      <c r="DQ63">
        <v>10.9</v>
      </c>
      <c r="DR63">
        <f t="shared" si="17"/>
        <v>4.1640690579909267E-2</v>
      </c>
      <c r="DW63" t="s">
        <v>408</v>
      </c>
      <c r="DX63">
        <v>10.6</v>
      </c>
      <c r="DY63">
        <f t="shared" si="18"/>
        <v>4.5145027121939775E-2</v>
      </c>
      <c r="ED63" t="s">
        <v>347</v>
      </c>
      <c r="EE63">
        <v>4.5</v>
      </c>
      <c r="EF63">
        <f>(EE63/$EF$1)*100</f>
        <v>2.3092539554826128E-2</v>
      </c>
    </row>
    <row r="64" spans="1:136" x14ac:dyDescent="0.2">
      <c r="A64" t="s">
        <v>507</v>
      </c>
      <c r="B64">
        <v>37.67</v>
      </c>
      <c r="C64">
        <f t="shared" si="1"/>
        <v>3.609515399321446E-2</v>
      </c>
      <c r="H64" t="s">
        <v>522</v>
      </c>
      <c r="I64">
        <v>38.19</v>
      </c>
      <c r="J64">
        <f t="shared" si="2"/>
        <v>3.9108161870310201E-2</v>
      </c>
      <c r="O64" t="s">
        <v>333</v>
      </c>
      <c r="P64">
        <v>36.145600000000002</v>
      </c>
      <c r="Q64">
        <f t="shared" si="3"/>
        <v>3.9688653746318331E-2</v>
      </c>
      <c r="V64" t="s">
        <v>456</v>
      </c>
      <c r="W64">
        <v>36.909999999999997</v>
      </c>
      <c r="X64">
        <f t="shared" si="0"/>
        <v>4.0244800913625672E-2</v>
      </c>
      <c r="AC64" t="s">
        <v>519</v>
      </c>
      <c r="AD64">
        <v>28.945736470235566</v>
      </c>
      <c r="AE64">
        <f t="shared" si="4"/>
        <v>3.286648085786039E-2</v>
      </c>
      <c r="AJ64" t="s">
        <v>325</v>
      </c>
      <c r="AK64">
        <v>26.4</v>
      </c>
      <c r="AL64">
        <f t="shared" si="5"/>
        <v>3.2019312496846579E-2</v>
      </c>
      <c r="AQ64" t="s">
        <v>518</v>
      </c>
      <c r="AR64">
        <v>31.471705783142202</v>
      </c>
      <c r="AS64">
        <f t="shared" si="6"/>
        <v>3.9428765882801566E-2</v>
      </c>
      <c r="AX64" t="s">
        <v>506</v>
      </c>
      <c r="AY64">
        <v>32.880051173739439</v>
      </c>
      <c r="AZ64">
        <f t="shared" si="7"/>
        <v>4.1417294557677009E-2</v>
      </c>
      <c r="BE64" t="s">
        <v>519</v>
      </c>
      <c r="BF64">
        <v>31.1</v>
      </c>
      <c r="BG64">
        <f t="shared" si="8"/>
        <v>4.0298849007857893E-2</v>
      </c>
      <c r="BL64" t="s">
        <v>505</v>
      </c>
      <c r="BM64">
        <v>29.833748027412433</v>
      </c>
      <c r="BN64">
        <f t="shared" si="9"/>
        <v>3.9530149880891041E-2</v>
      </c>
      <c r="BS64" t="s">
        <v>505</v>
      </c>
      <c r="BT64">
        <v>30.2800125215213</v>
      </c>
      <c r="BU64">
        <f t="shared" si="10"/>
        <v>4.0776037868266925E-2</v>
      </c>
      <c r="BZ64" t="s">
        <v>372</v>
      </c>
      <c r="CA64">
        <v>28.120706959114266</v>
      </c>
      <c r="CB64">
        <f t="shared" si="11"/>
        <v>3.8935701574923751E-2</v>
      </c>
      <c r="CG64" t="s">
        <v>422</v>
      </c>
      <c r="CH64">
        <v>8.3000000000000007</v>
      </c>
      <c r="CI64">
        <f t="shared" si="12"/>
        <v>1.1841590281632539E-2</v>
      </c>
      <c r="CN64" t="s">
        <v>437</v>
      </c>
      <c r="CO64">
        <v>6.6</v>
      </c>
      <c r="CP64">
        <f t="shared" si="13"/>
        <v>1.0028412620192044E-2</v>
      </c>
      <c r="CU64" t="s">
        <v>223</v>
      </c>
      <c r="CV64">
        <v>7.5</v>
      </c>
      <c r="CW64">
        <f t="shared" si="14"/>
        <v>1.4201407965456117E-2</v>
      </c>
      <c r="DB64" t="s">
        <v>393</v>
      </c>
      <c r="DC64">
        <v>18.2</v>
      </c>
      <c r="DD64">
        <f t="shared" si="15"/>
        <v>4.0101642239368247E-2</v>
      </c>
      <c r="DI64" t="s">
        <v>505</v>
      </c>
      <c r="DJ64">
        <v>15.5</v>
      </c>
      <c r="DK64">
        <f t="shared" si="16"/>
        <v>4.6736512927862225E-2</v>
      </c>
      <c r="DP64" t="s">
        <v>370</v>
      </c>
      <c r="DQ64">
        <v>10.6</v>
      </c>
      <c r="DR64">
        <f t="shared" si="17"/>
        <v>4.0494616527251212E-2</v>
      </c>
      <c r="DW64" t="s">
        <v>376</v>
      </c>
      <c r="DX64">
        <v>9.5</v>
      </c>
      <c r="DY64">
        <f t="shared" si="18"/>
        <v>4.0460165816832816E-2</v>
      </c>
      <c r="ED64" t="s">
        <v>431</v>
      </c>
      <c r="EE64">
        <v>4.4000000000000004</v>
      </c>
      <c r="EF64">
        <f>(EE64/$EF$1)*100</f>
        <v>2.2579372009163327E-2</v>
      </c>
    </row>
    <row r="65" spans="1:136" x14ac:dyDescent="0.2">
      <c r="A65" t="s">
        <v>375</v>
      </c>
      <c r="B65">
        <v>37.090000000000003</v>
      </c>
      <c r="C65">
        <f t="shared" si="1"/>
        <v>3.5539401688567146E-2</v>
      </c>
      <c r="H65" t="s">
        <v>375</v>
      </c>
      <c r="I65">
        <v>38</v>
      </c>
      <c r="J65">
        <f t="shared" si="2"/>
        <v>3.8913593900806176E-2</v>
      </c>
      <c r="O65" t="s">
        <v>506</v>
      </c>
      <c r="P65">
        <v>35.535993088826139</v>
      </c>
      <c r="Q65">
        <f t="shared" si="3"/>
        <v>3.9019292119482921E-2</v>
      </c>
      <c r="V65" t="s">
        <v>380</v>
      </c>
      <c r="W65">
        <v>34.369999999999997</v>
      </c>
      <c r="X65">
        <f t="shared" si="0"/>
        <v>3.7475313123850294E-2</v>
      </c>
      <c r="AC65" t="s">
        <v>344</v>
      </c>
      <c r="AD65">
        <v>27.965351664684903</v>
      </c>
      <c r="AE65">
        <f t="shared" si="4"/>
        <v>3.1753301427165953E-2</v>
      </c>
      <c r="AJ65" t="s">
        <v>391</v>
      </c>
      <c r="AK65">
        <v>24.6</v>
      </c>
      <c r="AL65">
        <f t="shared" si="5"/>
        <v>2.983617755387977E-2</v>
      </c>
      <c r="AQ65" t="s">
        <v>325</v>
      </c>
      <c r="AR65">
        <v>28.8</v>
      </c>
      <c r="AS65">
        <f t="shared" si="6"/>
        <v>3.6081566892155588E-2</v>
      </c>
      <c r="AX65" t="s">
        <v>518</v>
      </c>
      <c r="AY65">
        <v>32.82</v>
      </c>
      <c r="AZ65">
        <f t="shared" si="7"/>
        <v>4.1341651209734556E-2</v>
      </c>
      <c r="BE65" t="s">
        <v>505</v>
      </c>
      <c r="BF65">
        <v>30.370755491905857</v>
      </c>
      <c r="BG65">
        <f t="shared" si="8"/>
        <v>3.9353906425173148E-2</v>
      </c>
      <c r="BL65" t="s">
        <v>381</v>
      </c>
      <c r="BM65">
        <v>28.9</v>
      </c>
      <c r="BN65">
        <f t="shared" si="9"/>
        <v>3.8292920169066554E-2</v>
      </c>
      <c r="BS65" t="s">
        <v>381</v>
      </c>
      <c r="BT65">
        <v>28.7</v>
      </c>
      <c r="BU65">
        <f t="shared" si="10"/>
        <v>3.8648342235245048E-2</v>
      </c>
      <c r="BZ65" t="s">
        <v>381</v>
      </c>
      <c r="CA65">
        <v>27.9</v>
      </c>
      <c r="CB65">
        <f t="shared" si="11"/>
        <v>3.863011251885641E-2</v>
      </c>
      <c r="CG65" t="s">
        <v>414</v>
      </c>
      <c r="CH65">
        <v>7.5</v>
      </c>
      <c r="CI65">
        <f t="shared" si="12"/>
        <v>1.0700232182198077E-2</v>
      </c>
      <c r="CN65" t="s">
        <v>206</v>
      </c>
      <c r="CO65">
        <v>6.4</v>
      </c>
      <c r="CP65">
        <f t="shared" si="13"/>
        <v>9.7245213286710746E-3</v>
      </c>
      <c r="CU65" t="s">
        <v>437</v>
      </c>
      <c r="CV65">
        <v>7</v>
      </c>
      <c r="CW65">
        <f t="shared" si="14"/>
        <v>1.3254647434425709E-2</v>
      </c>
      <c r="DB65" t="s">
        <v>370</v>
      </c>
      <c r="DC65">
        <v>17.2</v>
      </c>
      <c r="DD65">
        <f t="shared" si="15"/>
        <v>3.7898255303139221E-2</v>
      </c>
      <c r="DI65" t="s">
        <v>370</v>
      </c>
      <c r="DJ65">
        <v>15.1</v>
      </c>
      <c r="DK65">
        <f t="shared" si="16"/>
        <v>4.5530409368433514E-2</v>
      </c>
      <c r="DP65" t="s">
        <v>397</v>
      </c>
      <c r="DQ65">
        <v>10.1</v>
      </c>
      <c r="DR65">
        <f t="shared" si="17"/>
        <v>3.8584493106154451E-2</v>
      </c>
      <c r="DW65" t="s">
        <v>520</v>
      </c>
      <c r="DX65">
        <v>9.4</v>
      </c>
      <c r="DY65">
        <f t="shared" si="18"/>
        <v>4.0034269334550364E-2</v>
      </c>
      <c r="ED65" t="s">
        <v>353</v>
      </c>
      <c r="EE65">
        <v>4.3</v>
      </c>
      <c r="EF65">
        <f t="shared" ref="EF65:EF75" si="20">(EE65/$EF$1)*100</f>
        <v>2.2066204463500525E-2</v>
      </c>
    </row>
    <row r="66" spans="1:136" x14ac:dyDescent="0.2">
      <c r="A66" t="s">
        <v>463</v>
      </c>
      <c r="B66">
        <v>30.62</v>
      </c>
      <c r="C66">
        <f t="shared" si="1"/>
        <v>2.9339888910863463E-2</v>
      </c>
      <c r="H66" t="s">
        <v>333</v>
      </c>
      <c r="I66">
        <v>31.35</v>
      </c>
      <c r="J66">
        <f t="shared" si="2"/>
        <v>3.2103714968165095E-2</v>
      </c>
      <c r="O66" t="s">
        <v>375</v>
      </c>
      <c r="P66">
        <v>34.6</v>
      </c>
      <c r="Q66">
        <f t="shared" si="3"/>
        <v>3.7991551381706609E-2</v>
      </c>
      <c r="V66" t="s">
        <v>518</v>
      </c>
      <c r="W66">
        <v>31.428675712589929</v>
      </c>
      <c r="X66">
        <f t="shared" ref="X66:X105" si="21">(W66/$X$1)*100</f>
        <v>3.4268241588514881E-2</v>
      </c>
      <c r="AC66" t="s">
        <v>384</v>
      </c>
      <c r="AD66">
        <v>27.27</v>
      </c>
      <c r="AE66">
        <f t="shared" si="4"/>
        <v>3.0963763313311157E-2</v>
      </c>
      <c r="AJ66" t="s">
        <v>350</v>
      </c>
      <c r="AK66">
        <v>22.618619946492277</v>
      </c>
      <c r="AL66">
        <f t="shared" si="5"/>
        <v>2.7433055314929681E-2</v>
      </c>
      <c r="AQ66" t="s">
        <v>384</v>
      </c>
      <c r="AR66">
        <v>27.4</v>
      </c>
      <c r="AS66">
        <f t="shared" si="6"/>
        <v>3.4327601834898018E-2</v>
      </c>
      <c r="AX66" t="s">
        <v>325</v>
      </c>
      <c r="AY66">
        <v>31.95822321</v>
      </c>
      <c r="AZ66">
        <f t="shared" si="7"/>
        <v>4.0256115698679575E-2</v>
      </c>
      <c r="BE66" t="s">
        <v>384</v>
      </c>
      <c r="BF66">
        <v>30.3</v>
      </c>
      <c r="BG66">
        <f t="shared" si="8"/>
        <v>3.9262222666819745E-2</v>
      </c>
      <c r="BL66" t="s">
        <v>372</v>
      </c>
      <c r="BM66">
        <v>28.7</v>
      </c>
      <c r="BN66">
        <f t="shared" si="9"/>
        <v>3.8027917261322153E-2</v>
      </c>
      <c r="BS66" t="s">
        <v>372</v>
      </c>
      <c r="BT66">
        <v>28.521102220838333</v>
      </c>
      <c r="BU66">
        <f t="shared" si="10"/>
        <v>3.8407432737190508E-2</v>
      </c>
      <c r="BZ66" t="s">
        <v>375</v>
      </c>
      <c r="CA66">
        <v>25.9</v>
      </c>
      <c r="CB66">
        <f t="shared" si="11"/>
        <v>3.5860928825748428E-2</v>
      </c>
      <c r="CG66" t="s">
        <v>419</v>
      </c>
      <c r="CH66">
        <v>6.5184173810001624</v>
      </c>
      <c r="CI66">
        <f t="shared" si="12"/>
        <v>9.2998105916236324E-3</v>
      </c>
      <c r="CN66" t="s">
        <v>422</v>
      </c>
      <c r="CO66">
        <v>6.3</v>
      </c>
      <c r="CP66">
        <f t="shared" si="13"/>
        <v>9.5725756829105873E-3</v>
      </c>
      <c r="CU66" t="s">
        <v>427</v>
      </c>
      <c r="CV66">
        <v>6.7</v>
      </c>
      <c r="CW66">
        <f t="shared" si="14"/>
        <v>1.2686591115807465E-2</v>
      </c>
      <c r="DB66" t="s">
        <v>347</v>
      </c>
      <c r="DC66">
        <v>16.3</v>
      </c>
      <c r="DD66">
        <f t="shared" si="15"/>
        <v>3.5915207060533104E-2</v>
      </c>
      <c r="DI66" t="s">
        <v>519</v>
      </c>
      <c r="DJ66">
        <v>15.1</v>
      </c>
      <c r="DK66">
        <f t="shared" si="16"/>
        <v>4.5530409368433514E-2</v>
      </c>
      <c r="DP66" t="s">
        <v>328</v>
      </c>
      <c r="DQ66">
        <v>9.1</v>
      </c>
      <c r="DR66">
        <f t="shared" si="17"/>
        <v>3.4764246263960949E-2</v>
      </c>
      <c r="DW66" t="s">
        <v>505</v>
      </c>
      <c r="DX66">
        <v>7.6</v>
      </c>
      <c r="DY66">
        <f t="shared" si="18"/>
        <v>3.2368132653466254E-2</v>
      </c>
      <c r="ED66" t="s">
        <v>392</v>
      </c>
      <c r="EE66">
        <v>4.3</v>
      </c>
      <c r="EF66">
        <f t="shared" si="20"/>
        <v>2.2066204463500525E-2</v>
      </c>
    </row>
    <row r="67" spans="1:136" x14ac:dyDescent="0.2">
      <c r="A67" t="s">
        <v>518</v>
      </c>
      <c r="B67">
        <v>27.180326303317536</v>
      </c>
      <c r="C67">
        <f t="shared" ref="C67:C107" si="22">(B67/$C$1)*100</f>
        <v>2.6044015489887547E-2</v>
      </c>
      <c r="H67" t="s">
        <v>463</v>
      </c>
      <c r="I67">
        <v>28.95</v>
      </c>
      <c r="J67">
        <f t="shared" ref="J67:J109" si="23">(I67/$J$1)*100</f>
        <v>2.9646014300745756E-2</v>
      </c>
      <c r="O67" t="s">
        <v>349</v>
      </c>
      <c r="P67">
        <v>31.99</v>
      </c>
      <c r="Q67">
        <f t="shared" ref="Q67:Q108" si="24">(P67/$Q$1)*100</f>
        <v>3.5125714702335095E-2</v>
      </c>
      <c r="V67" t="s">
        <v>358</v>
      </c>
      <c r="W67">
        <v>27.45</v>
      </c>
      <c r="X67">
        <f t="shared" si="21"/>
        <v>2.9930094420997692E-2</v>
      </c>
      <c r="AC67" t="s">
        <v>325</v>
      </c>
      <c r="AD67">
        <v>24</v>
      </c>
      <c r="AE67">
        <f t="shared" ref="AE67:AE101" si="25">(AD67/$AE$1)*100</f>
        <v>2.725083679939376E-2</v>
      </c>
      <c r="AJ67" t="s">
        <v>348</v>
      </c>
      <c r="AK67">
        <v>21.702601070154582</v>
      </c>
      <c r="AL67">
        <f t="shared" ref="AL67:AL96" si="26">(AK67/$AL$1)*100</f>
        <v>2.6322059305290784E-2</v>
      </c>
      <c r="AQ67" t="s">
        <v>328</v>
      </c>
      <c r="AR67">
        <v>25.048305588585023</v>
      </c>
      <c r="AS67">
        <f t="shared" ref="AS67:AS96" si="27">(AR67/$AS$1)*100</f>
        <v>3.138132338991962E-2</v>
      </c>
      <c r="AX67" t="s">
        <v>328</v>
      </c>
      <c r="AY67">
        <v>27.741771535209409</v>
      </c>
      <c r="AZ67">
        <f t="shared" ref="AZ67:AZ96" si="28">(AY67/$AZ$1)*100</f>
        <v>3.4944870284849779E-2</v>
      </c>
      <c r="BE67" t="s">
        <v>328</v>
      </c>
      <c r="BF67">
        <v>27.741771535209409</v>
      </c>
      <c r="BG67">
        <f t="shared" ref="BG67:BG94" si="29">(BF67/$BG$1)*100</f>
        <v>3.5947313900575366E-2</v>
      </c>
      <c r="BL67" t="s">
        <v>267</v>
      </c>
      <c r="BM67">
        <v>26.866227224184829</v>
      </c>
      <c r="BN67">
        <f t="shared" ref="BN67:BN90" si="30">(BM67/$BN$1)*100</f>
        <v>3.5598141672654404E-2</v>
      </c>
      <c r="BS67" t="s">
        <v>375</v>
      </c>
      <c r="BT67">
        <v>25.3</v>
      </c>
      <c r="BU67">
        <f t="shared" ref="BU67:BU90" si="31">(BT67/$BU$1)*100</f>
        <v>3.4069792980895464E-2</v>
      </c>
      <c r="BZ67" t="s">
        <v>376</v>
      </c>
      <c r="CA67">
        <v>24.89489020071213</v>
      </c>
      <c r="CB67">
        <f t="shared" ref="CB67:CB89" si="32">(CA67/$CB$1)*100</f>
        <v>3.4469261992762922E-2</v>
      </c>
      <c r="CG67" t="s">
        <v>429</v>
      </c>
      <c r="CH67">
        <v>5.4</v>
      </c>
      <c r="CI67">
        <f t="shared" ref="CI67:CI75" si="33">(CH67/$CI$1)*100</f>
        <v>7.7041671711826163E-3</v>
      </c>
      <c r="CN67" t="s">
        <v>430</v>
      </c>
      <c r="CO67">
        <v>5.5</v>
      </c>
      <c r="CP67">
        <f t="shared" ref="CP67:CP76" si="34">(CO67/$CP$1)*100</f>
        <v>8.3570105168267045E-3</v>
      </c>
      <c r="CU67" t="s">
        <v>410</v>
      </c>
      <c r="CV67">
        <v>6.6</v>
      </c>
      <c r="CW67">
        <f t="shared" ref="CW67:CW77" si="35">(CV67/$CW$1)*100</f>
        <v>1.2497239009601381E-2</v>
      </c>
      <c r="DB67" t="s">
        <v>406</v>
      </c>
      <c r="DC67">
        <v>16</v>
      </c>
      <c r="DD67">
        <f t="shared" ref="DD67:DD80" si="36">(DC67/$DD$1)*100</f>
        <v>3.5254190979664396E-2</v>
      </c>
      <c r="DI67" t="s">
        <v>434</v>
      </c>
      <c r="DJ67">
        <v>15</v>
      </c>
      <c r="DK67">
        <f t="shared" ref="DK67:DK83" si="37">(DJ67/$DK$1)*100</f>
        <v>4.5228883478576343E-2</v>
      </c>
      <c r="DP67" t="s">
        <v>387</v>
      </c>
      <c r="DQ67">
        <v>8.9</v>
      </c>
      <c r="DR67">
        <f t="shared" ref="DR67:DR80" si="38">(DQ67/$DR$1)*100</f>
        <v>3.4000196895522243E-2</v>
      </c>
      <c r="DW67" t="s">
        <v>370</v>
      </c>
      <c r="DX67">
        <v>7.4</v>
      </c>
      <c r="DY67">
        <f>(DX67/$DY$1)*100</f>
        <v>3.1516339688901357E-2</v>
      </c>
      <c r="ED67" t="s">
        <v>393</v>
      </c>
      <c r="EE67">
        <v>3.9</v>
      </c>
      <c r="EF67">
        <f t="shared" si="20"/>
        <v>2.0013534280849312E-2</v>
      </c>
    </row>
    <row r="68" spans="1:136" x14ac:dyDescent="0.2">
      <c r="A68" t="s">
        <v>380</v>
      </c>
      <c r="B68">
        <v>26.37</v>
      </c>
      <c r="C68">
        <f t="shared" si="22"/>
        <v>2.5267565988878825E-2</v>
      </c>
      <c r="H68" t="s">
        <v>518</v>
      </c>
      <c r="I68">
        <v>26.582469879518076</v>
      </c>
      <c r="J68">
        <f t="shared" si="23"/>
        <v>2.7221564151894171E-2</v>
      </c>
      <c r="O68" t="s">
        <v>518</v>
      </c>
      <c r="P68">
        <v>26.488869691183726</v>
      </c>
      <c r="Q68">
        <f t="shared" si="24"/>
        <v>2.9085354159420155E-2</v>
      </c>
      <c r="V68" t="s">
        <v>519</v>
      </c>
      <c r="W68">
        <v>26.818588114014389</v>
      </c>
      <c r="X68">
        <f t="shared" si="21"/>
        <v>2.9241634771959821E-2</v>
      </c>
      <c r="AC68" t="s">
        <v>391</v>
      </c>
      <c r="AD68">
        <v>22.36</v>
      </c>
      <c r="AE68">
        <f t="shared" si="25"/>
        <v>2.538869628476852E-2</v>
      </c>
      <c r="AJ68" t="s">
        <v>398</v>
      </c>
      <c r="AK68">
        <v>20.22287826991677</v>
      </c>
      <c r="AL68">
        <f t="shared" si="26"/>
        <v>2.4527373443566411E-2</v>
      </c>
      <c r="AQ68" t="s">
        <v>462</v>
      </c>
      <c r="AR68">
        <v>24.99</v>
      </c>
      <c r="AS68">
        <f t="shared" si="27"/>
        <v>3.1308276272047499E-2</v>
      </c>
      <c r="AX68" t="s">
        <v>398</v>
      </c>
      <c r="AY68">
        <v>26.618272999515572</v>
      </c>
      <c r="AZ68">
        <f t="shared" si="28"/>
        <v>3.3529657469575494E-2</v>
      </c>
      <c r="BE68" t="s">
        <v>365</v>
      </c>
      <c r="BF68">
        <v>26.618272999515572</v>
      </c>
      <c r="BG68">
        <f t="shared" si="29"/>
        <v>3.4491503680302849E-2</v>
      </c>
      <c r="BL68" t="s">
        <v>506</v>
      </c>
      <c r="BM68">
        <v>25.670999999999999</v>
      </c>
      <c r="BN68">
        <f t="shared" si="30"/>
        <v>3.4014448223533132E-2</v>
      </c>
      <c r="BS68" t="s">
        <v>376</v>
      </c>
      <c r="BT68">
        <v>25.249354833909248</v>
      </c>
      <c r="BU68">
        <f t="shared" si="31"/>
        <v>3.4001592572824514E-2</v>
      </c>
      <c r="BZ68" t="s">
        <v>396</v>
      </c>
      <c r="CA68">
        <v>24.8</v>
      </c>
      <c r="CB68">
        <f t="shared" si="32"/>
        <v>3.4337877794539035E-2</v>
      </c>
      <c r="CG68" t="s">
        <v>415</v>
      </c>
      <c r="CH68">
        <v>4.9000000000000004</v>
      </c>
      <c r="CI68">
        <f t="shared" si="33"/>
        <v>6.990818359036078E-3</v>
      </c>
      <c r="CN68" t="s">
        <v>427</v>
      </c>
      <c r="CO68">
        <v>5.5</v>
      </c>
      <c r="CP68">
        <f t="shared" si="34"/>
        <v>8.3570105168267045E-3</v>
      </c>
      <c r="CU68" t="s">
        <v>206</v>
      </c>
      <c r="CV68">
        <v>6.2</v>
      </c>
      <c r="CW68">
        <f t="shared" si="35"/>
        <v>1.1739830584777056E-2</v>
      </c>
      <c r="DB68" t="s">
        <v>381</v>
      </c>
      <c r="DC68">
        <v>15.3</v>
      </c>
      <c r="DD68">
        <f t="shared" si="36"/>
        <v>3.3711820124304077E-2</v>
      </c>
      <c r="DI68" t="s">
        <v>436</v>
      </c>
      <c r="DJ68">
        <v>14.7</v>
      </c>
      <c r="DK68">
        <f t="shared" si="37"/>
        <v>4.4324305809004816E-2</v>
      </c>
      <c r="DP68" t="s">
        <v>416</v>
      </c>
      <c r="DQ68">
        <v>8.6</v>
      </c>
      <c r="DR68">
        <f t="shared" si="38"/>
        <v>3.2854122842864188E-2</v>
      </c>
      <c r="DW68" t="s">
        <v>328</v>
      </c>
      <c r="DX68">
        <v>7.2</v>
      </c>
      <c r="DY68">
        <f>(DX68/$DY$1)*100</f>
        <v>3.0664546724336453E-2</v>
      </c>
      <c r="ED68" t="s">
        <v>416</v>
      </c>
      <c r="EE68">
        <v>3.8</v>
      </c>
      <c r="EF68">
        <f t="shared" si="20"/>
        <v>1.9500366735186507E-2</v>
      </c>
    </row>
    <row r="69" spans="1:136" x14ac:dyDescent="0.2">
      <c r="A69" t="s">
        <v>349</v>
      </c>
      <c r="B69">
        <v>26.14365282</v>
      </c>
      <c r="C69">
        <f t="shared" si="22"/>
        <v>2.5050681563128098E-2</v>
      </c>
      <c r="H69" t="s">
        <v>462</v>
      </c>
      <c r="I69">
        <v>25.96</v>
      </c>
      <c r="J69">
        <f t="shared" si="23"/>
        <v>2.6584128885919166E-2</v>
      </c>
      <c r="O69" t="s">
        <v>384</v>
      </c>
      <c r="P69">
        <v>26.14</v>
      </c>
      <c r="Q69">
        <f t="shared" si="24"/>
        <v>2.8702287662364472E-2</v>
      </c>
      <c r="V69" t="s">
        <v>384</v>
      </c>
      <c r="W69">
        <v>26.7</v>
      </c>
      <c r="X69">
        <f t="shared" si="21"/>
        <v>2.9112332278347482E-2</v>
      </c>
      <c r="AC69" t="s">
        <v>350</v>
      </c>
      <c r="AD69">
        <v>20.401995191736034</v>
      </c>
      <c r="AE69">
        <f t="shared" si="25"/>
        <v>2.3165476723000619E-2</v>
      </c>
      <c r="AJ69" t="s">
        <v>508</v>
      </c>
      <c r="AK69">
        <v>20.202570485651378</v>
      </c>
      <c r="AL69">
        <f t="shared" si="26"/>
        <v>2.4502743091653068E-2</v>
      </c>
      <c r="AQ69" t="s">
        <v>398</v>
      </c>
      <c r="AR69">
        <v>24.033888228299649</v>
      </c>
      <c r="AS69">
        <f t="shared" si="27"/>
        <v>3.0110428673193905E-2</v>
      </c>
      <c r="AX69" t="s">
        <v>384</v>
      </c>
      <c r="AY69">
        <v>25.9</v>
      </c>
      <c r="AZ69">
        <f t="shared" si="28"/>
        <v>3.2624886238029401E-2</v>
      </c>
      <c r="BE69" t="s">
        <v>381</v>
      </c>
      <c r="BF69">
        <v>24.803390749548598</v>
      </c>
      <c r="BG69">
        <f t="shared" si="29"/>
        <v>3.2139810247554919E-2</v>
      </c>
      <c r="BL69" t="s">
        <v>376</v>
      </c>
      <c r="BM69">
        <v>25.3</v>
      </c>
      <c r="BN69">
        <f t="shared" si="30"/>
        <v>3.3522867829667263E-2</v>
      </c>
      <c r="BS69" t="s">
        <v>396</v>
      </c>
      <c r="BT69">
        <v>24.8</v>
      </c>
      <c r="BU69">
        <f t="shared" si="31"/>
        <v>3.3396476914079348E-2</v>
      </c>
      <c r="BZ69" t="s">
        <v>400</v>
      </c>
      <c r="CA69">
        <v>20.3</v>
      </c>
      <c r="CB69">
        <f t="shared" si="32"/>
        <v>2.8107214485046061E-2</v>
      </c>
      <c r="CG69" t="s">
        <v>430</v>
      </c>
      <c r="CH69">
        <v>4.5999999999999996</v>
      </c>
      <c r="CI69">
        <f t="shared" si="33"/>
        <v>6.5628090717481527E-3</v>
      </c>
      <c r="CN69" t="s">
        <v>429</v>
      </c>
      <c r="CO69">
        <v>5.4</v>
      </c>
      <c r="CP69">
        <f t="shared" si="34"/>
        <v>8.2050648710662189E-3</v>
      </c>
      <c r="CU69" t="s">
        <v>409</v>
      </c>
      <c r="CV69">
        <v>6</v>
      </c>
      <c r="CW69">
        <f t="shared" si="35"/>
        <v>1.1361126372364893E-2</v>
      </c>
      <c r="DB69" t="s">
        <v>396</v>
      </c>
      <c r="DC69">
        <v>15</v>
      </c>
      <c r="DD69">
        <f t="shared" si="36"/>
        <v>3.3050804043435369E-2</v>
      </c>
      <c r="DI69" t="s">
        <v>393</v>
      </c>
      <c r="DJ69">
        <v>13.2</v>
      </c>
      <c r="DK69">
        <f t="shared" si="37"/>
        <v>3.9801417461147182E-2</v>
      </c>
      <c r="DP69" t="s">
        <v>393</v>
      </c>
      <c r="DQ69">
        <v>8.4</v>
      </c>
      <c r="DR69">
        <f t="shared" si="38"/>
        <v>3.2090073474425489E-2</v>
      </c>
      <c r="DW69" t="s">
        <v>393</v>
      </c>
      <c r="DX69">
        <v>6.4</v>
      </c>
      <c r="DY69">
        <f>(DX69/$DY$1)*100</f>
        <v>2.7257374866076843E-2</v>
      </c>
      <c r="ED69" t="s">
        <v>406</v>
      </c>
      <c r="EE69">
        <v>2.2000000000000002</v>
      </c>
      <c r="EF69">
        <f t="shared" si="20"/>
        <v>1.1289686004581663E-2</v>
      </c>
    </row>
    <row r="70" spans="1:136" x14ac:dyDescent="0.2">
      <c r="A70" t="s">
        <v>519</v>
      </c>
      <c r="B70">
        <v>25.40602905356176</v>
      </c>
      <c r="C70">
        <f t="shared" si="22"/>
        <v>2.4343895169747606E-2</v>
      </c>
      <c r="H70" t="s">
        <v>349</v>
      </c>
      <c r="I70">
        <v>25.56</v>
      </c>
      <c r="J70">
        <f t="shared" si="23"/>
        <v>2.6174512108015944E-2</v>
      </c>
      <c r="O70" t="s">
        <v>344</v>
      </c>
      <c r="P70">
        <v>24.54</v>
      </c>
      <c r="Q70">
        <f t="shared" si="24"/>
        <v>2.6945452916389598E-2</v>
      </c>
      <c r="V70" t="s">
        <v>344</v>
      </c>
      <c r="W70">
        <v>25.437283874197387</v>
      </c>
      <c r="X70">
        <f t="shared" si="21"/>
        <v>2.7735530352220393E-2</v>
      </c>
      <c r="AC70" t="s">
        <v>508</v>
      </c>
      <c r="AD70">
        <v>20.062945880942266</v>
      </c>
      <c r="AE70">
        <f t="shared" si="25"/>
        <v>2.278050266319279E-2</v>
      </c>
      <c r="AJ70" t="s">
        <v>381</v>
      </c>
      <c r="AK70">
        <v>20.081952288941743</v>
      </c>
      <c r="AL70">
        <f t="shared" si="26"/>
        <v>2.4356450980545043E-2</v>
      </c>
      <c r="AQ70" t="s">
        <v>381</v>
      </c>
      <c r="AR70">
        <v>22.395214030915579</v>
      </c>
      <c r="AS70">
        <f t="shared" si="27"/>
        <v>2.8057444900021586E-2</v>
      </c>
      <c r="AX70" t="s">
        <v>381</v>
      </c>
      <c r="AY70">
        <v>24.803390749548598</v>
      </c>
      <c r="AZ70">
        <f t="shared" si="28"/>
        <v>3.1243544460286252E-2</v>
      </c>
      <c r="BE70" t="s">
        <v>372</v>
      </c>
      <c r="BF70">
        <v>24.630544820980319</v>
      </c>
      <c r="BG70">
        <f t="shared" si="29"/>
        <v>3.1915839444436073E-2</v>
      </c>
      <c r="BL70" t="s">
        <v>396</v>
      </c>
      <c r="BM70">
        <v>24.9</v>
      </c>
      <c r="BN70">
        <f t="shared" si="30"/>
        <v>3.2992862014178448E-2</v>
      </c>
      <c r="BS70" t="s">
        <v>347</v>
      </c>
      <c r="BT70">
        <v>16.5</v>
      </c>
      <c r="BU70">
        <f t="shared" si="31"/>
        <v>2.2219430204931823E-2</v>
      </c>
      <c r="BZ70" t="s">
        <v>347</v>
      </c>
      <c r="CA70">
        <v>17.2</v>
      </c>
      <c r="CB70">
        <f t="shared" si="32"/>
        <v>2.3814979760728681E-2</v>
      </c>
      <c r="CG70" t="s">
        <v>433</v>
      </c>
      <c r="CH70">
        <v>4.3</v>
      </c>
      <c r="CI70">
        <f t="shared" si="33"/>
        <v>6.1347997844602292E-3</v>
      </c>
      <c r="CN70" t="s">
        <v>432</v>
      </c>
      <c r="CO70">
        <v>5.4</v>
      </c>
      <c r="CP70">
        <f t="shared" si="34"/>
        <v>8.2050648710662189E-3</v>
      </c>
      <c r="CU70" t="s">
        <v>422</v>
      </c>
      <c r="CV70">
        <v>5.6</v>
      </c>
      <c r="CW70">
        <f t="shared" si="35"/>
        <v>1.0603717947540565E-2</v>
      </c>
      <c r="DB70" t="s">
        <v>401</v>
      </c>
      <c r="DC70">
        <v>12.496834201198405</v>
      </c>
      <c r="DD70">
        <f t="shared" si="36"/>
        <v>2.7535361223140646E-2</v>
      </c>
      <c r="DI70" t="s">
        <v>396</v>
      </c>
      <c r="DJ70">
        <v>12</v>
      </c>
      <c r="DK70">
        <f t="shared" si="37"/>
        <v>3.6183106782861074E-2</v>
      </c>
      <c r="DP70" t="s">
        <v>441</v>
      </c>
      <c r="DQ70">
        <v>7.5</v>
      </c>
      <c r="DR70">
        <f t="shared" si="38"/>
        <v>2.8651851316451326E-2</v>
      </c>
      <c r="DW70" t="s">
        <v>416</v>
      </c>
      <c r="DX70">
        <v>6.2</v>
      </c>
      <c r="DY70">
        <f>(DX70/$DY$1)*100</f>
        <v>2.6405581901511942E-2</v>
      </c>
      <c r="ED70" t="s">
        <v>407</v>
      </c>
      <c r="EE70">
        <v>1.9</v>
      </c>
      <c r="EF70">
        <f t="shared" si="20"/>
        <v>9.7501833675932535E-3</v>
      </c>
    </row>
    <row r="71" spans="1:136" x14ac:dyDescent="0.2">
      <c r="A71" t="s">
        <v>391</v>
      </c>
      <c r="B71">
        <v>24.884467600000001</v>
      </c>
      <c r="C71">
        <f t="shared" si="22"/>
        <v>2.3844138307968034E-2</v>
      </c>
      <c r="H71" t="s">
        <v>507</v>
      </c>
      <c r="I71">
        <v>24.91</v>
      </c>
      <c r="J71">
        <f t="shared" si="23"/>
        <v>2.5508884843923205E-2</v>
      </c>
      <c r="O71" t="s">
        <v>519</v>
      </c>
      <c r="P71">
        <v>24.457160150589395</v>
      </c>
      <c r="Q71">
        <f t="shared" si="24"/>
        <v>2.6854492962767172E-2</v>
      </c>
      <c r="V71" t="s">
        <v>325</v>
      </c>
      <c r="W71">
        <v>21.82</v>
      </c>
      <c r="X71">
        <f t="shared" si="21"/>
        <v>2.379142660350345E-2</v>
      </c>
      <c r="AC71" t="s">
        <v>348</v>
      </c>
      <c r="AD71">
        <v>19.575746165279433</v>
      </c>
      <c r="AE71">
        <f t="shared" si="25"/>
        <v>2.2227310999016169E-2</v>
      </c>
      <c r="AJ71" t="s">
        <v>372</v>
      </c>
      <c r="AK71">
        <v>17.756673602853745</v>
      </c>
      <c r="AL71">
        <f t="shared" si="26"/>
        <v>2.153623034069245E-2</v>
      </c>
      <c r="AQ71" t="s">
        <v>372</v>
      </c>
      <c r="AR71">
        <v>22.239149821640911</v>
      </c>
      <c r="AS71">
        <f t="shared" si="27"/>
        <v>2.7861922635909947E-2</v>
      </c>
      <c r="AX71" t="s">
        <v>372</v>
      </c>
      <c r="AY71">
        <v>24.630544820980319</v>
      </c>
      <c r="AZ71">
        <f t="shared" si="28"/>
        <v>3.1025819411782521E-2</v>
      </c>
      <c r="BE71" t="s">
        <v>376</v>
      </c>
      <c r="BF71">
        <v>21.778586999603647</v>
      </c>
      <c r="BG71">
        <f t="shared" si="29"/>
        <v>2.8220321192975052E-2</v>
      </c>
      <c r="BL71" t="s">
        <v>347</v>
      </c>
      <c r="BM71">
        <v>16.600000000000001</v>
      </c>
      <c r="BN71">
        <f t="shared" si="30"/>
        <v>2.1995241342785635E-2</v>
      </c>
      <c r="BS71" t="s">
        <v>409</v>
      </c>
      <c r="BT71">
        <v>12.696</v>
      </c>
      <c r="BU71">
        <f t="shared" si="31"/>
        <v>1.7096841568594815E-2</v>
      </c>
      <c r="BZ71" t="s">
        <v>401</v>
      </c>
      <c r="CA71">
        <v>14.107639306839356</v>
      </c>
      <c r="CB71">
        <f t="shared" si="32"/>
        <v>1.9533322358374402E-2</v>
      </c>
      <c r="CG71" t="s">
        <v>432</v>
      </c>
      <c r="CH71">
        <v>3.8</v>
      </c>
      <c r="CI71">
        <f t="shared" si="33"/>
        <v>5.4214509723136918E-3</v>
      </c>
      <c r="CN71" t="s">
        <v>435</v>
      </c>
      <c r="CO71">
        <v>3.7</v>
      </c>
      <c r="CP71">
        <f t="shared" si="34"/>
        <v>5.6219888931379651E-3</v>
      </c>
      <c r="CU71" t="s">
        <v>430</v>
      </c>
      <c r="CV71">
        <v>4.9000000000000004</v>
      </c>
      <c r="CW71">
        <f t="shared" si="35"/>
        <v>9.2782532040979956E-3</v>
      </c>
      <c r="DB71" t="s">
        <v>426</v>
      </c>
      <c r="DC71">
        <v>12</v>
      </c>
      <c r="DD71">
        <f t="shared" si="36"/>
        <v>2.6440643234748297E-2</v>
      </c>
      <c r="DI71" t="s">
        <v>426</v>
      </c>
      <c r="DJ71">
        <v>11.4</v>
      </c>
      <c r="DK71">
        <f t="shared" si="37"/>
        <v>3.437395144371802E-2</v>
      </c>
      <c r="DP71" t="s">
        <v>438</v>
      </c>
      <c r="DQ71">
        <v>7.2</v>
      </c>
      <c r="DR71">
        <f t="shared" si="38"/>
        <v>2.7505777263793274E-2</v>
      </c>
      <c r="DW71" t="s">
        <v>421</v>
      </c>
      <c r="DX71">
        <v>6.1</v>
      </c>
      <c r="DY71">
        <f t="shared" ref="DY71:DY81" si="39">(DX71/$DY$1)*100</f>
        <v>2.5979685419229494E-2</v>
      </c>
      <c r="ED71" t="s">
        <v>396</v>
      </c>
      <c r="EE71">
        <v>1.6</v>
      </c>
      <c r="EF71">
        <f t="shared" si="20"/>
        <v>8.2106807306048472E-3</v>
      </c>
    </row>
    <row r="72" spans="1:136" x14ac:dyDescent="0.2">
      <c r="A72" t="s">
        <v>344</v>
      </c>
      <c r="B72">
        <v>22.793083289999998</v>
      </c>
      <c r="C72">
        <f t="shared" si="22"/>
        <v>2.1840187186958144E-2</v>
      </c>
      <c r="H72" t="s">
        <v>519</v>
      </c>
      <c r="I72">
        <v>24.627822026422891</v>
      </c>
      <c r="J72">
        <f t="shared" si="23"/>
        <v>2.5219922763093417E-2</v>
      </c>
      <c r="O72" t="s">
        <v>463</v>
      </c>
      <c r="P72">
        <v>23.64</v>
      </c>
      <c r="Q72">
        <f t="shared" si="24"/>
        <v>2.5957233371778729E-2</v>
      </c>
      <c r="V72" t="s">
        <v>391</v>
      </c>
      <c r="W72">
        <v>20.329999999999998</v>
      </c>
      <c r="X72">
        <f t="shared" si="21"/>
        <v>2.2166805813438363E-2</v>
      </c>
      <c r="AC72" t="s">
        <v>398</v>
      </c>
      <c r="AD72">
        <v>18.241036199464926</v>
      </c>
      <c r="AE72">
        <f t="shared" si="25"/>
        <v>2.0711812521810521E-2</v>
      </c>
      <c r="AJ72" t="s">
        <v>376</v>
      </c>
      <c r="AK72">
        <v>17.474821640903691</v>
      </c>
      <c r="AL72">
        <f t="shared" si="26"/>
        <v>2.119438541464972E-2</v>
      </c>
      <c r="AQ72" t="s">
        <v>409</v>
      </c>
      <c r="AR72">
        <v>20.6</v>
      </c>
      <c r="AS72">
        <f t="shared" si="27"/>
        <v>2.5808342985361287E-2</v>
      </c>
      <c r="AX72" t="s">
        <v>376</v>
      </c>
      <c r="AY72">
        <v>21.778586999603647</v>
      </c>
      <c r="AZ72">
        <f t="shared" si="28"/>
        <v>2.7433356111470856E-2</v>
      </c>
      <c r="BE72" t="s">
        <v>396</v>
      </c>
      <c r="BF72">
        <v>21.432895142467082</v>
      </c>
      <c r="BG72">
        <f t="shared" si="29"/>
        <v>2.7772379586737353E-2</v>
      </c>
      <c r="BL72" t="s">
        <v>409</v>
      </c>
      <c r="BM72">
        <v>12.5</v>
      </c>
      <c r="BN72">
        <f t="shared" si="30"/>
        <v>1.6562681734025326E-2</v>
      </c>
      <c r="BS72" t="s">
        <v>412</v>
      </c>
      <c r="BT72">
        <v>12.1</v>
      </c>
      <c r="BU72">
        <f t="shared" si="31"/>
        <v>1.6294248816950005E-2</v>
      </c>
      <c r="BZ72" t="s">
        <v>409</v>
      </c>
      <c r="CA72">
        <v>13.5</v>
      </c>
      <c r="CB72">
        <f t="shared" si="32"/>
        <v>1.8691989928478911E-2</v>
      </c>
      <c r="CG72" t="s">
        <v>437</v>
      </c>
      <c r="CH72">
        <v>2.2999999999999998</v>
      </c>
      <c r="CI72">
        <f t="shared" si="33"/>
        <v>3.2814045358740764E-3</v>
      </c>
      <c r="CN72" t="s">
        <v>433</v>
      </c>
      <c r="CO72">
        <v>3.5</v>
      </c>
      <c r="CP72">
        <f t="shared" si="34"/>
        <v>5.3180976016169931E-3</v>
      </c>
      <c r="CU72" t="s">
        <v>419</v>
      </c>
      <c r="CV72">
        <v>3.6</v>
      </c>
      <c r="CW72">
        <f t="shared" si="35"/>
        <v>6.8166758234189358E-3</v>
      </c>
      <c r="DB72" t="s">
        <v>319</v>
      </c>
      <c r="DC72">
        <v>12</v>
      </c>
      <c r="DD72">
        <f t="shared" si="36"/>
        <v>2.6440643234748297E-2</v>
      </c>
      <c r="DI72" t="s">
        <v>407</v>
      </c>
      <c r="DJ72">
        <v>11.2</v>
      </c>
      <c r="DK72">
        <f t="shared" si="37"/>
        <v>3.3770899664003665E-2</v>
      </c>
      <c r="DP72" t="s">
        <v>347</v>
      </c>
      <c r="DQ72">
        <v>7</v>
      </c>
      <c r="DR72">
        <f t="shared" si="38"/>
        <v>2.6741727895354575E-2</v>
      </c>
      <c r="DW72" t="s">
        <v>347</v>
      </c>
      <c r="DX72">
        <v>5.6</v>
      </c>
      <c r="DY72">
        <f t="shared" si="39"/>
        <v>2.3850203007817237E-2</v>
      </c>
      <c r="ED72" t="s">
        <v>426</v>
      </c>
      <c r="EE72">
        <v>1.5077464788732395</v>
      </c>
      <c r="EF72">
        <f t="shared" si="20"/>
        <v>7.7372656004511334E-3</v>
      </c>
    </row>
    <row r="73" spans="1:136" x14ac:dyDescent="0.2">
      <c r="A73" t="s">
        <v>404</v>
      </c>
      <c r="B73">
        <v>21.27</v>
      </c>
      <c r="C73">
        <f t="shared" si="22"/>
        <v>2.0380778482497253E-2</v>
      </c>
      <c r="H73" t="s">
        <v>391</v>
      </c>
      <c r="I73">
        <v>24</v>
      </c>
      <c r="J73">
        <f t="shared" si="23"/>
        <v>2.4577006674193373E-2</v>
      </c>
      <c r="O73" t="s">
        <v>358</v>
      </c>
      <c r="P73">
        <v>22.509</v>
      </c>
      <c r="Q73">
        <f t="shared" si="24"/>
        <v>2.4715370810717743E-2</v>
      </c>
      <c r="V73" t="s">
        <v>508</v>
      </c>
      <c r="W73">
        <v>20.114352456057553</v>
      </c>
      <c r="X73">
        <f t="shared" si="21"/>
        <v>2.1931674616649525E-2</v>
      </c>
      <c r="AC73" t="s">
        <v>381</v>
      </c>
      <c r="AD73">
        <v>18.113920964625454</v>
      </c>
      <c r="AE73">
        <f t="shared" si="25"/>
        <v>2.0567479333505227E-2</v>
      </c>
      <c r="AJ73" t="s">
        <v>509</v>
      </c>
      <c r="AK73">
        <v>16.414588519591742</v>
      </c>
      <c r="AL73">
        <f t="shared" si="26"/>
        <v>1.9908478761968117E-2</v>
      </c>
      <c r="AQ73" t="s">
        <v>508</v>
      </c>
      <c r="AR73">
        <v>20.141891701211012</v>
      </c>
      <c r="AS73">
        <f t="shared" si="27"/>
        <v>2.5234410164993004E-2</v>
      </c>
      <c r="AX73" t="s">
        <v>396</v>
      </c>
      <c r="AY73">
        <v>21.432895142467082</v>
      </c>
      <c r="AZ73">
        <f t="shared" si="28"/>
        <v>2.6997906014463384E-2</v>
      </c>
      <c r="BE73" t="s">
        <v>267</v>
      </c>
      <c r="BF73">
        <v>17.899999999999999</v>
      </c>
      <c r="BG73">
        <f t="shared" si="29"/>
        <v>2.3194514380728493E-2</v>
      </c>
      <c r="BL73" t="s">
        <v>412</v>
      </c>
      <c r="BM73">
        <v>12.2</v>
      </c>
      <c r="BN73">
        <f t="shared" si="30"/>
        <v>1.6165177372408721E-2</v>
      </c>
      <c r="BS73" t="s">
        <v>406</v>
      </c>
      <c r="BT73">
        <v>11.593365740640021</v>
      </c>
      <c r="BU73">
        <f t="shared" si="31"/>
        <v>1.5611998843296891E-2</v>
      </c>
      <c r="BZ73" t="s">
        <v>412</v>
      </c>
      <c r="CA73">
        <v>12.1</v>
      </c>
      <c r="CB73">
        <f t="shared" si="32"/>
        <v>1.6753561343303316E-2</v>
      </c>
      <c r="CG73" t="s">
        <v>523</v>
      </c>
      <c r="CH73">
        <v>1.3</v>
      </c>
      <c r="CI73">
        <f t="shared" si="33"/>
        <v>1.8547069115809999E-3</v>
      </c>
      <c r="CN73" t="s">
        <v>415</v>
      </c>
      <c r="CO73">
        <v>3.3</v>
      </c>
      <c r="CP73">
        <f t="shared" si="34"/>
        <v>5.014206310096022E-3</v>
      </c>
      <c r="CU73" t="s">
        <v>429</v>
      </c>
      <c r="CV73">
        <v>3.6</v>
      </c>
      <c r="CW73">
        <f t="shared" si="35"/>
        <v>6.8166758234189358E-3</v>
      </c>
      <c r="DB73" t="s">
        <v>439</v>
      </c>
      <c r="DC73">
        <v>11.545800000000002</v>
      </c>
      <c r="DD73">
        <f t="shared" si="36"/>
        <v>2.5439864888313075E-2</v>
      </c>
      <c r="DI73" t="s">
        <v>441</v>
      </c>
      <c r="DJ73">
        <v>9.1999999999999993</v>
      </c>
      <c r="DK73">
        <f t="shared" si="37"/>
        <v>2.7740381866860158E-2</v>
      </c>
      <c r="DP73" t="s">
        <v>426</v>
      </c>
      <c r="DQ73">
        <v>6.7</v>
      </c>
      <c r="DR73">
        <f t="shared" si="38"/>
        <v>2.5595653842696516E-2</v>
      </c>
      <c r="DW73" t="s">
        <v>431</v>
      </c>
      <c r="DX73">
        <v>5.0999999999999996</v>
      </c>
      <c r="DY73">
        <f t="shared" si="39"/>
        <v>2.1720720596404983E-2</v>
      </c>
      <c r="ED73" t="s">
        <v>443</v>
      </c>
      <c r="EE73">
        <v>1.2</v>
      </c>
      <c r="EF73">
        <f t="shared" si="20"/>
        <v>6.1580105479536349E-3</v>
      </c>
    </row>
    <row r="74" spans="1:136" x14ac:dyDescent="0.2">
      <c r="A74" t="s">
        <v>462</v>
      </c>
      <c r="B74">
        <v>19.23</v>
      </c>
      <c r="C74">
        <f t="shared" si="22"/>
        <v>1.8426063479944625E-2</v>
      </c>
      <c r="H74" t="s">
        <v>344</v>
      </c>
      <c r="I74">
        <v>23.66883</v>
      </c>
      <c r="J74">
        <f t="shared" si="23"/>
        <v>2.4237874703347848E-2</v>
      </c>
      <c r="O74" t="s">
        <v>462</v>
      </c>
      <c r="P74">
        <v>18.23</v>
      </c>
      <c r="Q74">
        <f t="shared" si="24"/>
        <v>2.0016935886951196E-2</v>
      </c>
      <c r="V74" t="s">
        <v>350</v>
      </c>
      <c r="W74">
        <v>18.557654826403098</v>
      </c>
      <c r="X74">
        <f t="shared" si="21"/>
        <v>2.0234330097869881E-2</v>
      </c>
      <c r="AC74" t="s">
        <v>509</v>
      </c>
      <c r="AD74">
        <v>16.301143528265591</v>
      </c>
      <c r="AE74">
        <f t="shared" si="25"/>
        <v>1.8509158413844141E-2</v>
      </c>
      <c r="AJ74" t="s">
        <v>405</v>
      </c>
      <c r="AK74">
        <v>14.2</v>
      </c>
      <c r="AL74">
        <f t="shared" si="26"/>
        <v>1.7222508994515964E-2</v>
      </c>
      <c r="AQ74" t="s">
        <v>376</v>
      </c>
      <c r="AR74">
        <v>19.6640903686088</v>
      </c>
      <c r="AS74">
        <f t="shared" si="27"/>
        <v>2.4635805278067736E-2</v>
      </c>
      <c r="AX74" t="s">
        <v>508</v>
      </c>
      <c r="AY74">
        <v>21.003468753314554</v>
      </c>
      <c r="AZ74">
        <f t="shared" si="28"/>
        <v>2.645697987184914E-2</v>
      </c>
      <c r="BE74" t="s">
        <v>409</v>
      </c>
      <c r="BF74">
        <v>14.4</v>
      </c>
      <c r="BG74">
        <f t="shared" si="29"/>
        <v>1.8659274138686611E-2</v>
      </c>
      <c r="BL74" t="s">
        <v>462</v>
      </c>
      <c r="BM74">
        <v>11.86</v>
      </c>
      <c r="BN74">
        <f t="shared" si="30"/>
        <v>1.571467242924323E-2</v>
      </c>
      <c r="BS74" t="s">
        <v>410</v>
      </c>
      <c r="BT74">
        <v>11.2</v>
      </c>
      <c r="BU74">
        <f t="shared" si="31"/>
        <v>1.5082279896680996E-2</v>
      </c>
      <c r="BZ74" t="s">
        <v>406</v>
      </c>
      <c r="CA74">
        <v>11.430611556946698</v>
      </c>
      <c r="CB74">
        <f t="shared" si="32"/>
        <v>1.5826731562874244E-2</v>
      </c>
      <c r="CG74" t="s">
        <v>169</v>
      </c>
      <c r="CH74">
        <v>824.81708408626923</v>
      </c>
      <c r="CI74">
        <f t="shared" si="33"/>
        <v>1.1767645743422235</v>
      </c>
      <c r="CN74" t="s">
        <v>523</v>
      </c>
      <c r="CO74">
        <v>1.9000000000000001</v>
      </c>
      <c r="CP74">
        <f t="shared" si="34"/>
        <v>2.8869672694492249E-3</v>
      </c>
      <c r="CU74" t="s">
        <v>433</v>
      </c>
      <c r="CV74">
        <v>3.6</v>
      </c>
      <c r="CW74">
        <f t="shared" si="35"/>
        <v>6.8166758234189358E-3</v>
      </c>
      <c r="DB74" t="s">
        <v>242</v>
      </c>
      <c r="DC74">
        <v>7.5545377517302574</v>
      </c>
      <c r="DD74">
        <f t="shared" si="36"/>
        <v>1.6645569791411435E-2</v>
      </c>
      <c r="DI74" t="s">
        <v>401</v>
      </c>
      <c r="DJ74">
        <v>9.098304900140791</v>
      </c>
      <c r="DK74">
        <f t="shared" si="37"/>
        <v>2.7433744812068533E-2</v>
      </c>
      <c r="DP74" t="s">
        <v>407</v>
      </c>
      <c r="DQ74">
        <v>6.6</v>
      </c>
      <c r="DR74">
        <f t="shared" si="38"/>
        <v>2.5213629158477167E-2</v>
      </c>
      <c r="DW74" t="s">
        <v>407</v>
      </c>
      <c r="DX74">
        <v>2.9</v>
      </c>
      <c r="DY74">
        <f t="shared" si="39"/>
        <v>1.235099798619107E-2</v>
      </c>
      <c r="ED74" t="s">
        <v>169</v>
      </c>
      <c r="EE74">
        <v>283.45295352112686</v>
      </c>
      <c r="EF74">
        <f t="shared" si="20"/>
        <v>1.4545885646930923</v>
      </c>
    </row>
    <row r="75" spans="1:136" x14ac:dyDescent="0.2">
      <c r="A75" t="s">
        <v>402</v>
      </c>
      <c r="B75">
        <v>19.181777100000001</v>
      </c>
      <c r="C75">
        <f t="shared" si="22"/>
        <v>1.837985660440708E-2</v>
      </c>
      <c r="H75" t="s">
        <v>402</v>
      </c>
      <c r="I75">
        <v>18.5</v>
      </c>
      <c r="J75">
        <f t="shared" si="23"/>
        <v>1.8944775978024062E-2</v>
      </c>
      <c r="O75" t="s">
        <v>350</v>
      </c>
      <c r="P75">
        <v>17.901119999999999</v>
      </c>
      <c r="Q75">
        <f t="shared" si="24"/>
        <v>1.9655818504916062E-2</v>
      </c>
      <c r="V75" t="s">
        <v>348</v>
      </c>
      <c r="W75">
        <v>17.806098711938173</v>
      </c>
      <c r="X75">
        <f t="shared" si="21"/>
        <v>1.9414871246554277E-2</v>
      </c>
      <c r="AC75" t="s">
        <v>372</v>
      </c>
      <c r="AD75">
        <v>16.016519589774077</v>
      </c>
      <c r="AE75">
        <f t="shared" si="25"/>
        <v>1.8185981726467768E-2</v>
      </c>
      <c r="AJ75" t="s">
        <v>409</v>
      </c>
      <c r="AK75">
        <v>13.6</v>
      </c>
      <c r="AL75">
        <f t="shared" si="26"/>
        <v>1.6494797346860358E-2</v>
      </c>
      <c r="AQ75" t="s">
        <v>396</v>
      </c>
      <c r="AR75">
        <v>19.351961950059458</v>
      </c>
      <c r="AS75">
        <f t="shared" si="27"/>
        <v>2.4244760749844441E-2</v>
      </c>
      <c r="AX75" t="s">
        <v>509</v>
      </c>
      <c r="AY75">
        <v>17.065318362068076</v>
      </c>
      <c r="AZ75">
        <f t="shared" si="28"/>
        <v>2.1496296145877423E-2</v>
      </c>
      <c r="BE75" t="s">
        <v>347</v>
      </c>
      <c r="BF75">
        <v>14.259789106883341</v>
      </c>
      <c r="BG75">
        <f t="shared" si="29"/>
        <v>1.8477591257305092E-2</v>
      </c>
      <c r="BL75" t="s">
        <v>406</v>
      </c>
      <c r="BM75">
        <v>11.7</v>
      </c>
      <c r="BN75">
        <f t="shared" si="30"/>
        <v>1.5502670103047705E-2</v>
      </c>
      <c r="BS75" t="s">
        <v>462</v>
      </c>
      <c r="BT75">
        <v>11.01</v>
      </c>
      <c r="BU75">
        <f t="shared" si="31"/>
        <v>1.4826419791290872E-2</v>
      </c>
      <c r="BZ75" t="s">
        <v>410</v>
      </c>
      <c r="CA75">
        <v>11.2</v>
      </c>
      <c r="CB75">
        <f t="shared" si="32"/>
        <v>1.5507428681404723E-2</v>
      </c>
      <c r="CG75" t="s">
        <v>510</v>
      </c>
      <c r="CH75">
        <v>417.5</v>
      </c>
      <c r="CI75">
        <f t="shared" si="33"/>
        <v>0.59564625814235961</v>
      </c>
      <c r="CN75" t="s">
        <v>169</v>
      </c>
      <c r="CO75">
        <v>530.71670720524025</v>
      </c>
      <c r="CP75">
        <f t="shared" si="34"/>
        <v>0.80640092792178752</v>
      </c>
      <c r="CU75" t="s">
        <v>435</v>
      </c>
      <c r="CV75">
        <v>2.8</v>
      </c>
      <c r="CW75">
        <f t="shared" si="35"/>
        <v>5.3018589737702827E-3</v>
      </c>
      <c r="DB75" t="s">
        <v>442</v>
      </c>
      <c r="DC75">
        <v>6.7</v>
      </c>
      <c r="DD75">
        <f t="shared" si="36"/>
        <v>1.4762692472734465E-2</v>
      </c>
      <c r="DI75" t="s">
        <v>347</v>
      </c>
      <c r="DJ75">
        <v>8.6999999999999993</v>
      </c>
      <c r="DK75">
        <f t="shared" si="37"/>
        <v>2.6232752417574275E-2</v>
      </c>
      <c r="DP75" t="s">
        <v>519</v>
      </c>
      <c r="DQ75">
        <v>3.7</v>
      </c>
      <c r="DR75">
        <f t="shared" si="38"/>
        <v>1.413491331611599E-2</v>
      </c>
      <c r="DW75" t="s">
        <v>406</v>
      </c>
      <c r="DX75">
        <v>2.7</v>
      </c>
      <c r="DY75">
        <f t="shared" si="39"/>
        <v>1.149920502162617E-2</v>
      </c>
      <c r="ED75" t="s">
        <v>510</v>
      </c>
      <c r="EE75">
        <v>151.19999999999999</v>
      </c>
      <c r="EF75">
        <f t="shared" si="20"/>
        <v>0.77590932904215792</v>
      </c>
    </row>
    <row r="76" spans="1:136" x14ac:dyDescent="0.2">
      <c r="A76" t="s">
        <v>508</v>
      </c>
      <c r="B76">
        <v>17.395408834123224</v>
      </c>
      <c r="C76">
        <f t="shared" si="22"/>
        <v>1.6668169913528031E-2</v>
      </c>
      <c r="H76" t="s">
        <v>404</v>
      </c>
      <c r="I76">
        <v>18</v>
      </c>
      <c r="J76">
        <f t="shared" si="23"/>
        <v>1.8432755005645032E-2</v>
      </c>
      <c r="O76" t="s">
        <v>325</v>
      </c>
      <c r="P76">
        <v>17.892400000000002</v>
      </c>
      <c r="Q76">
        <f t="shared" si="24"/>
        <v>1.9646243755550501E-2</v>
      </c>
      <c r="V76" t="s">
        <v>398</v>
      </c>
      <c r="W76">
        <v>16.592046527033297</v>
      </c>
      <c r="X76">
        <f t="shared" si="21"/>
        <v>1.8091130025198302E-2</v>
      </c>
      <c r="AC76" t="s">
        <v>376</v>
      </c>
      <c r="AD76">
        <v>15.762289120095129</v>
      </c>
      <c r="AE76">
        <f t="shared" si="25"/>
        <v>1.7897315349857175E-2</v>
      </c>
      <c r="AJ76" t="s">
        <v>411</v>
      </c>
      <c r="AK76">
        <v>13.44</v>
      </c>
      <c r="AL76">
        <f t="shared" si="26"/>
        <v>1.6300740907485532E-2</v>
      </c>
      <c r="AQ76" t="s">
        <v>509</v>
      </c>
      <c r="AR76">
        <v>16.365287007233945</v>
      </c>
      <c r="AS76">
        <f t="shared" si="27"/>
        <v>2.0502958259056816E-2</v>
      </c>
      <c r="AX76" t="s">
        <v>462</v>
      </c>
      <c r="AY76">
        <v>16.7</v>
      </c>
      <c r="AZ76">
        <f t="shared" si="28"/>
        <v>2.1036123558883825E-2</v>
      </c>
      <c r="BE76" t="s">
        <v>462</v>
      </c>
      <c r="BF76">
        <v>11.47</v>
      </c>
      <c r="BG76">
        <f t="shared" si="29"/>
        <v>1.4862630164634407E-2</v>
      </c>
      <c r="BL76" t="s">
        <v>401</v>
      </c>
      <c r="BM76">
        <v>11.660051420160068</v>
      </c>
      <c r="BN76">
        <f t="shared" si="30"/>
        <v>1.5449737653958498E-2</v>
      </c>
      <c r="BS76" t="s">
        <v>401</v>
      </c>
      <c r="BT76">
        <v>10.642561098993482</v>
      </c>
      <c r="BU76">
        <f t="shared" si="31"/>
        <v>1.4331614760048982E-2</v>
      </c>
      <c r="BZ76" t="s">
        <v>413</v>
      </c>
      <c r="CA76">
        <v>9.6</v>
      </c>
      <c r="CB76">
        <f t="shared" si="32"/>
        <v>1.3292081726918334E-2</v>
      </c>
      <c r="CN76" t="s">
        <v>510</v>
      </c>
      <c r="CO76">
        <v>440</v>
      </c>
      <c r="CP76">
        <f t="shared" si="34"/>
        <v>0.66856084134613636</v>
      </c>
      <c r="CU76" t="s">
        <v>169</v>
      </c>
      <c r="CV76">
        <v>516.99399999999935</v>
      </c>
      <c r="CW76">
        <f t="shared" si="35"/>
        <v>0.97893902795906806</v>
      </c>
      <c r="DB76" t="s">
        <v>444</v>
      </c>
      <c r="DC76">
        <v>6.4</v>
      </c>
      <c r="DD76">
        <f t="shared" si="36"/>
        <v>1.4101676391865757E-2</v>
      </c>
      <c r="DI76" t="s">
        <v>425</v>
      </c>
      <c r="DJ76">
        <v>6.3</v>
      </c>
      <c r="DK76">
        <f t="shared" si="37"/>
        <v>1.8996131061002064E-2</v>
      </c>
      <c r="DP76" t="s">
        <v>406</v>
      </c>
      <c r="DQ76">
        <v>3.4</v>
      </c>
      <c r="DR76">
        <f t="shared" si="38"/>
        <v>1.2988839263457935E-2</v>
      </c>
      <c r="DW76" t="s">
        <v>519</v>
      </c>
      <c r="DX76">
        <v>2.2000000000000002</v>
      </c>
      <c r="DY76">
        <f t="shared" si="39"/>
        <v>9.3697226102139163E-3</v>
      </c>
    </row>
    <row r="77" spans="1:136" x14ac:dyDescent="0.2">
      <c r="A77" t="s">
        <v>350</v>
      </c>
      <c r="B77">
        <v>16.626801921119998</v>
      </c>
      <c r="C77">
        <f t="shared" si="22"/>
        <v>1.5931695666511821E-2</v>
      </c>
      <c r="H77" t="s">
        <v>350</v>
      </c>
      <c r="I77">
        <v>17.26563024</v>
      </c>
      <c r="J77">
        <f t="shared" si="23"/>
        <v>1.7680729568443125E-2</v>
      </c>
      <c r="O77" t="s">
        <v>507</v>
      </c>
      <c r="P77">
        <v>17.510000000000002</v>
      </c>
      <c r="Q77">
        <f t="shared" si="24"/>
        <v>1.9226360251262505E-2</v>
      </c>
      <c r="V77" t="s">
        <v>381</v>
      </c>
      <c r="W77">
        <v>16.476422509423312</v>
      </c>
      <c r="X77">
        <f t="shared" si="21"/>
        <v>1.7965059432688214E-2</v>
      </c>
      <c r="AC77" t="s">
        <v>462</v>
      </c>
      <c r="AD77">
        <v>14.47</v>
      </c>
      <c r="AE77">
        <f t="shared" si="25"/>
        <v>1.6429983686967822E-2</v>
      </c>
      <c r="AJ77" t="s">
        <v>401</v>
      </c>
      <c r="AK77">
        <v>13.44</v>
      </c>
      <c r="AL77">
        <f t="shared" si="26"/>
        <v>1.6300740907485532E-2</v>
      </c>
      <c r="AQ77" t="s">
        <v>401</v>
      </c>
      <c r="AR77">
        <v>14.6</v>
      </c>
      <c r="AS77">
        <f t="shared" si="27"/>
        <v>1.8291349882828871E-2</v>
      </c>
      <c r="AX77" t="s">
        <v>401</v>
      </c>
      <c r="AY77">
        <v>16.265066610000002</v>
      </c>
      <c r="AZ77">
        <f t="shared" si="28"/>
        <v>2.0488260533020105E-2</v>
      </c>
      <c r="BE77" t="s">
        <v>412</v>
      </c>
      <c r="BF77">
        <v>10.457178678381116</v>
      </c>
      <c r="BG77">
        <f t="shared" si="29"/>
        <v>1.35502335886904E-2</v>
      </c>
      <c r="BL77" t="s">
        <v>410</v>
      </c>
      <c r="BM77">
        <v>11.3</v>
      </c>
      <c r="BN77">
        <f t="shared" si="30"/>
        <v>1.4972664287558899E-2</v>
      </c>
      <c r="BS77" t="s">
        <v>413</v>
      </c>
      <c r="BT77">
        <v>9.41</v>
      </c>
      <c r="BU77">
        <f t="shared" si="31"/>
        <v>1.2671808377479301E-2</v>
      </c>
      <c r="BZ77" t="s">
        <v>422</v>
      </c>
      <c r="CA77">
        <v>9.1</v>
      </c>
      <c r="CB77">
        <f t="shared" si="32"/>
        <v>1.2599785803641338E-2</v>
      </c>
      <c r="CU77" t="s">
        <v>510</v>
      </c>
      <c r="CV77">
        <v>369</v>
      </c>
      <c r="CW77">
        <f t="shared" si="35"/>
        <v>0.69870927190044096</v>
      </c>
      <c r="DB77" t="s">
        <v>437</v>
      </c>
      <c r="DC77">
        <v>2.5</v>
      </c>
      <c r="DD77">
        <f t="shared" si="36"/>
        <v>5.5084673405725619E-3</v>
      </c>
      <c r="DI77" t="s">
        <v>381</v>
      </c>
      <c r="DJ77">
        <v>4.8</v>
      </c>
      <c r="DK77">
        <f t="shared" si="37"/>
        <v>1.447324271314443E-2</v>
      </c>
      <c r="DP77" t="s">
        <v>396</v>
      </c>
      <c r="DQ77">
        <v>2.5</v>
      </c>
      <c r="DR77">
        <f t="shared" si="38"/>
        <v>9.5506171054837771E-3</v>
      </c>
      <c r="DW77" t="s">
        <v>426</v>
      </c>
      <c r="DX77">
        <v>2.0908450704225352</v>
      </c>
      <c r="DY77">
        <f t="shared" si="39"/>
        <v>8.9048356049056063E-3</v>
      </c>
    </row>
    <row r="78" spans="1:136" x14ac:dyDescent="0.2">
      <c r="A78" t="s">
        <v>348</v>
      </c>
      <c r="B78">
        <v>15.95492145315</v>
      </c>
      <c r="C78">
        <f t="shared" si="22"/>
        <v>1.528790408285347E-2</v>
      </c>
      <c r="H78" t="s">
        <v>508</v>
      </c>
      <c r="I78">
        <v>17.01278072289157</v>
      </c>
      <c r="J78">
        <f t="shared" si="23"/>
        <v>1.742180105721227E-2</v>
      </c>
      <c r="O78" t="s">
        <v>348</v>
      </c>
      <c r="P78">
        <v>17.177745000000002</v>
      </c>
      <c r="Q78">
        <f t="shared" si="24"/>
        <v>1.886153704593508E-2</v>
      </c>
      <c r="V78" t="s">
        <v>509</v>
      </c>
      <c r="W78">
        <v>16.342911370546762</v>
      </c>
      <c r="X78">
        <f t="shared" si="21"/>
        <v>1.7819485626027736E-2</v>
      </c>
      <c r="AC78" t="s">
        <v>401</v>
      </c>
      <c r="AD78">
        <v>12.22</v>
      </c>
      <c r="AE78">
        <f t="shared" si="25"/>
        <v>1.3875217737024657E-2</v>
      </c>
      <c r="AJ78" t="s">
        <v>267</v>
      </c>
      <c r="AK78">
        <v>13.4</v>
      </c>
      <c r="AL78">
        <f t="shared" si="26"/>
        <v>1.6252226797641826E-2</v>
      </c>
      <c r="AQ78" t="s">
        <v>411</v>
      </c>
      <c r="AR78">
        <v>14.6</v>
      </c>
      <c r="AS78">
        <f t="shared" si="27"/>
        <v>1.8291349882828871E-2</v>
      </c>
      <c r="AX78" t="s">
        <v>411</v>
      </c>
      <c r="AY78">
        <v>16.265066610000002</v>
      </c>
      <c r="AZ78">
        <f t="shared" si="28"/>
        <v>2.0488260533020105E-2</v>
      </c>
      <c r="BE78" t="s">
        <v>406</v>
      </c>
      <c r="BF78">
        <v>10.025063856960411</v>
      </c>
      <c r="BG78">
        <f t="shared" si="29"/>
        <v>1.299030658089328E-2</v>
      </c>
      <c r="BL78" t="s">
        <v>413</v>
      </c>
      <c r="BM78">
        <v>9.5</v>
      </c>
      <c r="BN78">
        <f t="shared" si="30"/>
        <v>1.2587638117859248E-2</v>
      </c>
      <c r="BS78" t="s">
        <v>422</v>
      </c>
      <c r="BT78">
        <v>9.1</v>
      </c>
      <c r="BU78">
        <f t="shared" si="31"/>
        <v>1.2254352416053309E-2</v>
      </c>
      <c r="BZ78" t="s">
        <v>462</v>
      </c>
      <c r="CA78">
        <v>8.9600000000000009</v>
      </c>
      <c r="CB78">
        <f t="shared" si="32"/>
        <v>1.2405942945123779E-2</v>
      </c>
      <c r="DB78" t="s">
        <v>445</v>
      </c>
      <c r="DC78">
        <v>0.5</v>
      </c>
      <c r="DD78">
        <f t="shared" si="36"/>
        <v>1.1016934681145124E-3</v>
      </c>
      <c r="DI78" t="s">
        <v>406</v>
      </c>
      <c r="DJ78">
        <v>2.4</v>
      </c>
      <c r="DK78">
        <f t="shared" si="37"/>
        <v>7.2366213565722148E-3</v>
      </c>
      <c r="DP78" t="s">
        <v>443</v>
      </c>
      <c r="DQ78">
        <v>1.9</v>
      </c>
      <c r="DR78">
        <f t="shared" si="38"/>
        <v>7.2584690001676697E-3</v>
      </c>
      <c r="DW78" t="s">
        <v>396</v>
      </c>
      <c r="DX78">
        <v>2</v>
      </c>
      <c r="DY78">
        <f t="shared" si="39"/>
        <v>8.5179296456490139E-3</v>
      </c>
    </row>
    <row r="79" spans="1:136" x14ac:dyDescent="0.2">
      <c r="A79" t="s">
        <v>398</v>
      </c>
      <c r="B79">
        <v>14.861995900650001</v>
      </c>
      <c r="C79">
        <f t="shared" si="22"/>
        <v>1.4240669781802065E-2</v>
      </c>
      <c r="H79" t="s">
        <v>348</v>
      </c>
      <c r="I79">
        <v>16.567935049999999</v>
      </c>
      <c r="J79">
        <f t="shared" si="23"/>
        <v>1.6966260429227178E-2</v>
      </c>
      <c r="O79" t="s">
        <v>508</v>
      </c>
      <c r="P79">
        <v>16.952876602357584</v>
      </c>
      <c r="Q79">
        <f t="shared" si="24"/>
        <v>1.8614626662028896E-2</v>
      </c>
      <c r="V79" t="s">
        <v>462</v>
      </c>
      <c r="W79">
        <v>16.12</v>
      </c>
      <c r="X79">
        <f t="shared" si="21"/>
        <v>1.7576434319361851E-2</v>
      </c>
      <c r="AC79" t="s">
        <v>411</v>
      </c>
      <c r="AD79">
        <v>12.22</v>
      </c>
      <c r="AE79">
        <f t="shared" si="25"/>
        <v>1.3875217737024657E-2</v>
      </c>
      <c r="AJ79" t="s">
        <v>396</v>
      </c>
      <c r="AK79">
        <v>11.626393430439956</v>
      </c>
      <c r="AL79">
        <f t="shared" si="26"/>
        <v>1.4101103199262919E-2</v>
      </c>
      <c r="AQ79" t="s">
        <v>267</v>
      </c>
      <c r="AR79">
        <v>14.595659999999999</v>
      </c>
      <c r="AS79">
        <f t="shared" si="27"/>
        <v>1.8285912591151372E-2</v>
      </c>
      <c r="AX79" t="s">
        <v>267</v>
      </c>
      <c r="AY79">
        <v>16.217399999999998</v>
      </c>
      <c r="AZ79">
        <f t="shared" si="28"/>
        <v>2.0428217377475601E-2</v>
      </c>
      <c r="BE79" t="s">
        <v>410</v>
      </c>
      <c r="BF79">
        <v>9.679371999823843</v>
      </c>
      <c r="BG79">
        <f t="shared" si="29"/>
        <v>1.2542364974655579E-2</v>
      </c>
      <c r="BL79" t="s">
        <v>422</v>
      </c>
      <c r="BM79">
        <v>9.1999999999999993</v>
      </c>
      <c r="BN79">
        <f t="shared" si="30"/>
        <v>1.219013375624264E-2</v>
      </c>
      <c r="BS79" t="s">
        <v>411</v>
      </c>
      <c r="BT79">
        <v>7.6409424641759527</v>
      </c>
      <c r="BU79">
        <f t="shared" si="31"/>
        <v>1.0289538653494386E-2</v>
      </c>
      <c r="BZ79" t="s">
        <v>419</v>
      </c>
      <c r="CA79">
        <v>5.6101161015689307</v>
      </c>
      <c r="CB79">
        <f t="shared" si="32"/>
        <v>7.7677210124536163E-3</v>
      </c>
      <c r="DB79" t="s">
        <v>169</v>
      </c>
      <c r="DC79">
        <v>597.66500000000019</v>
      </c>
      <c r="DD79">
        <f t="shared" si="36"/>
        <v>1.3168872532413203</v>
      </c>
      <c r="DI79" t="s">
        <v>317</v>
      </c>
      <c r="DJ79">
        <v>1</v>
      </c>
      <c r="DK79">
        <f t="shared" si="37"/>
        <v>3.0152588985717559E-3</v>
      </c>
      <c r="DP79" t="s">
        <v>169</v>
      </c>
      <c r="DQ79">
        <v>376.19299999999993</v>
      </c>
      <c r="DR79">
        <f t="shared" si="38"/>
        <v>1.437150120305303</v>
      </c>
      <c r="DW79" t="s">
        <v>443</v>
      </c>
      <c r="DX79">
        <v>1.4</v>
      </c>
      <c r="DY79">
        <f t="shared" si="39"/>
        <v>5.9625507519543092E-3</v>
      </c>
    </row>
    <row r="80" spans="1:136" x14ac:dyDescent="0.2">
      <c r="A80" t="s">
        <v>381</v>
      </c>
      <c r="B80">
        <v>14.76345342996</v>
      </c>
      <c r="C80">
        <f t="shared" si="22"/>
        <v>1.4146247014230326E-2</v>
      </c>
      <c r="H80" t="s">
        <v>398</v>
      </c>
      <c r="I80">
        <v>15.433017550000001</v>
      </c>
      <c r="J80">
        <f t="shared" si="23"/>
        <v>1.5804057305387229E-2</v>
      </c>
      <c r="O80" t="s">
        <v>391</v>
      </c>
      <c r="P80">
        <v>16.670000000000002</v>
      </c>
      <c r="Q80">
        <f t="shared" si="24"/>
        <v>1.8304022009625699E-2</v>
      </c>
      <c r="V80" t="s">
        <v>372</v>
      </c>
      <c r="W80">
        <v>14.568626218858501</v>
      </c>
      <c r="X80">
        <f t="shared" si="21"/>
        <v>1.5884894656271679E-2</v>
      </c>
      <c r="AC80" t="s">
        <v>405</v>
      </c>
      <c r="AD80">
        <v>12.2</v>
      </c>
      <c r="AE80">
        <f t="shared" si="25"/>
        <v>1.3852508706358494E-2</v>
      </c>
      <c r="AJ80" t="s">
        <v>418</v>
      </c>
      <c r="AK80">
        <v>10</v>
      </c>
      <c r="AL80">
        <f t="shared" si="26"/>
        <v>1.2128527460926734E-2</v>
      </c>
      <c r="AQ80" t="s">
        <v>418</v>
      </c>
      <c r="AR80">
        <v>10</v>
      </c>
      <c r="AS80">
        <f t="shared" si="27"/>
        <v>1.2528321837554021E-2</v>
      </c>
      <c r="AX80" t="s">
        <v>409</v>
      </c>
      <c r="AY80">
        <v>13.7</v>
      </c>
      <c r="AZ80">
        <f t="shared" si="28"/>
        <v>1.7257179206988528E-2</v>
      </c>
      <c r="BE80" t="s">
        <v>411</v>
      </c>
      <c r="BF80">
        <v>9.1</v>
      </c>
      <c r="BG80">
        <f t="shared" si="29"/>
        <v>1.1791624629308899E-2</v>
      </c>
      <c r="BL80" t="s">
        <v>411</v>
      </c>
      <c r="BM80">
        <v>9.058306414027669</v>
      </c>
      <c r="BN80">
        <f t="shared" si="30"/>
        <v>1.2002387694785642E-2</v>
      </c>
      <c r="BS80" t="s">
        <v>419</v>
      </c>
      <c r="BT80">
        <v>5.6899954555288446</v>
      </c>
      <c r="BU80">
        <f t="shared" si="31"/>
        <v>7.6623307206365107E-3</v>
      </c>
      <c r="BZ80" t="s">
        <v>414</v>
      </c>
      <c r="CA80">
        <v>5.4</v>
      </c>
      <c r="CB80">
        <f t="shared" si="32"/>
        <v>7.4767959713915632E-3</v>
      </c>
      <c r="DB80" t="s">
        <v>510</v>
      </c>
      <c r="DC80">
        <v>278.39999999999998</v>
      </c>
      <c r="DD80">
        <f t="shared" si="36"/>
        <v>0.61342292304616042</v>
      </c>
      <c r="DI80" t="s">
        <v>444</v>
      </c>
      <c r="DJ80">
        <v>0.8</v>
      </c>
      <c r="DK80">
        <f t="shared" si="37"/>
        <v>2.4122071188574052E-3</v>
      </c>
      <c r="DP80" t="s">
        <v>510</v>
      </c>
      <c r="DQ80">
        <v>176.4</v>
      </c>
      <c r="DR80">
        <f t="shared" si="38"/>
        <v>0.6738915429629353</v>
      </c>
      <c r="DW80" t="s">
        <v>169</v>
      </c>
      <c r="DX80">
        <v>391.34615492957744</v>
      </c>
      <c r="DY80">
        <f t="shared" si="39"/>
        <v>1.6667295073926998</v>
      </c>
    </row>
    <row r="81" spans="1:129" x14ac:dyDescent="0.2">
      <c r="A81" t="s">
        <v>509</v>
      </c>
      <c r="B81">
        <v>14.133769677725118</v>
      </c>
      <c r="C81">
        <f t="shared" si="22"/>
        <v>1.3542888054741525E-2</v>
      </c>
      <c r="H81" t="s">
        <v>381</v>
      </c>
      <c r="I81">
        <v>15.33068892</v>
      </c>
      <c r="J81">
        <f t="shared" si="23"/>
        <v>1.5699268496117601E-2</v>
      </c>
      <c r="O81" t="s">
        <v>398</v>
      </c>
      <c r="P81">
        <v>16.001055000000001</v>
      </c>
      <c r="Q81">
        <f t="shared" si="24"/>
        <v>1.7569505872659347E-2</v>
      </c>
      <c r="V81" t="s">
        <v>376</v>
      </c>
      <c r="W81">
        <v>14.337378183638529</v>
      </c>
      <c r="X81">
        <f t="shared" si="21"/>
        <v>1.5632753471251495E-2</v>
      </c>
      <c r="AC81" t="s">
        <v>267</v>
      </c>
      <c r="AD81">
        <v>12.18</v>
      </c>
      <c r="AE81">
        <f t="shared" si="25"/>
        <v>1.3829799675692332E-2</v>
      </c>
      <c r="AJ81" t="s">
        <v>370</v>
      </c>
      <c r="AK81">
        <v>8.8386245874724771</v>
      </c>
      <c r="AL81">
        <f t="shared" si="26"/>
        <v>1.0719950102598217E-2</v>
      </c>
      <c r="AQ81" t="s">
        <v>412</v>
      </c>
      <c r="AR81">
        <v>9.441884661117717</v>
      </c>
      <c r="AS81">
        <f t="shared" si="27"/>
        <v>1.1829096978754745E-2</v>
      </c>
      <c r="AX81" t="s">
        <v>412</v>
      </c>
      <c r="AY81">
        <v>10.457178678381116</v>
      </c>
      <c r="AZ81">
        <f t="shared" si="28"/>
        <v>1.3172365434476084E-2</v>
      </c>
      <c r="BE81" t="s">
        <v>401</v>
      </c>
      <c r="BF81">
        <v>9</v>
      </c>
      <c r="BG81">
        <f t="shared" si="29"/>
        <v>1.1662046336679131E-2</v>
      </c>
      <c r="BL81" t="s">
        <v>419</v>
      </c>
      <c r="BM81">
        <v>5.7</v>
      </c>
      <c r="BN81">
        <f t="shared" si="30"/>
        <v>7.5525828707155504E-3</v>
      </c>
      <c r="BS81" t="s">
        <v>414</v>
      </c>
      <c r="BT81">
        <v>5.4</v>
      </c>
      <c r="BU81">
        <f t="shared" si="31"/>
        <v>7.2718135216140525E-3</v>
      </c>
      <c r="BZ81" t="s">
        <v>415</v>
      </c>
      <c r="CA81">
        <v>4.4000000000000004</v>
      </c>
      <c r="CB81">
        <f t="shared" si="32"/>
        <v>6.0922041248375712E-3</v>
      </c>
      <c r="DI81" t="s">
        <v>437</v>
      </c>
      <c r="DJ81">
        <v>0.5</v>
      </c>
      <c r="DK81">
        <f t="shared" si="37"/>
        <v>1.5076294492858779E-3</v>
      </c>
      <c r="DW81" t="s">
        <v>510</v>
      </c>
      <c r="DX81">
        <v>164.4</v>
      </c>
      <c r="DY81">
        <f t="shared" si="39"/>
        <v>0.70017381687234892</v>
      </c>
    </row>
    <row r="82" spans="1:129" x14ac:dyDescent="0.2">
      <c r="A82" t="s">
        <v>325</v>
      </c>
      <c r="B82">
        <v>13.0643455</v>
      </c>
      <c r="C82">
        <f t="shared" si="22"/>
        <v>1.2518172621265155E-2</v>
      </c>
      <c r="H82" t="s">
        <v>509</v>
      </c>
      <c r="I82">
        <v>13.8228843373494</v>
      </c>
      <c r="J82">
        <f t="shared" si="23"/>
        <v>1.4155213358984968E-2</v>
      </c>
      <c r="O82" t="s">
        <v>381</v>
      </c>
      <c r="P82">
        <v>15.894959999999999</v>
      </c>
      <c r="Q82">
        <f t="shared" si="24"/>
        <v>1.7453011258675467E-2</v>
      </c>
      <c r="V82" t="s">
        <v>463</v>
      </c>
      <c r="W82">
        <v>13.41</v>
      </c>
      <c r="X82">
        <f t="shared" si="21"/>
        <v>1.4621587110585758E-2</v>
      </c>
      <c r="AC82" t="s">
        <v>418</v>
      </c>
      <c r="AD82">
        <v>12</v>
      </c>
      <c r="AE82">
        <f t="shared" si="25"/>
        <v>1.362541839969688E-2</v>
      </c>
      <c r="AJ82" t="s">
        <v>412</v>
      </c>
      <c r="AK82">
        <v>8.5260218489892985</v>
      </c>
      <c r="AL82">
        <f t="shared" si="26"/>
        <v>1.0340809012792804E-2</v>
      </c>
      <c r="AQ82" t="s">
        <v>406</v>
      </c>
      <c r="AR82">
        <v>9.0517241379310374</v>
      </c>
      <c r="AS82">
        <f t="shared" si="27"/>
        <v>1.1340291318475627E-2</v>
      </c>
      <c r="AX82" t="s">
        <v>406</v>
      </c>
      <c r="AY82">
        <v>10.025063856960411</v>
      </c>
      <c r="AZ82">
        <f t="shared" si="28"/>
        <v>1.2628052813216746E-2</v>
      </c>
      <c r="BE82" t="s">
        <v>413</v>
      </c>
      <c r="BF82">
        <v>8.1237586427092978</v>
      </c>
      <c r="BG82">
        <f t="shared" si="29"/>
        <v>1.0526627746585934E-2</v>
      </c>
      <c r="BL82" t="s">
        <v>414</v>
      </c>
      <c r="BM82">
        <v>5.4</v>
      </c>
      <c r="BN82">
        <f t="shared" si="30"/>
        <v>7.1550785090989414E-3</v>
      </c>
      <c r="BS82" t="s">
        <v>415</v>
      </c>
      <c r="BT82">
        <v>4.4000000000000004</v>
      </c>
      <c r="BU82">
        <f t="shared" si="31"/>
        <v>5.9251813879818201E-3</v>
      </c>
      <c r="BZ82" t="s">
        <v>429</v>
      </c>
      <c r="CA82">
        <v>4.3</v>
      </c>
      <c r="CB82">
        <f t="shared" si="32"/>
        <v>5.9537449401821704E-3</v>
      </c>
      <c r="DI82" t="s">
        <v>169</v>
      </c>
      <c r="DJ82">
        <v>312.7360000000001</v>
      </c>
      <c r="DK82">
        <f t="shared" si="37"/>
        <v>0.94298000690373696</v>
      </c>
    </row>
    <row r="83" spans="1:129" x14ac:dyDescent="0.2">
      <c r="A83" t="s">
        <v>372</v>
      </c>
      <c r="B83">
        <v>13.052397841920001</v>
      </c>
      <c r="C83">
        <f t="shared" si="22"/>
        <v>1.2506724451414987E-2</v>
      </c>
      <c r="H83" t="s">
        <v>372</v>
      </c>
      <c r="I83">
        <v>13.55389184</v>
      </c>
      <c r="J83">
        <f t="shared" si="23"/>
        <v>1.3879753758873964E-2</v>
      </c>
      <c r="O83" t="s">
        <v>372</v>
      </c>
      <c r="P83">
        <v>14.052765000000001</v>
      </c>
      <c r="Q83">
        <f t="shared" si="24"/>
        <v>1.5430241143137234E-2</v>
      </c>
      <c r="V83" t="s">
        <v>418</v>
      </c>
      <c r="W83">
        <v>13</v>
      </c>
      <c r="X83">
        <f t="shared" si="21"/>
        <v>1.4174543805936976E-2</v>
      </c>
      <c r="AC83" t="s">
        <v>396</v>
      </c>
      <c r="AD83">
        <v>10.48700687425684</v>
      </c>
      <c r="AE83">
        <f t="shared" si="25"/>
        <v>1.1907488035187234E-2</v>
      </c>
      <c r="AJ83" t="s">
        <v>406</v>
      </c>
      <c r="AK83">
        <v>8.1737068965517263</v>
      </c>
      <c r="AL83">
        <f t="shared" si="26"/>
        <v>9.9135028552393856E-3</v>
      </c>
      <c r="AQ83" t="s">
        <v>370</v>
      </c>
      <c r="AR83">
        <v>8.8120776192798171</v>
      </c>
      <c r="AS83">
        <f t="shared" si="27"/>
        <v>1.1040054447184439E-2</v>
      </c>
      <c r="AX83" t="s">
        <v>410</v>
      </c>
      <c r="AY83">
        <v>9.679371999823843</v>
      </c>
      <c r="AZ83">
        <f t="shared" si="28"/>
        <v>1.2192602716209269E-2</v>
      </c>
      <c r="BE83" t="s">
        <v>422</v>
      </c>
      <c r="BF83">
        <v>7.8644897498568733</v>
      </c>
      <c r="BG83">
        <f t="shared" si="29"/>
        <v>1.0190671541907658E-2</v>
      </c>
      <c r="BL83" t="s">
        <v>415</v>
      </c>
      <c r="BM83">
        <v>4.4000000000000004</v>
      </c>
      <c r="BN83">
        <f t="shared" si="30"/>
        <v>5.8300639703769159E-3</v>
      </c>
      <c r="BS83" t="s">
        <v>429</v>
      </c>
      <c r="BT83">
        <v>4.3</v>
      </c>
      <c r="BU83">
        <f t="shared" si="31"/>
        <v>5.7905181746185962E-3</v>
      </c>
      <c r="BZ83" t="s">
        <v>433</v>
      </c>
      <c r="CA83">
        <v>4.0999999999999996</v>
      </c>
      <c r="CB83">
        <f t="shared" si="32"/>
        <v>5.6768265708713721E-3</v>
      </c>
      <c r="DI83" t="s">
        <v>510</v>
      </c>
      <c r="DJ83">
        <v>214.8</v>
      </c>
      <c r="DK83">
        <f t="shared" si="37"/>
        <v>0.64767761141321323</v>
      </c>
    </row>
    <row r="84" spans="1:129" x14ac:dyDescent="0.2">
      <c r="A84" t="s">
        <v>376</v>
      </c>
      <c r="B84">
        <v>12.84635450637</v>
      </c>
      <c r="C84">
        <f t="shared" si="22"/>
        <v>1.2309295040054413E-2</v>
      </c>
      <c r="H84" t="s">
        <v>376</v>
      </c>
      <c r="I84">
        <v>13.33993199</v>
      </c>
      <c r="J84">
        <f t="shared" si="23"/>
        <v>1.3660649897979821E-2</v>
      </c>
      <c r="O84" t="s">
        <v>418</v>
      </c>
      <c r="P84">
        <v>14</v>
      </c>
      <c r="Q84">
        <f t="shared" si="24"/>
        <v>1.5372304027280129E-2</v>
      </c>
      <c r="V84" t="s">
        <v>401</v>
      </c>
      <c r="W84">
        <v>11.1</v>
      </c>
      <c r="X84">
        <f t="shared" si="21"/>
        <v>1.210287971122311E-2</v>
      </c>
      <c r="AC84" t="s">
        <v>370</v>
      </c>
      <c r="AD84">
        <v>8.7775388229122395</v>
      </c>
      <c r="AE84">
        <f t="shared" si="25"/>
        <v>9.9664699151468441E-3</v>
      </c>
      <c r="AJ84" t="s">
        <v>410</v>
      </c>
      <c r="AK84">
        <v>7.8918549346016658</v>
      </c>
      <c r="AL84">
        <f t="shared" si="26"/>
        <v>9.5716579291966458E-3</v>
      </c>
      <c r="AQ84" t="s">
        <v>410</v>
      </c>
      <c r="AR84">
        <v>8.7395957193816898</v>
      </c>
      <c r="AS84">
        <f t="shared" si="27"/>
        <v>1.0949246790252328E-2</v>
      </c>
      <c r="AX84" t="s">
        <v>370</v>
      </c>
      <c r="AY84">
        <v>9.1890175795751183</v>
      </c>
      <c r="AZ84">
        <f t="shared" si="28"/>
        <v>1.1574928693933999E-2</v>
      </c>
      <c r="BE84" t="s">
        <v>450</v>
      </c>
      <c r="BF84">
        <v>6.09</v>
      </c>
      <c r="BG84">
        <f t="shared" si="29"/>
        <v>7.8913180211528794E-3</v>
      </c>
      <c r="BL84" t="s">
        <v>429</v>
      </c>
      <c r="BM84">
        <v>4.3</v>
      </c>
      <c r="BN84">
        <f t="shared" si="30"/>
        <v>5.6975625165047129E-3</v>
      </c>
      <c r="BS84" t="s">
        <v>433</v>
      </c>
      <c r="BT84">
        <v>4.0999999999999996</v>
      </c>
      <c r="BU84">
        <f t="shared" si="31"/>
        <v>5.5211917478921501E-3</v>
      </c>
      <c r="BZ84" t="s">
        <v>430</v>
      </c>
      <c r="CA84">
        <v>3.7</v>
      </c>
      <c r="CB84">
        <f t="shared" si="32"/>
        <v>5.1229898322497757E-3</v>
      </c>
    </row>
    <row r="85" spans="1:129" x14ac:dyDescent="0.2">
      <c r="A85" t="s">
        <v>242</v>
      </c>
      <c r="B85">
        <v>12.695103605</v>
      </c>
      <c r="C85">
        <f t="shared" si="22"/>
        <v>1.2164367390026201E-2</v>
      </c>
      <c r="H85" t="s">
        <v>325</v>
      </c>
      <c r="I85">
        <v>12.58</v>
      </c>
      <c r="J85">
        <f t="shared" si="23"/>
        <v>1.2882447665056359E-2</v>
      </c>
      <c r="O85" t="s">
        <v>376</v>
      </c>
      <c r="P85">
        <v>13.83093</v>
      </c>
      <c r="Q85">
        <f t="shared" si="24"/>
        <v>1.5186661495716397E-2</v>
      </c>
      <c r="V85" t="s">
        <v>411</v>
      </c>
      <c r="W85">
        <v>11.1</v>
      </c>
      <c r="X85">
        <f t="shared" si="21"/>
        <v>1.210287971122311E-2</v>
      </c>
      <c r="AC85" t="s">
        <v>402</v>
      </c>
      <c r="AD85">
        <v>7.8</v>
      </c>
      <c r="AE85">
        <f t="shared" si="25"/>
        <v>8.8565219598029724E-3</v>
      </c>
      <c r="AJ85" t="s">
        <v>463</v>
      </c>
      <c r="AK85">
        <v>7.7</v>
      </c>
      <c r="AL85">
        <f t="shared" si="26"/>
        <v>9.3389661449135852E-3</v>
      </c>
      <c r="AQ85" t="s">
        <v>422</v>
      </c>
      <c r="AR85">
        <v>7.1009215219976234</v>
      </c>
      <c r="AS85">
        <f t="shared" si="27"/>
        <v>8.896263017080016E-3</v>
      </c>
      <c r="AX85" t="s">
        <v>422</v>
      </c>
      <c r="AY85">
        <v>7.8644897498568733</v>
      </c>
      <c r="AZ85">
        <f t="shared" si="28"/>
        <v>9.9064897069200322E-3</v>
      </c>
      <c r="BE85" t="s">
        <v>419</v>
      </c>
      <c r="BF85">
        <v>4.9261089641960627</v>
      </c>
      <c r="BG85">
        <f t="shared" si="29"/>
        <v>6.3831678888872142E-3</v>
      </c>
      <c r="BL85" t="s">
        <v>433</v>
      </c>
      <c r="BM85">
        <v>4.0999999999999996</v>
      </c>
      <c r="BN85">
        <f t="shared" si="30"/>
        <v>5.4325596087603069E-3</v>
      </c>
      <c r="BS85" t="s">
        <v>430</v>
      </c>
      <c r="BT85">
        <v>3.7</v>
      </c>
      <c r="BU85">
        <f t="shared" si="31"/>
        <v>4.9825388944392578E-3</v>
      </c>
      <c r="BZ85" t="s">
        <v>432</v>
      </c>
      <c r="CA85">
        <v>2.6</v>
      </c>
      <c r="CB85">
        <f t="shared" si="32"/>
        <v>3.5999388010403829E-3</v>
      </c>
    </row>
    <row r="86" spans="1:129" x14ac:dyDescent="0.2">
      <c r="A86" t="s">
        <v>267</v>
      </c>
      <c r="B86">
        <v>10.368528100000001</v>
      </c>
      <c r="C86">
        <f t="shared" si="22"/>
        <v>9.9350575644404394E-3</v>
      </c>
      <c r="H86" t="s">
        <v>242</v>
      </c>
      <c r="I86">
        <v>11.66</v>
      </c>
      <c r="J86">
        <f t="shared" si="23"/>
        <v>1.1940329075878948E-2</v>
      </c>
      <c r="O86" t="s">
        <v>509</v>
      </c>
      <c r="P86">
        <v>13.774212239415538</v>
      </c>
      <c r="Q86">
        <f t="shared" si="24"/>
        <v>1.5124384162898481E-2</v>
      </c>
      <c r="V86" t="s">
        <v>405</v>
      </c>
      <c r="W86">
        <v>11.09</v>
      </c>
      <c r="X86">
        <f t="shared" si="21"/>
        <v>1.2091976215987774E-2</v>
      </c>
      <c r="AC86" t="s">
        <v>412</v>
      </c>
      <c r="AD86">
        <v>7.6904717077883475</v>
      </c>
      <c r="AE86">
        <f t="shared" si="25"/>
        <v>8.7321578924706364E-3</v>
      </c>
      <c r="AJ86" t="s">
        <v>422</v>
      </c>
      <c r="AK86">
        <v>6.412132134363854</v>
      </c>
      <c r="AL86">
        <f t="shared" si="26"/>
        <v>7.7769720674722761E-3</v>
      </c>
      <c r="AQ86" t="s">
        <v>463</v>
      </c>
      <c r="AR86">
        <v>4.88</v>
      </c>
      <c r="AS86">
        <f t="shared" si="27"/>
        <v>6.1138210567263625E-3</v>
      </c>
      <c r="AX86" t="s">
        <v>419</v>
      </c>
      <c r="AY86">
        <v>4.9261089641960627</v>
      </c>
      <c r="AZ86">
        <f t="shared" si="28"/>
        <v>6.2051638823565026E-3</v>
      </c>
      <c r="BE86" t="s">
        <v>414</v>
      </c>
      <c r="BF86">
        <v>4.6668400713436391</v>
      </c>
      <c r="BG86">
        <f t="shared" si="29"/>
        <v>6.0472116842089406E-3</v>
      </c>
      <c r="BL86" t="s">
        <v>430</v>
      </c>
      <c r="BM86">
        <v>3.7</v>
      </c>
      <c r="BN86">
        <f t="shared" si="30"/>
        <v>4.9025537932714976E-3</v>
      </c>
      <c r="BS86" t="s">
        <v>499</v>
      </c>
      <c r="BT86">
        <v>3.3</v>
      </c>
      <c r="BU86">
        <f t="shared" si="31"/>
        <v>4.4438860409863647E-3</v>
      </c>
      <c r="BZ86" t="s">
        <v>463</v>
      </c>
      <c r="CA86">
        <v>1.87</v>
      </c>
      <c r="CB86">
        <f t="shared" si="32"/>
        <v>2.5891867530559672E-3</v>
      </c>
    </row>
    <row r="87" spans="1:129" x14ac:dyDescent="0.2">
      <c r="A87" t="s">
        <v>411</v>
      </c>
      <c r="B87">
        <v>9.6427311800000002</v>
      </c>
      <c r="C87">
        <f t="shared" si="22"/>
        <v>9.2396035799647089E-3</v>
      </c>
      <c r="H87" t="s">
        <v>267</v>
      </c>
      <c r="I87">
        <v>10.02</v>
      </c>
      <c r="J87">
        <f t="shared" si="23"/>
        <v>1.0260900286475734E-2</v>
      </c>
      <c r="O87" t="s">
        <v>267</v>
      </c>
      <c r="P87">
        <v>9.7526700000000002</v>
      </c>
      <c r="Q87">
        <f t="shared" si="24"/>
        <v>1.0708643451266722E-2</v>
      </c>
      <c r="V87" t="s">
        <v>267</v>
      </c>
      <c r="W87">
        <v>11.07</v>
      </c>
      <c r="X87">
        <f t="shared" si="21"/>
        <v>1.2070169225517104E-2</v>
      </c>
      <c r="AC87" t="s">
        <v>463</v>
      </c>
      <c r="AD87">
        <v>7.52</v>
      </c>
      <c r="AE87">
        <f t="shared" si="25"/>
        <v>8.5385955304767107E-3</v>
      </c>
      <c r="AJ87" t="s">
        <v>419</v>
      </c>
      <c r="AK87">
        <v>4.016390457788348</v>
      </c>
      <c r="AL87">
        <f t="shared" si="26"/>
        <v>4.8712901961090078E-3</v>
      </c>
      <c r="AQ87" t="s">
        <v>419</v>
      </c>
      <c r="AR87">
        <v>4.4478299643281813</v>
      </c>
      <c r="AS87">
        <f t="shared" si="27"/>
        <v>5.5723845271819878E-3</v>
      </c>
      <c r="AX87" t="s">
        <v>414</v>
      </c>
      <c r="AY87">
        <v>4.6668400713436391</v>
      </c>
      <c r="AZ87">
        <f t="shared" si="28"/>
        <v>5.8785763096008987E-3</v>
      </c>
      <c r="BE87" t="s">
        <v>415</v>
      </c>
      <c r="BF87">
        <v>3.8026104285022249</v>
      </c>
      <c r="BG87">
        <f t="shared" si="29"/>
        <v>4.9273576686146934E-3</v>
      </c>
      <c r="BL87" t="s">
        <v>432</v>
      </c>
      <c r="BM87">
        <v>2.6</v>
      </c>
      <c r="BN87">
        <f t="shared" si="30"/>
        <v>3.4450378006772682E-3</v>
      </c>
      <c r="BS87" t="s">
        <v>432</v>
      </c>
      <c r="BT87">
        <v>2.6</v>
      </c>
      <c r="BU87">
        <f t="shared" si="31"/>
        <v>3.5012435474438028E-3</v>
      </c>
      <c r="BZ87" t="s">
        <v>437</v>
      </c>
      <c r="CA87">
        <v>1.6</v>
      </c>
      <c r="CB87">
        <f t="shared" si="32"/>
        <v>2.2153469544863892E-3</v>
      </c>
    </row>
    <row r="88" spans="1:129" x14ac:dyDescent="0.2">
      <c r="A88" t="s">
        <v>405</v>
      </c>
      <c r="B88">
        <v>9.1243047700000002</v>
      </c>
      <c r="C88">
        <f t="shared" si="22"/>
        <v>8.7428506969517185E-3</v>
      </c>
      <c r="H88" t="s">
        <v>411</v>
      </c>
      <c r="I88">
        <v>9.33</v>
      </c>
      <c r="J88">
        <f t="shared" si="23"/>
        <v>9.5543113445926749E-3</v>
      </c>
      <c r="O88" t="s">
        <v>347</v>
      </c>
      <c r="P88">
        <v>9.2109749999999995</v>
      </c>
      <c r="Q88">
        <f t="shared" si="24"/>
        <v>1.0113850577691184E-2</v>
      </c>
      <c r="V88" t="s">
        <v>347</v>
      </c>
      <c r="W88">
        <v>9.5508000000000006</v>
      </c>
      <c r="X88">
        <f t="shared" si="21"/>
        <v>1.0413710229364838E-2</v>
      </c>
      <c r="AC88" t="s">
        <v>406</v>
      </c>
      <c r="AD88">
        <v>7.3726836206896573</v>
      </c>
      <c r="AE88">
        <f t="shared" si="25"/>
        <v>8.3713249217073887E-3</v>
      </c>
      <c r="AJ88" t="s">
        <v>414</v>
      </c>
      <c r="AK88">
        <v>3.8050014863258035</v>
      </c>
      <c r="AL88">
        <f t="shared" si="26"/>
        <v>4.6149065015769547E-3</v>
      </c>
      <c r="AQ88" t="s">
        <v>414</v>
      </c>
      <c r="AR88">
        <v>4.213733650416172</v>
      </c>
      <c r="AS88">
        <f t="shared" si="27"/>
        <v>5.2791011310145148E-3</v>
      </c>
      <c r="AX88" t="s">
        <v>463</v>
      </c>
      <c r="AY88">
        <v>3.9</v>
      </c>
      <c r="AZ88">
        <f t="shared" si="28"/>
        <v>4.9126276574638873E-3</v>
      </c>
      <c r="BE88" t="s">
        <v>429</v>
      </c>
      <c r="BF88">
        <v>3.7161874642180832</v>
      </c>
      <c r="BG88">
        <f t="shared" si="29"/>
        <v>4.8153722670552677E-3</v>
      </c>
      <c r="BL88" t="s">
        <v>463</v>
      </c>
      <c r="BM88">
        <v>1.57</v>
      </c>
      <c r="BN88">
        <f t="shared" si="30"/>
        <v>2.0802728257935813E-3</v>
      </c>
      <c r="BS88" t="s">
        <v>463</v>
      </c>
      <c r="BT88">
        <v>1.97</v>
      </c>
      <c r="BU88">
        <f t="shared" si="31"/>
        <v>2.6528653032554966E-3</v>
      </c>
      <c r="BZ88" t="s">
        <v>169</v>
      </c>
      <c r="CA88">
        <v>1903.8882009089482</v>
      </c>
      <c r="CB88">
        <f t="shared" si="32"/>
        <v>2.6361080797288805</v>
      </c>
    </row>
    <row r="89" spans="1:129" x14ac:dyDescent="0.2">
      <c r="A89" t="s">
        <v>347</v>
      </c>
      <c r="B89">
        <v>8.5552779286439993</v>
      </c>
      <c r="C89">
        <f t="shared" si="22"/>
        <v>8.1976128030038214E-3</v>
      </c>
      <c r="H89" t="s">
        <v>347</v>
      </c>
      <c r="I89">
        <v>8.8839853879999993</v>
      </c>
      <c r="J89">
        <f t="shared" si="23"/>
        <v>9.0975736739296841E-3</v>
      </c>
      <c r="O89" t="s">
        <v>396</v>
      </c>
      <c r="P89">
        <v>9.2013300000000005</v>
      </c>
      <c r="Q89">
        <f t="shared" si="24"/>
        <v>1.0103260158238106E-2</v>
      </c>
      <c r="V89" t="s">
        <v>396</v>
      </c>
      <c r="W89">
        <v>9.5389814528240215</v>
      </c>
      <c r="X89">
        <f t="shared" si="21"/>
        <v>1.0400823882082648E-2</v>
      </c>
      <c r="AC89" t="s">
        <v>410</v>
      </c>
      <c r="AD89">
        <v>7.1184531510107023</v>
      </c>
      <c r="AE89">
        <f t="shared" si="25"/>
        <v>8.0826585450967867E-3</v>
      </c>
      <c r="AJ89" t="s">
        <v>415</v>
      </c>
      <c r="AK89">
        <v>3.1003715814506552</v>
      </c>
      <c r="AL89">
        <f t="shared" si="26"/>
        <v>3.7602941864701123E-3</v>
      </c>
      <c r="AQ89" t="s">
        <v>415</v>
      </c>
      <c r="AR89">
        <v>3.4334126040428075</v>
      </c>
      <c r="AS89">
        <f t="shared" si="27"/>
        <v>4.3014898104562719E-3</v>
      </c>
      <c r="AX89" t="s">
        <v>415</v>
      </c>
      <c r="AY89">
        <v>3.8026104285022249</v>
      </c>
      <c r="AZ89">
        <f t="shared" si="28"/>
        <v>4.7899510670822137E-3</v>
      </c>
      <c r="BE89" t="s">
        <v>463</v>
      </c>
      <c r="BF89">
        <v>3.7</v>
      </c>
      <c r="BG89">
        <f t="shared" si="29"/>
        <v>4.7943968273014212E-3</v>
      </c>
      <c r="BL89" t="s">
        <v>169</v>
      </c>
      <c r="BM89">
        <v>2364.8070000000007</v>
      </c>
      <c r="BN89">
        <f t="shared" si="30"/>
        <v>3.1334036562716197</v>
      </c>
      <c r="BS89" t="s">
        <v>169</v>
      </c>
      <c r="BT89">
        <v>2103.2604985740327</v>
      </c>
      <c r="BU89">
        <f t="shared" si="31"/>
        <v>2.8323181727791411</v>
      </c>
      <c r="BZ89" t="s">
        <v>510</v>
      </c>
      <c r="CA89">
        <v>469.9</v>
      </c>
      <c r="CB89">
        <f t="shared" si="32"/>
        <v>0.65061970869572139</v>
      </c>
    </row>
    <row r="90" spans="1:129" x14ac:dyDescent="0.2">
      <c r="A90" t="s">
        <v>396</v>
      </c>
      <c r="B90">
        <v>8.5463195219549988</v>
      </c>
      <c r="C90">
        <f t="shared" si="22"/>
        <v>8.189028914791098E-3</v>
      </c>
      <c r="H90" t="s">
        <v>396</v>
      </c>
      <c r="I90">
        <v>8.8746827849999992</v>
      </c>
      <c r="J90">
        <f t="shared" si="23"/>
        <v>9.0880474182622514E-3</v>
      </c>
      <c r="O90" t="s">
        <v>401</v>
      </c>
      <c r="P90">
        <v>9.1020000000000003</v>
      </c>
      <c r="Q90">
        <f t="shared" si="24"/>
        <v>9.9941936611645521E-3</v>
      </c>
      <c r="V90" t="s">
        <v>370</v>
      </c>
      <c r="W90">
        <v>8.8000291995251789</v>
      </c>
      <c r="X90">
        <f t="shared" si="21"/>
        <v>9.5951076447841656E-3</v>
      </c>
      <c r="AC90" t="s">
        <v>422</v>
      </c>
      <c r="AD90">
        <v>5.7837431851961965</v>
      </c>
      <c r="AE90">
        <f t="shared" si="25"/>
        <v>6.5671600678911413E-3</v>
      </c>
      <c r="AJ90" t="s">
        <v>429</v>
      </c>
      <c r="AK90">
        <v>3.02990859096314</v>
      </c>
      <c r="AL90">
        <f t="shared" si="26"/>
        <v>3.6748329549594273E-3</v>
      </c>
      <c r="AQ90" t="s">
        <v>429</v>
      </c>
      <c r="AR90">
        <v>3.3553804994054706</v>
      </c>
      <c r="AS90">
        <f t="shared" si="27"/>
        <v>4.2037286784004473E-3</v>
      </c>
      <c r="AX90" t="s">
        <v>429</v>
      </c>
      <c r="AY90">
        <v>3.7161874642180832</v>
      </c>
      <c r="AZ90">
        <f t="shared" si="28"/>
        <v>4.6810885428303448E-3</v>
      </c>
      <c r="BE90" t="s">
        <v>433</v>
      </c>
      <c r="BF90">
        <v>3.5433415356497995</v>
      </c>
      <c r="BG90">
        <f t="shared" si="29"/>
        <v>4.5914014639364172E-3</v>
      </c>
      <c r="BL90" t="s">
        <v>510</v>
      </c>
      <c r="BM90">
        <v>450.4</v>
      </c>
      <c r="BN90">
        <f t="shared" si="30"/>
        <v>0.59678654824040056</v>
      </c>
      <c r="BS90" t="s">
        <v>510</v>
      </c>
      <c r="BT90">
        <v>474.4</v>
      </c>
      <c r="BU90">
        <f t="shared" si="31"/>
        <v>0.63884228419513067</v>
      </c>
    </row>
    <row r="91" spans="1:129" x14ac:dyDescent="0.2">
      <c r="A91" t="s">
        <v>370</v>
      </c>
      <c r="B91">
        <v>7.6104913649289099</v>
      </c>
      <c r="C91">
        <f t="shared" si="22"/>
        <v>7.2923243371685129E-3</v>
      </c>
      <c r="H91" t="s">
        <v>405</v>
      </c>
      <c r="I91">
        <v>8.83</v>
      </c>
      <c r="J91">
        <f t="shared" si="23"/>
        <v>9.042290372213645E-3</v>
      </c>
      <c r="O91" t="s">
        <v>411</v>
      </c>
      <c r="P91">
        <v>9.0937999999999999</v>
      </c>
      <c r="Q91">
        <f t="shared" si="24"/>
        <v>9.9851898830914318E-3</v>
      </c>
      <c r="V91" t="s">
        <v>402</v>
      </c>
      <c r="W91">
        <v>7.09</v>
      </c>
      <c r="X91">
        <f t="shared" si="21"/>
        <v>7.7305781218533201E-3</v>
      </c>
      <c r="AC91" t="s">
        <v>419</v>
      </c>
      <c r="AD91">
        <v>3.6227841929250899</v>
      </c>
      <c r="AE91">
        <f t="shared" si="25"/>
        <v>4.1134958667010443E-3</v>
      </c>
      <c r="AJ91" t="s">
        <v>433</v>
      </c>
      <c r="AK91">
        <v>2.8889826099881093</v>
      </c>
      <c r="AL91">
        <f t="shared" si="26"/>
        <v>3.5039104919380578E-3</v>
      </c>
      <c r="AQ91" t="s">
        <v>433</v>
      </c>
      <c r="AR91">
        <v>3.1993162901307968</v>
      </c>
      <c r="AS91">
        <f t="shared" si="27"/>
        <v>4.008206414288798E-3</v>
      </c>
      <c r="AX91" t="s">
        <v>433</v>
      </c>
      <c r="AY91">
        <v>3.5433415356497995</v>
      </c>
      <c r="AZ91">
        <f t="shared" si="28"/>
        <v>4.4633634943266071E-3</v>
      </c>
      <c r="BE91" t="s">
        <v>430</v>
      </c>
      <c r="BF91">
        <v>3.1976496785132342</v>
      </c>
      <c r="BG91">
        <f t="shared" si="29"/>
        <v>4.143459857698718E-3</v>
      </c>
    </row>
    <row r="92" spans="1:129" x14ac:dyDescent="0.2">
      <c r="A92" t="s">
        <v>401</v>
      </c>
      <c r="B92">
        <v>6.4284874500000004</v>
      </c>
      <c r="C92">
        <f t="shared" si="22"/>
        <v>6.159735716782494E-3</v>
      </c>
      <c r="H92" t="s">
        <v>370</v>
      </c>
      <c r="I92">
        <v>7.4430915662650623</v>
      </c>
      <c r="J92">
        <f t="shared" si="23"/>
        <v>7.6220379625303687E-3</v>
      </c>
      <c r="O92" t="s">
        <v>405</v>
      </c>
      <c r="P92">
        <v>9.0774000000000008</v>
      </c>
      <c r="Q92">
        <f t="shared" si="24"/>
        <v>9.9671823269451894E-3</v>
      </c>
      <c r="V92" t="s">
        <v>412</v>
      </c>
      <c r="W92">
        <v>6.995253065404281</v>
      </c>
      <c r="X92">
        <f t="shared" si="21"/>
        <v>7.6272708468606079E-3</v>
      </c>
      <c r="AC92" t="s">
        <v>414</v>
      </c>
      <c r="AD92">
        <v>3.432111340665875</v>
      </c>
      <c r="AE92">
        <f t="shared" si="25"/>
        <v>3.8969960842430949E-3</v>
      </c>
      <c r="AJ92" t="s">
        <v>430</v>
      </c>
      <c r="AK92">
        <v>2.7721123620555126</v>
      </c>
      <c r="AL92">
        <f t="shared" si="26"/>
        <v>3.3621640907964762E-3</v>
      </c>
      <c r="AQ92" t="s">
        <v>427</v>
      </c>
      <c r="AR92">
        <v>3.0698918738156284</v>
      </c>
      <c r="AS92">
        <f t="shared" si="27"/>
        <v>3.8460593401653973E-3</v>
      </c>
      <c r="AX92" t="s">
        <v>427</v>
      </c>
      <c r="AY92">
        <v>3.4</v>
      </c>
      <c r="AZ92">
        <f t="shared" si="28"/>
        <v>4.2828035988146714E-3</v>
      </c>
      <c r="BE92" t="s">
        <v>432</v>
      </c>
      <c r="BF92">
        <v>2.2469970713876779</v>
      </c>
      <c r="BG92">
        <f t="shared" si="29"/>
        <v>2.9116204405450451E-3</v>
      </c>
    </row>
    <row r="93" spans="1:129" x14ac:dyDescent="0.2">
      <c r="A93" t="s">
        <v>412</v>
      </c>
      <c r="B93">
        <v>6.2708843452499998</v>
      </c>
      <c r="C93">
        <f t="shared" si="22"/>
        <v>6.0087214259473467E-3</v>
      </c>
      <c r="H93" t="s">
        <v>412</v>
      </c>
      <c r="I93">
        <v>6.5118217500000002</v>
      </c>
      <c r="J93">
        <f t="shared" si="23"/>
        <v>6.6683786087878161E-3</v>
      </c>
      <c r="O93" t="s">
        <v>370</v>
      </c>
      <c r="P93">
        <v>7.4168835135314426</v>
      </c>
      <c r="Q93">
        <f t="shared" si="24"/>
        <v>8.1438991646376434E-3</v>
      </c>
      <c r="V93" t="s">
        <v>406</v>
      </c>
      <c r="W93">
        <v>6.7061930213793124</v>
      </c>
      <c r="X93">
        <f t="shared" si="21"/>
        <v>7.3120943655853778E-3</v>
      </c>
      <c r="AC93" t="s">
        <v>415</v>
      </c>
      <c r="AD93">
        <v>2.796535166468491</v>
      </c>
      <c r="AE93">
        <f t="shared" si="25"/>
        <v>3.175330142716596E-3</v>
      </c>
      <c r="AJ93" t="s">
        <v>427</v>
      </c>
      <c r="AK93">
        <v>2.3957416765755055</v>
      </c>
      <c r="AL93">
        <f t="shared" si="26"/>
        <v>2.9056818713632678E-3</v>
      </c>
      <c r="AQ93" t="s">
        <v>430</v>
      </c>
      <c r="AR93">
        <v>2.8871878715814514</v>
      </c>
      <c r="AS93">
        <f t="shared" si="27"/>
        <v>3.6171618860655012E-3</v>
      </c>
      <c r="AX93" t="s">
        <v>430</v>
      </c>
      <c r="AY93">
        <v>3.1976496785132342</v>
      </c>
      <c r="AZ93">
        <f t="shared" si="28"/>
        <v>4.0279133973191335E-3</v>
      </c>
      <c r="BE93" t="s">
        <v>169</v>
      </c>
      <c r="BF93">
        <v>2255.6303109999999</v>
      </c>
      <c r="BG93">
        <f t="shared" si="29"/>
        <v>2.9228072450333289</v>
      </c>
    </row>
    <row r="94" spans="1:129" x14ac:dyDescent="0.2">
      <c r="A94" t="s">
        <v>406</v>
      </c>
      <c r="B94">
        <v>6.0110905657140004</v>
      </c>
      <c r="C94">
        <f t="shared" si="22"/>
        <v>5.759788681619471E-3</v>
      </c>
      <c r="H94" t="s">
        <v>406</v>
      </c>
      <c r="I94">
        <v>6.2420462780000001</v>
      </c>
      <c r="J94">
        <f t="shared" si="23"/>
        <v>6.3921172097929132E-3</v>
      </c>
      <c r="O94" t="s">
        <v>412</v>
      </c>
      <c r="P94">
        <v>6.7515000000000001</v>
      </c>
      <c r="Q94">
        <f t="shared" si="24"/>
        <v>7.4132936171558417E-3</v>
      </c>
      <c r="V94" t="s">
        <v>410</v>
      </c>
      <c r="W94">
        <v>6.4749449861593344</v>
      </c>
      <c r="X94">
        <f t="shared" si="21"/>
        <v>7.0599531805651903E-3</v>
      </c>
      <c r="AC94" t="s">
        <v>429</v>
      </c>
      <c r="AD94">
        <v>2.7329775490487522</v>
      </c>
      <c r="AE94">
        <f t="shared" si="25"/>
        <v>3.1031635485639459E-3</v>
      </c>
      <c r="AJ94" t="s">
        <v>432</v>
      </c>
      <c r="AK94">
        <v>1.8320377526753868</v>
      </c>
      <c r="AL94">
        <f t="shared" si="26"/>
        <v>2.2219920192777932E-3</v>
      </c>
      <c r="AQ94" t="s">
        <v>432</v>
      </c>
      <c r="AR94">
        <v>2.0288347205707495</v>
      </c>
      <c r="AS94">
        <f t="shared" si="27"/>
        <v>2.5417894334514332E-3</v>
      </c>
      <c r="AX94" t="s">
        <v>432</v>
      </c>
      <c r="AY94">
        <v>2.2469970713876779</v>
      </c>
      <c r="AZ94">
        <f t="shared" si="28"/>
        <v>2.8304256305485801E-3</v>
      </c>
      <c r="BE94" t="s">
        <v>510</v>
      </c>
      <c r="BF94">
        <v>448.1</v>
      </c>
      <c r="BG94">
        <f t="shared" si="29"/>
        <v>0.58064032927399101</v>
      </c>
    </row>
    <row r="95" spans="1:129" x14ac:dyDescent="0.2">
      <c r="A95" t="s">
        <v>410</v>
      </c>
      <c r="B95">
        <v>5.7960888167340006</v>
      </c>
      <c r="C95">
        <f t="shared" si="22"/>
        <v>5.5537753755869898E-3</v>
      </c>
      <c r="H95" t="s">
        <v>401</v>
      </c>
      <c r="I95">
        <v>6.2</v>
      </c>
      <c r="J95">
        <f t="shared" si="23"/>
        <v>6.3490600574999554E-3</v>
      </c>
      <c r="O95" t="s">
        <v>406</v>
      </c>
      <c r="P95">
        <v>6.4717950000000002</v>
      </c>
      <c r="Q95">
        <f t="shared" si="24"/>
        <v>7.1061714530165293E-3</v>
      </c>
      <c r="V95" t="s">
        <v>422</v>
      </c>
      <c r="W95">
        <v>5.2608928012544602</v>
      </c>
      <c r="X95">
        <f t="shared" si="21"/>
        <v>5.7362119592092179E-3</v>
      </c>
      <c r="AC95" t="s">
        <v>433</v>
      </c>
      <c r="AD95">
        <v>2.6058623142092747</v>
      </c>
      <c r="AE95">
        <f t="shared" si="25"/>
        <v>2.9588303602586454E-3</v>
      </c>
      <c r="AJ95" t="s">
        <v>169</v>
      </c>
      <c r="AK95">
        <v>1887.0513900000001</v>
      </c>
      <c r="AL95">
        <f t="shared" si="26"/>
        <v>2.288715460379497</v>
      </c>
      <c r="AQ95" t="s">
        <v>169</v>
      </c>
      <c r="AR95">
        <v>2018.8423080000002</v>
      </c>
      <c r="AS95">
        <f t="shared" si="27"/>
        <v>2.5292706173894364</v>
      </c>
      <c r="AX95" t="s">
        <v>169</v>
      </c>
      <c r="AY95">
        <v>2166.8273740000004</v>
      </c>
      <c r="AZ95">
        <f t="shared" si="28"/>
        <v>2.7294400221698072</v>
      </c>
    </row>
    <row r="96" spans="1:129" x14ac:dyDescent="0.2">
      <c r="A96" t="s">
        <v>422</v>
      </c>
      <c r="B96">
        <v>4.7121216651450002</v>
      </c>
      <c r="C96">
        <f t="shared" si="22"/>
        <v>4.5151249572118642E-3</v>
      </c>
      <c r="H96" t="s">
        <v>410</v>
      </c>
      <c r="I96">
        <v>6.0187838180000002</v>
      </c>
      <c r="J96">
        <f t="shared" si="23"/>
        <v>6.1634870860630452E-3</v>
      </c>
      <c r="O96" t="s">
        <v>410</v>
      </c>
      <c r="P96">
        <v>6.2403149999999998</v>
      </c>
      <c r="Q96">
        <f t="shared" si="24"/>
        <v>6.8520013861426143E-3</v>
      </c>
      <c r="V96" t="s">
        <v>419</v>
      </c>
      <c r="W96">
        <v>3.2952845018846619</v>
      </c>
      <c r="X96">
        <f t="shared" si="21"/>
        <v>3.593011886537642E-3</v>
      </c>
      <c r="AC96" t="s">
        <v>430</v>
      </c>
      <c r="AD96">
        <v>2.5004453505740725</v>
      </c>
      <c r="AE96">
        <f t="shared" si="25"/>
        <v>2.8391345072623733E-3</v>
      </c>
      <c r="AJ96" t="s">
        <v>510</v>
      </c>
      <c r="AK96">
        <v>398.38</v>
      </c>
      <c r="AL96">
        <f t="shared" si="26"/>
        <v>0.48317627698839921</v>
      </c>
      <c r="AQ96" t="s">
        <v>510</v>
      </c>
      <c r="AR96">
        <v>423</v>
      </c>
      <c r="AS96">
        <f t="shared" si="27"/>
        <v>0.52994801372853506</v>
      </c>
      <c r="AX96" t="s">
        <v>510</v>
      </c>
      <c r="AY96">
        <v>450</v>
      </c>
      <c r="AZ96">
        <f t="shared" si="28"/>
        <v>0.56684165278429477</v>
      </c>
    </row>
    <row r="97" spans="1:31" x14ac:dyDescent="0.2">
      <c r="A97" t="s">
        <v>419</v>
      </c>
      <c r="B97">
        <v>2.9562740484749996</v>
      </c>
      <c r="C97">
        <f t="shared" si="22"/>
        <v>2.8326829579466061E-3</v>
      </c>
      <c r="H97" t="s">
        <v>440</v>
      </c>
      <c r="I97">
        <v>5.6</v>
      </c>
      <c r="J97">
        <f t="shared" si="23"/>
        <v>5.7346348906451208E-3</v>
      </c>
      <c r="O97" t="s">
        <v>402</v>
      </c>
      <c r="P97">
        <v>5.8137999999999996</v>
      </c>
      <c r="Q97">
        <f t="shared" si="24"/>
        <v>6.3836786538429427E-3</v>
      </c>
      <c r="V97" t="s">
        <v>414</v>
      </c>
      <c r="W97">
        <v>3.12184847546968</v>
      </c>
      <c r="X97">
        <f t="shared" si="21"/>
        <v>3.4039059977725035E-3</v>
      </c>
      <c r="AC97" t="s">
        <v>427</v>
      </c>
      <c r="AD97">
        <v>2.1609589922711061</v>
      </c>
      <c r="AE97">
        <f t="shared" si="25"/>
        <v>2.4536642011900962E-3</v>
      </c>
    </row>
    <row r="98" spans="1:31" x14ac:dyDescent="0.2">
      <c r="A98" t="s">
        <v>414</v>
      </c>
      <c r="B98">
        <v>2.79502273674</v>
      </c>
      <c r="C98">
        <f t="shared" si="22"/>
        <v>2.6781729784222464E-3</v>
      </c>
      <c r="H98" t="s">
        <v>422</v>
      </c>
      <c r="I98">
        <v>4.8931689150000004</v>
      </c>
      <c r="J98">
        <f t="shared" si="23"/>
        <v>5.0108102117462734E-3</v>
      </c>
      <c r="O98" t="s">
        <v>422</v>
      </c>
      <c r="P98">
        <v>5.0732699999999999</v>
      </c>
      <c r="Q98">
        <f t="shared" si="24"/>
        <v>5.5705606323199607E-3</v>
      </c>
      <c r="V98" t="s">
        <v>415</v>
      </c>
      <c r="W98">
        <v>2.5437283874197396</v>
      </c>
      <c r="X98">
        <f t="shared" si="21"/>
        <v>2.7735530352220403E-3</v>
      </c>
      <c r="AC98" t="s">
        <v>432</v>
      </c>
      <c r="AD98">
        <v>1.652498052913199</v>
      </c>
      <c r="AE98">
        <f t="shared" si="25"/>
        <v>1.8763314479688974E-3</v>
      </c>
    </row>
    <row r="99" spans="1:31" x14ac:dyDescent="0.2">
      <c r="A99" t="s">
        <v>418</v>
      </c>
      <c r="B99">
        <v>2.59</v>
      </c>
      <c r="C99">
        <f t="shared" si="22"/>
        <v>2.4817214983388755E-3</v>
      </c>
      <c r="H99" t="s">
        <v>419</v>
      </c>
      <c r="I99">
        <v>3.0698588249999998</v>
      </c>
      <c r="J99">
        <f t="shared" si="23"/>
        <v>3.1436642012856847E-3</v>
      </c>
      <c r="O99" t="s">
        <v>419</v>
      </c>
      <c r="P99">
        <v>3.1828500000000002</v>
      </c>
      <c r="Q99">
        <f t="shared" si="24"/>
        <v>3.4948384195163259E-3</v>
      </c>
      <c r="V99" t="s">
        <v>429</v>
      </c>
      <c r="W99">
        <v>2.4859163786147449</v>
      </c>
      <c r="X99">
        <f t="shared" si="21"/>
        <v>2.710517738966993E-3</v>
      </c>
      <c r="AC99" t="s">
        <v>507</v>
      </c>
      <c r="AD99">
        <v>1.4</v>
      </c>
      <c r="AE99">
        <f t="shared" si="25"/>
        <v>1.5896321466313027E-3</v>
      </c>
    </row>
    <row r="100" spans="1:31" x14ac:dyDescent="0.2">
      <c r="A100" t="s">
        <v>415</v>
      </c>
      <c r="B100">
        <v>2.2754351767049998</v>
      </c>
      <c r="C100">
        <f t="shared" si="22"/>
        <v>2.1803074888437518E-3</v>
      </c>
      <c r="H100" t="s">
        <v>414</v>
      </c>
      <c r="I100">
        <v>2.9024119800000001</v>
      </c>
      <c r="J100">
        <f t="shared" si="23"/>
        <v>2.9721916084882835E-3</v>
      </c>
      <c r="O100" t="s">
        <v>414</v>
      </c>
      <c r="P100">
        <v>3.0092400000000001</v>
      </c>
      <c r="Q100">
        <f t="shared" si="24"/>
        <v>3.3042108693608894E-3</v>
      </c>
      <c r="V100" t="s">
        <v>433</v>
      </c>
      <c r="W100">
        <v>2.3702923610047564</v>
      </c>
      <c r="X100">
        <f t="shared" si="21"/>
        <v>2.5844471464569001E-3</v>
      </c>
      <c r="AC100" t="s">
        <v>169</v>
      </c>
      <c r="AD100">
        <v>2212.21</v>
      </c>
      <c r="AE100">
        <f t="shared" si="25"/>
        <v>2.5118572364994529</v>
      </c>
    </row>
    <row r="101" spans="1:31" x14ac:dyDescent="0.2">
      <c r="A101" t="s">
        <v>429</v>
      </c>
      <c r="B101">
        <v>2.2306431461490002</v>
      </c>
      <c r="C101">
        <f t="shared" si="22"/>
        <v>2.1373880505483555E-3</v>
      </c>
      <c r="H101" t="s">
        <v>418</v>
      </c>
      <c r="I101">
        <v>2.69</v>
      </c>
      <c r="J101">
        <f t="shared" si="23"/>
        <v>2.754672831399174E-3</v>
      </c>
      <c r="O101" t="s">
        <v>415</v>
      </c>
      <c r="P101">
        <v>2.44983</v>
      </c>
      <c r="Q101">
        <f t="shared" si="24"/>
        <v>2.689966541082263E-3</v>
      </c>
      <c r="V101" t="s">
        <v>430</v>
      </c>
      <c r="W101">
        <v>2.2744050908821762</v>
      </c>
      <c r="X101">
        <f t="shared" si="21"/>
        <v>2.4798965071658055E-3</v>
      </c>
      <c r="AC101" t="s">
        <v>510</v>
      </c>
      <c r="AD101">
        <v>373.76</v>
      </c>
      <c r="AE101">
        <f t="shared" si="25"/>
        <v>0.42438636508922545</v>
      </c>
    </row>
    <row r="102" spans="1:31" x14ac:dyDescent="0.2">
      <c r="A102" t="s">
        <v>446</v>
      </c>
      <c r="B102">
        <v>2.1231422716589998</v>
      </c>
      <c r="C102">
        <f t="shared" si="22"/>
        <v>2.0343813975321149E-3</v>
      </c>
      <c r="H102" t="s">
        <v>415</v>
      </c>
      <c r="I102">
        <v>2.3628610349999999</v>
      </c>
      <c r="J102">
        <f t="shared" si="23"/>
        <v>2.4196688094744361E-3</v>
      </c>
      <c r="O102" t="s">
        <v>429</v>
      </c>
      <c r="P102">
        <v>2.401605</v>
      </c>
      <c r="Q102">
        <f t="shared" si="24"/>
        <v>2.6370144438168639E-3</v>
      </c>
      <c r="V102" t="s">
        <v>427</v>
      </c>
      <c r="W102">
        <v>1.9656082993697981</v>
      </c>
      <c r="X102">
        <f t="shared" si="21"/>
        <v>2.1432000726715758E-3</v>
      </c>
    </row>
    <row r="103" spans="1:31" x14ac:dyDescent="0.2">
      <c r="A103" t="s">
        <v>430</v>
      </c>
      <c r="B103">
        <v>2.0335582095839997</v>
      </c>
      <c r="C103">
        <f t="shared" si="22"/>
        <v>1.9485425200185811E-3</v>
      </c>
      <c r="H103" t="s">
        <v>429</v>
      </c>
      <c r="I103">
        <v>2.3163480230000002</v>
      </c>
      <c r="J103">
        <f t="shared" si="23"/>
        <v>2.3720375342094016E-3</v>
      </c>
      <c r="O103" t="s">
        <v>446</v>
      </c>
      <c r="P103">
        <v>2.2858649999999998</v>
      </c>
      <c r="Q103">
        <f t="shared" si="24"/>
        <v>2.5099294103799064E-3</v>
      </c>
      <c r="V103" t="s">
        <v>432</v>
      </c>
      <c r="W103">
        <v>1.5031122289298458</v>
      </c>
      <c r="X103">
        <f t="shared" si="21"/>
        <v>1.6389177026312051E-3</v>
      </c>
    </row>
    <row r="104" spans="1:31" x14ac:dyDescent="0.2">
      <c r="A104" t="s">
        <v>427</v>
      </c>
      <c r="B104">
        <v>1.7648060233589999</v>
      </c>
      <c r="C104">
        <f t="shared" si="22"/>
        <v>1.6910258874779807E-3</v>
      </c>
      <c r="H104" t="s">
        <v>446</v>
      </c>
      <c r="I104">
        <v>2.2047167929999998</v>
      </c>
      <c r="J104">
        <f t="shared" si="23"/>
        <v>2.2577224723444671E-3</v>
      </c>
      <c r="O104" t="s">
        <v>430</v>
      </c>
      <c r="P104">
        <v>2.1894149999999999</v>
      </c>
      <c r="Q104">
        <f t="shared" si="24"/>
        <v>2.4040252158491087E-3</v>
      </c>
      <c r="V104" t="s">
        <v>169</v>
      </c>
      <c r="W104">
        <v>1730.3500000000004</v>
      </c>
      <c r="X104">
        <f t="shared" si="21"/>
        <v>1.8866862980463885</v>
      </c>
    </row>
    <row r="105" spans="1:31" x14ac:dyDescent="0.2">
      <c r="A105" t="s">
        <v>432</v>
      </c>
      <c r="B105">
        <v>1.3437609311250001</v>
      </c>
      <c r="C105">
        <f t="shared" si="22"/>
        <v>1.2875831627030029E-3</v>
      </c>
      <c r="H105" t="s">
        <v>430</v>
      </c>
      <c r="I105">
        <v>2.1116907679999999</v>
      </c>
      <c r="J105">
        <f t="shared" si="23"/>
        <v>2.1624599207903557E-3</v>
      </c>
      <c r="O105" t="s">
        <v>427</v>
      </c>
      <c r="P105">
        <v>1.9000649999999999</v>
      </c>
      <c r="Q105">
        <f t="shared" si="24"/>
        <v>2.0863126322567156E-3</v>
      </c>
      <c r="V105" t="s">
        <v>510</v>
      </c>
      <c r="W105">
        <v>351.34</v>
      </c>
      <c r="X105">
        <f t="shared" si="21"/>
        <v>0.38308340159829973</v>
      </c>
    </row>
    <row r="106" spans="1:31" x14ac:dyDescent="0.2">
      <c r="A106" t="s">
        <v>169</v>
      </c>
      <c r="B106">
        <v>857.99553800000012</v>
      </c>
      <c r="C106">
        <f t="shared" si="22"/>
        <v>0.82212585796657534</v>
      </c>
      <c r="H106" t="s">
        <v>427</v>
      </c>
      <c r="I106">
        <v>1.832612693</v>
      </c>
      <c r="J106">
        <f t="shared" si="23"/>
        <v>1.8766722661280205E-3</v>
      </c>
      <c r="O106" t="s">
        <v>432</v>
      </c>
      <c r="P106">
        <v>1.44675</v>
      </c>
      <c r="Q106">
        <f t="shared" si="24"/>
        <v>1.5885629179619659E-3</v>
      </c>
    </row>
    <row r="107" spans="1:31" x14ac:dyDescent="0.2">
      <c r="A107" t="s">
        <v>510</v>
      </c>
      <c r="B107">
        <v>309.83254399999998</v>
      </c>
      <c r="C107">
        <f t="shared" si="22"/>
        <v>0.29687956962541528</v>
      </c>
      <c r="H107" t="s">
        <v>432</v>
      </c>
      <c r="I107">
        <v>1.3953903750000001</v>
      </c>
      <c r="J107">
        <f t="shared" si="23"/>
        <v>1.428938273311675E-3</v>
      </c>
      <c r="O107" t="s">
        <v>169</v>
      </c>
      <c r="P107">
        <v>686.6400000000001</v>
      </c>
      <c r="Q107">
        <f t="shared" si="24"/>
        <v>0.75394563123511638</v>
      </c>
    </row>
    <row r="108" spans="1:31" x14ac:dyDescent="0.2">
      <c r="H108" t="s">
        <v>169</v>
      </c>
      <c r="I108">
        <v>543.79999999999995</v>
      </c>
      <c r="J108">
        <f t="shared" si="23"/>
        <v>0.55687400955943156</v>
      </c>
      <c r="O108" t="s">
        <v>510</v>
      </c>
      <c r="P108">
        <v>330.26</v>
      </c>
      <c r="Q108">
        <f t="shared" si="24"/>
        <v>0.36263265200353823</v>
      </c>
    </row>
    <row r="109" spans="1:31" x14ac:dyDescent="0.2">
      <c r="H109" t="s">
        <v>510</v>
      </c>
      <c r="I109">
        <v>321.67</v>
      </c>
      <c r="J109">
        <f t="shared" si="23"/>
        <v>0.3294035723703243</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8"/>
  <sheetViews>
    <sheetView zoomScale="75" zoomScaleNormal="100" workbookViewId="0">
      <pane xSplit="1" ySplit="2" topLeftCell="B3" activePane="bottomRight" state="frozen"/>
      <selection pane="topRight" activeCell="B1" sqref="B1"/>
      <selection pane="bottomLeft" activeCell="A3" sqref="A3"/>
      <selection pane="bottomRight" activeCell="B12" sqref="B12"/>
    </sheetView>
  </sheetViews>
  <sheetFormatPr baseColWidth="10" defaultColWidth="11.83203125" defaultRowHeight="16" x14ac:dyDescent="0.2"/>
  <cols>
    <col min="1" max="1" width="40.5" style="8" customWidth="1"/>
    <col min="2" max="2" width="21.83203125" style="8" customWidth="1"/>
    <col min="3" max="4" width="11.83203125" style="8"/>
    <col min="5" max="5" width="10.1640625" style="8" bestFit="1" customWidth="1"/>
    <col min="6" max="16" width="11.83203125" style="8"/>
    <col min="17" max="17" width="11.83203125" style="8" customWidth="1"/>
    <col min="18" max="16384" width="11.83203125" style="8"/>
  </cols>
  <sheetData>
    <row r="1" spans="1:21" s="5" customFormat="1" ht="43.25" customHeight="1" x14ac:dyDescent="0.2">
      <c r="A1" s="32" t="s">
        <v>638</v>
      </c>
      <c r="B1" s="32"/>
      <c r="C1" s="32"/>
      <c r="D1" s="32"/>
      <c r="E1" s="32"/>
      <c r="F1" s="32"/>
      <c r="G1" s="32"/>
      <c r="H1" s="32"/>
      <c r="I1" s="32"/>
      <c r="J1" s="32"/>
    </row>
    <row r="2" spans="1:21" x14ac:dyDescent="0.2">
      <c r="B2" s="8">
        <v>1984</v>
      </c>
      <c r="C2" s="8">
        <v>1988</v>
      </c>
      <c r="D2" s="8">
        <v>1992</v>
      </c>
      <c r="E2" s="8">
        <v>1996</v>
      </c>
      <c r="F2" s="8">
        <v>2000</v>
      </c>
      <c r="G2" s="8">
        <v>2004</v>
      </c>
      <c r="H2" s="8">
        <v>2008</v>
      </c>
      <c r="I2" s="8">
        <v>2010</v>
      </c>
      <c r="J2" s="8">
        <v>2011</v>
      </c>
      <c r="K2" s="8">
        <v>2012</v>
      </c>
      <c r="L2" s="8">
        <v>2013</v>
      </c>
      <c r="M2" s="8">
        <v>2014</v>
      </c>
      <c r="N2" s="8">
        <v>2015</v>
      </c>
      <c r="O2" s="8">
        <v>2016</v>
      </c>
      <c r="P2" s="8">
        <v>2017</v>
      </c>
      <c r="Q2" s="8">
        <v>2018</v>
      </c>
      <c r="R2" s="8">
        <v>2019</v>
      </c>
      <c r="S2" s="8">
        <v>2020</v>
      </c>
      <c r="T2" s="8">
        <v>2021</v>
      </c>
      <c r="U2" s="8">
        <v>2022</v>
      </c>
    </row>
    <row r="3" spans="1:21" x14ac:dyDescent="0.2">
      <c r="A3" s="8" t="s">
        <v>59</v>
      </c>
      <c r="B3" s="8">
        <v>45.542080174936771</v>
      </c>
      <c r="C3" s="8">
        <v>40.191425136512585</v>
      </c>
      <c r="D3" s="8">
        <v>38.037433758352343</v>
      </c>
      <c r="E3" s="8">
        <v>33.127744940938314</v>
      </c>
      <c r="F3" s="8">
        <v>34.75864925770648</v>
      </c>
      <c r="G3" s="8">
        <v>30.671632867473502</v>
      </c>
      <c r="H3" s="8">
        <v>26.565872813471774</v>
      </c>
      <c r="I3" s="8">
        <v>24.697719510876126</v>
      </c>
      <c r="J3" s="8">
        <v>27.154476835432263</v>
      </c>
      <c r="K3" s="8">
        <v>26.469401218675149</v>
      </c>
      <c r="L3" s="8">
        <v>29.106195542730596</v>
      </c>
      <c r="M3" s="8">
        <v>27.985023859251022</v>
      </c>
      <c r="N3" s="8">
        <v>25.7450003100532</v>
      </c>
      <c r="O3" s="8">
        <v>25.972132023249948</v>
      </c>
      <c r="P3" s="8">
        <v>26.71369242964705</v>
      </c>
      <c r="Q3" s="8">
        <v>26.129589101706209</v>
      </c>
      <c r="R3" s="8">
        <v>25.97516917462795</v>
      </c>
      <c r="S3" s="8">
        <v>25.512871927405829</v>
      </c>
      <c r="T3" s="8">
        <v>24.040247217199806</v>
      </c>
      <c r="U3" s="8">
        <v>23.687789771715305</v>
      </c>
    </row>
    <row r="4" spans="1:21" x14ac:dyDescent="0.2">
      <c r="A4" s="8" t="s">
        <v>60</v>
      </c>
      <c r="B4" s="8">
        <v>63.540969988268486</v>
      </c>
      <c r="C4" s="8">
        <v>58.218362577941171</v>
      </c>
      <c r="D4" s="8">
        <v>55.477701047271005</v>
      </c>
      <c r="E4" s="8">
        <v>54.3424704929364</v>
      </c>
      <c r="F4" s="8">
        <v>59.147696882262565</v>
      </c>
      <c r="G4" s="8">
        <v>59.108696932023733</v>
      </c>
      <c r="H4" s="8">
        <v>62.495855165896685</v>
      </c>
      <c r="I4" s="8">
        <v>62.335794517617906</v>
      </c>
      <c r="J4" s="8">
        <v>65.226976445365779</v>
      </c>
      <c r="K4" s="8">
        <v>64.19541626877529</v>
      </c>
      <c r="L4" s="8">
        <v>67.270923931312836</v>
      </c>
      <c r="M4" s="8">
        <v>66.386359448628824</v>
      </c>
      <c r="N4" s="8">
        <v>63.838657666870567</v>
      </c>
      <c r="O4" s="8">
        <v>65.272725928346659</v>
      </c>
      <c r="P4" s="8">
        <v>65.617763539688696</v>
      </c>
      <c r="Q4" s="8">
        <v>65.701213895380477</v>
      </c>
      <c r="R4" s="8">
        <v>64.544922813424165</v>
      </c>
      <c r="S4" s="8">
        <v>64.050271864686835</v>
      </c>
      <c r="T4" s="8">
        <v>61.223442104875204</v>
      </c>
      <c r="U4" s="8">
        <v>60.675172627360368</v>
      </c>
    </row>
    <row r="5" spans="1:21" x14ac:dyDescent="0.2">
      <c r="A5" s="8" t="s">
        <v>61</v>
      </c>
      <c r="B5" s="8">
        <v>75.495630382452418</v>
      </c>
      <c r="C5" s="8">
        <v>73.268612400299745</v>
      </c>
      <c r="D5" s="8">
        <v>71.5434021783894</v>
      </c>
      <c r="E5" s="8">
        <v>69.764042282270623</v>
      </c>
      <c r="F5" s="8">
        <v>74.512795343362058</v>
      </c>
      <c r="G5" s="8">
        <v>75.946877421240146</v>
      </c>
      <c r="H5" s="8">
        <v>80.519040605314316</v>
      </c>
      <c r="I5" s="8">
        <v>78.217278860103676</v>
      </c>
      <c r="J5" s="8">
        <v>79.989356254139807</v>
      </c>
      <c r="K5" s="8">
        <v>79.067295779757615</v>
      </c>
      <c r="L5" s="8">
        <v>82.015333331848979</v>
      </c>
      <c r="M5" s="8">
        <v>81.718192610875619</v>
      </c>
      <c r="N5" s="8">
        <v>77.883339124895187</v>
      </c>
      <c r="O5" s="8">
        <v>79.846885137007746</v>
      </c>
      <c r="P5" s="8">
        <v>81.537474628461752</v>
      </c>
      <c r="Q5" s="8">
        <v>81.711515392961559</v>
      </c>
      <c r="R5" s="8">
        <v>81.347814115062718</v>
      </c>
      <c r="S5" s="8">
        <v>81.96138876359241</v>
      </c>
      <c r="T5" s="8">
        <v>81.084843147861932</v>
      </c>
      <c r="U5" s="8">
        <v>79.483005946656164</v>
      </c>
    </row>
    <row r="6" spans="1:21" x14ac:dyDescent="0.2">
      <c r="A6" s="8" t="s">
        <v>293</v>
      </c>
      <c r="C6" s="8">
        <v>2.1865525400381016</v>
      </c>
      <c r="D6" s="8">
        <v>3.3916502074572143</v>
      </c>
      <c r="E6" s="8">
        <v>8.7026072264847283</v>
      </c>
      <c r="F6" s="8">
        <v>45.391753934560505</v>
      </c>
      <c r="G6" s="8">
        <v>49.175872431981944</v>
      </c>
      <c r="H6" s="8">
        <v>52.999765639035978</v>
      </c>
      <c r="I6" s="8">
        <v>53.683674343312845</v>
      </c>
      <c r="J6" s="8">
        <v>56.279622574108558</v>
      </c>
      <c r="K6" s="8">
        <v>55.001550579570271</v>
      </c>
      <c r="L6" s="8">
        <v>57.515793327893874</v>
      </c>
      <c r="M6" s="8">
        <v>56.145501909854453</v>
      </c>
      <c r="N6" s="8">
        <v>52.987670890026678</v>
      </c>
      <c r="O6" s="8">
        <v>54.115503632694548</v>
      </c>
      <c r="P6" s="8">
        <v>54.574108603086927</v>
      </c>
      <c r="Q6" s="8">
        <v>54.225262020812444</v>
      </c>
      <c r="R6" s="8">
        <v>53.180035273709542</v>
      </c>
      <c r="S6" s="8">
        <v>51.750166718127282</v>
      </c>
      <c r="T6" s="8">
        <v>49.737083111610836</v>
      </c>
      <c r="U6" s="8">
        <v>49.803985580910876</v>
      </c>
    </row>
    <row r="7" spans="1:21" x14ac:dyDescent="0.2">
      <c r="A7" s="8" t="s">
        <v>555</v>
      </c>
      <c r="H7" s="8">
        <v>1.22</v>
      </c>
      <c r="I7" s="8">
        <v>1.45</v>
      </c>
      <c r="J7" s="8">
        <v>2.2599999999999998</v>
      </c>
      <c r="K7" s="8">
        <v>2.61</v>
      </c>
      <c r="L7" s="8">
        <v>3.02</v>
      </c>
      <c r="M7" s="8">
        <v>4.66</v>
      </c>
      <c r="N7" s="8">
        <v>5.78</v>
      </c>
      <c r="O7" s="8">
        <v>7.12</v>
      </c>
      <c r="P7" s="8">
        <v>8.9499999999999993</v>
      </c>
      <c r="Q7" s="8">
        <v>10.09</v>
      </c>
      <c r="R7" s="8">
        <v>11.84</v>
      </c>
      <c r="S7" s="8">
        <v>13.82</v>
      </c>
      <c r="T7" s="8">
        <v>17</v>
      </c>
      <c r="U7" s="8">
        <v>17.7</v>
      </c>
    </row>
    <row r="8" spans="1:21" x14ac:dyDescent="0.2">
      <c r="A8" s="8" t="s">
        <v>63</v>
      </c>
      <c r="B8" s="8">
        <v>2221.923161566021</v>
      </c>
      <c r="C8" s="8">
        <v>1785.6362710097969</v>
      </c>
      <c r="D8" s="8">
        <v>1617.7525986958449</v>
      </c>
      <c r="E8" s="8">
        <v>1318.7858674138511</v>
      </c>
      <c r="F8" s="8">
        <v>1518.4888377021762</v>
      </c>
      <c r="G8" s="8">
        <v>1315.1372678814043</v>
      </c>
      <c r="H8" s="8">
        <v>1260.5987582854402</v>
      </c>
      <c r="I8" s="8">
        <v>1177.2278637857037</v>
      </c>
      <c r="J8" s="8">
        <v>1311.1990081189824</v>
      </c>
      <c r="K8" s="8">
        <v>1270.3101068247681</v>
      </c>
      <c r="L8" s="8">
        <v>1426.640026827625</v>
      </c>
      <c r="M8" s="8">
        <v>1371.9680248983075</v>
      </c>
      <c r="N8" s="8">
        <v>1243.0509509818144</v>
      </c>
      <c r="O8" s="8">
        <v>1290.2116562644314</v>
      </c>
      <c r="P8" s="8">
        <v>1328.4879270316083</v>
      </c>
      <c r="Q8" s="8">
        <v>1321.1308068497231</v>
      </c>
      <c r="R8" s="8">
        <v>1289.8662653258918</v>
      </c>
      <c r="S8" s="8">
        <v>1279.155458326346</v>
      </c>
      <c r="T8" s="8">
        <v>1177.0984745242408</v>
      </c>
      <c r="U8" s="8">
        <v>1136.4540633812012</v>
      </c>
    </row>
  </sheetData>
  <mergeCells count="1">
    <mergeCell ref="A1:J1"/>
  </mergeCells>
  <phoneticPr fontId="4" type="noConversion"/>
  <pageMargins left="0.7" right="0.7" top="0.75" bottom="0.75" header="0.3" footer="0.3"/>
  <pageSetup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4"/>
  <sheetViews>
    <sheetView zoomScaleNormal="100" workbookViewId="0">
      <selection activeCell="G8" sqref="G8"/>
    </sheetView>
  </sheetViews>
  <sheetFormatPr baseColWidth="10" defaultColWidth="11" defaultRowHeight="16" x14ac:dyDescent="0.2"/>
  <cols>
    <col min="1" max="19" width="11" style="1"/>
    <col min="20" max="20" width="12.1640625" style="1" bestFit="1" customWidth="1"/>
    <col min="21" max="16384" width="11" style="1"/>
  </cols>
  <sheetData>
    <row r="1" spans="1:21" x14ac:dyDescent="0.2">
      <c r="A1" s="34" t="s">
        <v>626</v>
      </c>
      <c r="B1" s="34"/>
      <c r="C1" s="34"/>
      <c r="D1" s="34"/>
      <c r="E1" s="34"/>
      <c r="F1" s="34"/>
      <c r="G1" s="34"/>
      <c r="H1" s="34"/>
      <c r="I1" s="34"/>
      <c r="J1" s="2"/>
      <c r="K1" s="2"/>
      <c r="L1" s="2"/>
      <c r="M1" s="2"/>
      <c r="N1" s="2"/>
      <c r="O1" s="2"/>
    </row>
    <row r="2" spans="1:21" x14ac:dyDescent="0.2">
      <c r="A2" s="8"/>
      <c r="B2" s="8">
        <v>1984</v>
      </c>
      <c r="C2" s="8">
        <v>1988</v>
      </c>
      <c r="D2" s="8">
        <v>1992</v>
      </c>
      <c r="E2" s="8">
        <v>1996</v>
      </c>
      <c r="F2" s="8">
        <v>2000</v>
      </c>
      <c r="G2" s="8">
        <v>2004</v>
      </c>
      <c r="H2" s="8">
        <v>2008</v>
      </c>
      <c r="I2" s="8">
        <v>2010</v>
      </c>
      <c r="J2" s="8">
        <v>2011</v>
      </c>
      <c r="K2" s="8">
        <v>2012</v>
      </c>
      <c r="L2" s="8">
        <v>2013</v>
      </c>
      <c r="M2" s="8">
        <v>2014</v>
      </c>
      <c r="N2" s="8">
        <v>2015</v>
      </c>
      <c r="O2" s="8">
        <v>2016</v>
      </c>
      <c r="P2" s="8">
        <v>2017</v>
      </c>
      <c r="Q2" s="8">
        <v>2018</v>
      </c>
      <c r="R2" s="8">
        <v>2019</v>
      </c>
      <c r="S2" s="8">
        <v>2020</v>
      </c>
      <c r="T2" s="8">
        <v>2021</v>
      </c>
      <c r="U2" s="8">
        <v>2022</v>
      </c>
    </row>
    <row r="3" spans="1:21" s="2" customFormat="1" x14ac:dyDescent="0.2">
      <c r="A3" s="8" t="s">
        <v>63</v>
      </c>
      <c r="B3" s="8">
        <v>2221.923161566021</v>
      </c>
      <c r="C3" s="8">
        <v>1785.6362710097969</v>
      </c>
      <c r="D3" s="8">
        <v>1617.7525986958449</v>
      </c>
      <c r="E3" s="8">
        <v>1318.7858674138511</v>
      </c>
      <c r="F3" s="8">
        <v>1518.4888377021762</v>
      </c>
      <c r="G3" s="8">
        <v>1315.1372678814043</v>
      </c>
      <c r="H3" s="8">
        <v>1260.5987582854402</v>
      </c>
      <c r="I3" s="8">
        <v>1177.2278637857037</v>
      </c>
      <c r="J3" s="8">
        <v>1311.1990081189824</v>
      </c>
      <c r="K3" s="8">
        <v>1270.3101068247681</v>
      </c>
      <c r="L3" s="8">
        <v>1426.640026827625</v>
      </c>
      <c r="M3" s="8">
        <v>1371.9680248983075</v>
      </c>
      <c r="N3" s="8">
        <v>1243.0509509818144</v>
      </c>
      <c r="O3" s="8">
        <v>1290.2116562644314</v>
      </c>
      <c r="P3" s="8">
        <v>1328.4879270316083</v>
      </c>
      <c r="Q3" s="8">
        <v>1321.1308068497231</v>
      </c>
      <c r="R3" s="8">
        <v>1289.8662653258918</v>
      </c>
      <c r="S3" s="8">
        <v>1279.155458326346</v>
      </c>
      <c r="T3" s="8">
        <v>1177.0984745242408</v>
      </c>
      <c r="U3" s="8">
        <v>1136.4540633812012</v>
      </c>
    </row>
    <row r="4" spans="1:21" x14ac:dyDescent="0.2">
      <c r="A4" s="8"/>
      <c r="B4" s="8"/>
      <c r="C4" s="8"/>
      <c r="D4" s="8"/>
      <c r="E4" s="8"/>
      <c r="F4" s="8"/>
      <c r="G4" s="8"/>
      <c r="H4" s="8"/>
      <c r="I4" s="8"/>
      <c r="J4" s="8"/>
      <c r="K4" s="8"/>
      <c r="L4" s="8"/>
      <c r="M4" s="8"/>
      <c r="N4" s="8"/>
      <c r="O4" s="8"/>
      <c r="P4" s="8"/>
      <c r="Q4" s="8"/>
      <c r="R4" s="8"/>
      <c r="S4" s="8"/>
      <c r="T4" s="8"/>
      <c r="U4" s="8"/>
    </row>
  </sheetData>
  <mergeCells count="1">
    <mergeCell ref="A1:I1"/>
  </mergeCells>
  <phoneticPr fontId="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3ADC-C016-9D4E-9688-3976996226E7}">
  <dimension ref="A1:F17"/>
  <sheetViews>
    <sheetView zoomScale="110" zoomScaleNormal="110" workbookViewId="0">
      <selection activeCell="A18" sqref="A18"/>
    </sheetView>
  </sheetViews>
  <sheetFormatPr baseColWidth="10" defaultColWidth="11" defaultRowHeight="16" x14ac:dyDescent="0.2"/>
  <cols>
    <col min="1" max="1" width="47.6640625" customWidth="1"/>
    <col min="2" max="2" width="51.1640625" customWidth="1"/>
    <col min="3" max="3" width="40.6640625" customWidth="1"/>
  </cols>
  <sheetData>
    <row r="1" spans="1:6" x14ac:dyDescent="0.2">
      <c r="A1" s="29" t="s">
        <v>466</v>
      </c>
      <c r="B1" s="29"/>
      <c r="C1" s="29"/>
      <c r="D1" s="29"/>
      <c r="E1" s="29"/>
      <c r="F1" s="29"/>
    </row>
    <row r="2" spans="1:6" ht="17" x14ac:dyDescent="0.2">
      <c r="A2" s="23" t="s">
        <v>2</v>
      </c>
      <c r="B2" s="24" t="s">
        <v>3</v>
      </c>
      <c r="C2" s="25" t="s">
        <v>4</v>
      </c>
      <c r="D2" s="4"/>
      <c r="E2" s="4"/>
      <c r="F2" s="4"/>
    </row>
    <row r="3" spans="1:6" ht="17" x14ac:dyDescent="0.2">
      <c r="A3" s="26" t="s">
        <v>513</v>
      </c>
      <c r="B3" s="26" t="s">
        <v>556</v>
      </c>
      <c r="C3" s="26" t="s">
        <v>514</v>
      </c>
      <c r="D3" s="4"/>
      <c r="E3" s="4"/>
      <c r="F3" s="4"/>
    </row>
    <row r="4" spans="1:6" ht="17" x14ac:dyDescent="0.2">
      <c r="A4" s="26" t="s">
        <v>557</v>
      </c>
      <c r="B4" s="26" t="s">
        <v>655</v>
      </c>
      <c r="C4" s="26" t="s">
        <v>559</v>
      </c>
      <c r="D4" s="4"/>
      <c r="E4" s="4"/>
      <c r="F4" s="4"/>
    </row>
    <row r="5" spans="1:6" ht="22" customHeight="1" x14ac:dyDescent="0.2">
      <c r="A5" s="26" t="s">
        <v>560</v>
      </c>
      <c r="B5" s="26" t="s">
        <v>558</v>
      </c>
      <c r="C5" s="26" t="s">
        <v>571</v>
      </c>
      <c r="D5" s="4"/>
      <c r="E5" s="4"/>
      <c r="F5" s="4"/>
    </row>
    <row r="6" spans="1:6" ht="17" x14ac:dyDescent="0.2">
      <c r="A6" s="26" t="s">
        <v>561</v>
      </c>
      <c r="B6" s="26" t="s">
        <v>672</v>
      </c>
      <c r="C6" s="26" t="s">
        <v>476</v>
      </c>
      <c r="D6" s="4"/>
      <c r="E6" s="4"/>
      <c r="F6" s="4"/>
    </row>
    <row r="7" spans="1:6" ht="17" x14ac:dyDescent="0.2">
      <c r="A7" s="26" t="s">
        <v>562</v>
      </c>
      <c r="B7" s="26"/>
      <c r="C7" s="26" t="s">
        <v>674</v>
      </c>
      <c r="D7" s="4"/>
      <c r="E7" s="4"/>
      <c r="F7" s="4"/>
    </row>
    <row r="8" spans="1:6" ht="17" x14ac:dyDescent="0.2">
      <c r="A8" s="26" t="s">
        <v>563</v>
      </c>
      <c r="B8" s="26"/>
      <c r="C8" s="26" t="s">
        <v>564</v>
      </c>
      <c r="D8" s="4"/>
      <c r="E8" s="4"/>
      <c r="F8" s="4"/>
    </row>
    <row r="9" spans="1:6" ht="17" x14ac:dyDescent="0.2">
      <c r="A9" s="26" t="s">
        <v>515</v>
      </c>
      <c r="B9" s="26"/>
      <c r="C9" s="26" t="s">
        <v>565</v>
      </c>
      <c r="D9" s="4"/>
      <c r="E9" s="4"/>
      <c r="F9" s="4"/>
    </row>
    <row r="10" spans="1:6" ht="17" x14ac:dyDescent="0.2">
      <c r="A10" s="26" t="s">
        <v>566</v>
      </c>
      <c r="B10" s="26"/>
      <c r="C10" s="26" t="s">
        <v>567</v>
      </c>
      <c r="D10" s="4"/>
      <c r="E10" s="4"/>
      <c r="F10" s="4"/>
    </row>
    <row r="11" spans="1:6" ht="17" x14ac:dyDescent="0.2">
      <c r="A11" s="26" t="s">
        <v>675</v>
      </c>
      <c r="B11" s="26"/>
      <c r="C11" s="26" t="s">
        <v>475</v>
      </c>
      <c r="D11" s="4"/>
      <c r="E11" s="4"/>
      <c r="F11" s="4"/>
    </row>
    <row r="12" spans="1:6" ht="17" x14ac:dyDescent="0.2">
      <c r="A12" s="26"/>
      <c r="B12" s="26"/>
      <c r="C12" s="26" t="s">
        <v>474</v>
      </c>
      <c r="D12" s="4"/>
      <c r="E12" s="4"/>
      <c r="F12" s="4"/>
    </row>
    <row r="13" spans="1:6" ht="17" x14ac:dyDescent="0.2">
      <c r="A13" s="26"/>
      <c r="B13" s="26"/>
      <c r="C13" s="26" t="s">
        <v>568</v>
      </c>
      <c r="D13" s="4"/>
      <c r="E13" s="4"/>
      <c r="F13" s="4"/>
    </row>
    <row r="14" spans="1:6" ht="17" x14ac:dyDescent="0.2">
      <c r="A14" s="26"/>
      <c r="B14" s="26"/>
      <c r="C14" s="26" t="s">
        <v>569</v>
      </c>
      <c r="D14" s="4"/>
      <c r="E14" s="4"/>
      <c r="F14" s="4"/>
    </row>
    <row r="15" spans="1:6" ht="17" x14ac:dyDescent="0.2">
      <c r="A15" s="26"/>
      <c r="B15" s="26"/>
      <c r="C15" s="26" t="s">
        <v>570</v>
      </c>
      <c r="D15" s="4"/>
      <c r="E15" s="4"/>
      <c r="F15" s="4"/>
    </row>
    <row r="16" spans="1:6" ht="17" x14ac:dyDescent="0.2">
      <c r="A16" s="26"/>
      <c r="B16" s="26"/>
      <c r="C16" s="26" t="s">
        <v>473</v>
      </c>
      <c r="D16" s="4"/>
      <c r="E16" s="4"/>
      <c r="F16" s="4"/>
    </row>
    <row r="17" spans="1:3" x14ac:dyDescent="0.2">
      <c r="A17" s="27"/>
      <c r="B17" s="27"/>
      <c r="C17" s="27"/>
    </row>
  </sheetData>
  <mergeCells count="1">
    <mergeCell ref="A1:F1"/>
  </mergeCells>
  <pageMargins left="0.7" right="0.7" top="0.75" bottom="0.75" header="0.3" footer="0.3"/>
  <pageSetup orientation="portrait" horizontalDpi="4294967292" verticalDpi="4294967292"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37"/>
  <sheetViews>
    <sheetView tabSelected="1" zoomScale="82" zoomScaleNormal="110" workbookViewId="0">
      <selection activeCell="J5" sqref="J5"/>
    </sheetView>
  </sheetViews>
  <sheetFormatPr baseColWidth="10" defaultColWidth="11" defaultRowHeight="16" x14ac:dyDescent="0.2"/>
  <cols>
    <col min="1" max="1" width="39" style="9" customWidth="1"/>
    <col min="2" max="4" width="10.1640625" style="9" customWidth="1"/>
    <col min="5" max="5" width="17.1640625" style="9" customWidth="1"/>
    <col min="6" max="6" width="13.1640625" style="9" customWidth="1"/>
    <col min="7" max="7" width="12" style="9" customWidth="1"/>
    <col min="8" max="8" width="11.33203125" style="9" customWidth="1"/>
    <col min="9" max="9" width="17.83203125" style="9" customWidth="1"/>
    <col min="10" max="10" width="15.83203125" style="9" customWidth="1"/>
    <col min="11" max="11" width="13.33203125" style="9" customWidth="1"/>
    <col min="12" max="12" width="12" style="9" customWidth="1"/>
    <col min="13" max="13" width="15.5" style="9" customWidth="1"/>
    <col min="14" max="15" width="19" style="9" customWidth="1"/>
    <col min="16" max="16" width="13.5" style="9" customWidth="1"/>
    <col min="17" max="17" width="9.1640625" style="9" bestFit="1" customWidth="1"/>
    <col min="18" max="18" width="10.5" style="9" customWidth="1"/>
    <col min="19" max="19" width="14.33203125" style="9" customWidth="1"/>
    <col min="20" max="21" width="13.1640625" style="9" customWidth="1"/>
    <col min="22" max="22" width="34.1640625" style="9" bestFit="1" customWidth="1"/>
    <col min="23" max="23" width="31" style="9" bestFit="1" customWidth="1"/>
    <col min="24" max="24" width="34.1640625" style="9" bestFit="1" customWidth="1"/>
    <col min="25" max="25" width="31" style="9" bestFit="1" customWidth="1"/>
    <col min="26" max="26" width="34.1640625" style="9" bestFit="1" customWidth="1"/>
    <col min="27" max="27" width="31" style="9" bestFit="1" customWidth="1"/>
    <col min="28" max="28" width="34.1640625" style="9" bestFit="1" customWidth="1"/>
    <col min="29" max="29" width="31" style="9" bestFit="1" customWidth="1"/>
    <col min="30" max="30" width="38.83203125" style="9" bestFit="1" customWidth="1"/>
    <col min="31" max="31" width="35.6640625" style="9" bestFit="1" customWidth="1"/>
    <col min="32" max="16384" width="11" style="9"/>
  </cols>
  <sheetData>
    <row r="1" spans="1:18" ht="38" customHeight="1" x14ac:dyDescent="0.2">
      <c r="A1" s="32" t="s">
        <v>642</v>
      </c>
      <c r="B1" s="32"/>
      <c r="C1" s="32"/>
      <c r="D1" s="32"/>
      <c r="E1" s="32"/>
      <c r="F1" s="32"/>
      <c r="G1" s="32"/>
      <c r="H1" s="32"/>
      <c r="I1" s="32"/>
      <c r="J1" s="32"/>
      <c r="K1" s="32"/>
      <c r="L1" s="32"/>
      <c r="M1" s="8"/>
      <c r="N1" s="8"/>
      <c r="O1" s="8"/>
      <c r="P1" s="8"/>
      <c r="Q1" s="8"/>
      <c r="R1" s="8"/>
    </row>
    <row r="2" spans="1:18" x14ac:dyDescent="0.2">
      <c r="A2" s="8"/>
      <c r="B2" s="8" t="s">
        <v>67</v>
      </c>
      <c r="C2" s="8" t="s">
        <v>68</v>
      </c>
      <c r="D2" s="8" t="s">
        <v>447</v>
      </c>
      <c r="E2" s="8" t="s">
        <v>287</v>
      </c>
      <c r="F2" s="8" t="s">
        <v>189</v>
      </c>
      <c r="G2" s="8" t="s">
        <v>448</v>
      </c>
      <c r="H2" s="8" t="s">
        <v>283</v>
      </c>
      <c r="I2" s="8" t="s">
        <v>284</v>
      </c>
      <c r="J2" s="8" t="s">
        <v>290</v>
      </c>
      <c r="K2" s="8" t="s">
        <v>289</v>
      </c>
      <c r="L2" s="8" t="s">
        <v>143</v>
      </c>
      <c r="M2" s="8" t="s">
        <v>144</v>
      </c>
      <c r="N2" s="8" t="s">
        <v>286</v>
      </c>
      <c r="O2" s="8" t="s">
        <v>477</v>
      </c>
      <c r="P2" s="8" t="s">
        <v>93</v>
      </c>
      <c r="Q2" s="8"/>
      <c r="R2" s="8"/>
    </row>
    <row r="3" spans="1:18" x14ac:dyDescent="0.2">
      <c r="A3" s="8" t="s">
        <v>18</v>
      </c>
      <c r="B3" s="8">
        <v>6466.6679999999997</v>
      </c>
      <c r="C3" s="8">
        <v>9588</v>
      </c>
      <c r="D3" s="8">
        <v>3521.0911000000001</v>
      </c>
      <c r="E3" s="8">
        <v>2160.232</v>
      </c>
      <c r="F3" s="8">
        <v>612.28</v>
      </c>
      <c r="G3" s="8">
        <v>1462.48</v>
      </c>
      <c r="H3" s="8">
        <v>608.55999999999995</v>
      </c>
      <c r="I3" s="8"/>
      <c r="J3" s="8">
        <v>226.702</v>
      </c>
      <c r="K3" s="8"/>
      <c r="L3" s="8"/>
      <c r="M3" s="8">
        <v>4.8644145711540006</v>
      </c>
      <c r="N3" s="8">
        <v>100.74</v>
      </c>
      <c r="O3" s="8"/>
      <c r="P3" s="8">
        <f>SUM(B3:O3)</f>
        <v>24751.617514571157</v>
      </c>
      <c r="Q3" s="8"/>
      <c r="R3" s="8"/>
    </row>
    <row r="4" spans="1:18" x14ac:dyDescent="0.2">
      <c r="A4" s="8" t="s">
        <v>26</v>
      </c>
      <c r="B4" s="8">
        <v>4022.136</v>
      </c>
      <c r="C4" s="8">
        <v>8723</v>
      </c>
      <c r="D4" s="8">
        <v>2031.07608</v>
      </c>
      <c r="E4" s="8">
        <v>838.76400000000001</v>
      </c>
      <c r="F4" s="8"/>
      <c r="G4" s="8"/>
      <c r="H4" s="8"/>
      <c r="I4" s="8"/>
      <c r="J4" s="8"/>
      <c r="K4" s="8"/>
      <c r="L4" s="8"/>
      <c r="M4" s="8"/>
      <c r="N4" s="8"/>
      <c r="O4" s="8"/>
      <c r="P4" s="8">
        <f t="shared" ref="P4:P27" si="0">SUM(B4:O4)</f>
        <v>15614.97608</v>
      </c>
      <c r="Q4" s="8"/>
      <c r="R4" s="8"/>
    </row>
    <row r="5" spans="1:18" x14ac:dyDescent="0.2">
      <c r="A5" s="8" t="s">
        <v>20</v>
      </c>
      <c r="B5" s="8">
        <v>1049.1300000000001</v>
      </c>
      <c r="C5" s="8">
        <v>9197</v>
      </c>
      <c r="D5" s="8">
        <v>1884.0872400000001</v>
      </c>
      <c r="E5" s="8">
        <v>1137.77</v>
      </c>
      <c r="F5" s="8">
        <v>204.99</v>
      </c>
      <c r="G5" s="8">
        <v>890.6</v>
      </c>
      <c r="H5" s="8">
        <v>334.95</v>
      </c>
      <c r="I5" s="8"/>
      <c r="J5" s="8">
        <v>136.5</v>
      </c>
      <c r="K5" s="8"/>
      <c r="L5" s="8"/>
      <c r="M5" s="8"/>
      <c r="N5" s="8">
        <v>51.14</v>
      </c>
      <c r="O5" s="8"/>
      <c r="P5" s="8">
        <f t="shared" si="0"/>
        <v>14886.167240000002</v>
      </c>
      <c r="Q5" s="8"/>
      <c r="R5" s="8"/>
    </row>
    <row r="6" spans="1:18" x14ac:dyDescent="0.2">
      <c r="A6" s="8" t="s">
        <v>27</v>
      </c>
      <c r="B6" s="8"/>
      <c r="C6" s="8"/>
      <c r="D6" s="8"/>
      <c r="E6" s="8"/>
      <c r="F6" s="8"/>
      <c r="G6" s="8"/>
      <c r="H6" s="8">
        <v>165.61999999999989</v>
      </c>
      <c r="I6" s="8">
        <v>264.52</v>
      </c>
      <c r="J6" s="8"/>
      <c r="K6" s="8">
        <v>247.82</v>
      </c>
      <c r="L6" s="8"/>
      <c r="M6" s="8"/>
      <c r="N6" s="8">
        <v>7281.79</v>
      </c>
      <c r="O6" s="8">
        <v>187.11</v>
      </c>
      <c r="P6" s="8">
        <f t="shared" si="0"/>
        <v>8146.86</v>
      </c>
      <c r="Q6" s="8"/>
      <c r="R6" s="8"/>
    </row>
    <row r="7" spans="1:18" x14ac:dyDescent="0.2">
      <c r="A7" s="8" t="s">
        <v>22</v>
      </c>
      <c r="B7" s="8">
        <v>1064.5820000000001</v>
      </c>
      <c r="C7" s="8">
        <v>1291</v>
      </c>
      <c r="D7" s="8">
        <v>1582.8320000000001</v>
      </c>
      <c r="E7" s="8">
        <v>1522.6179999999999</v>
      </c>
      <c r="F7" s="8">
        <v>324.89999999999998</v>
      </c>
      <c r="G7" s="8">
        <v>671.36</v>
      </c>
      <c r="H7" s="8">
        <v>103.28800000000001</v>
      </c>
      <c r="I7" s="8"/>
      <c r="J7" s="8">
        <v>79.099999999999994</v>
      </c>
      <c r="K7" s="8"/>
      <c r="L7" s="8"/>
      <c r="M7" s="8"/>
      <c r="N7" s="8">
        <v>59.72</v>
      </c>
      <c r="O7" s="8"/>
      <c r="P7" s="8">
        <f t="shared" si="0"/>
        <v>6699.4000000000005</v>
      </c>
      <c r="Q7" s="8"/>
      <c r="R7" s="8"/>
    </row>
    <row r="8" spans="1:18" x14ac:dyDescent="0.2">
      <c r="A8" s="8" t="s">
        <v>24</v>
      </c>
      <c r="B8" s="8">
        <v>292.5</v>
      </c>
      <c r="C8" s="8">
        <v>1102.5</v>
      </c>
      <c r="D8" s="8">
        <v>1240</v>
      </c>
      <c r="E8" s="8">
        <v>799.2</v>
      </c>
      <c r="F8" s="8">
        <v>196.27</v>
      </c>
      <c r="G8" s="8">
        <v>214.64</v>
      </c>
      <c r="H8" s="8">
        <v>63.31</v>
      </c>
      <c r="I8" s="8"/>
      <c r="J8" s="8"/>
      <c r="K8" s="8"/>
      <c r="L8" s="8">
        <v>172.324938</v>
      </c>
      <c r="M8" s="8">
        <v>40.549999999999997</v>
      </c>
      <c r="N8" s="8">
        <v>65.64</v>
      </c>
      <c r="O8" s="8"/>
      <c r="P8" s="8">
        <f t="shared" si="0"/>
        <v>4186.9349380000003</v>
      </c>
      <c r="Q8" s="8"/>
      <c r="R8" s="8"/>
    </row>
    <row r="9" spans="1:18" x14ac:dyDescent="0.2">
      <c r="A9" s="8" t="s">
        <v>28</v>
      </c>
      <c r="B9" s="8"/>
      <c r="C9" s="8"/>
      <c r="D9" s="8"/>
      <c r="E9" s="8"/>
      <c r="F9" s="8"/>
      <c r="G9" s="8"/>
      <c r="H9" s="8"/>
      <c r="I9" s="8"/>
      <c r="J9" s="8"/>
      <c r="K9" s="8"/>
      <c r="L9" s="8"/>
      <c r="M9" s="8"/>
      <c r="N9" s="8">
        <v>3838.84</v>
      </c>
      <c r="O9" s="8"/>
      <c r="P9" s="8">
        <f t="shared" si="0"/>
        <v>3838.84</v>
      </c>
      <c r="Q9" s="8"/>
      <c r="R9" s="8"/>
    </row>
    <row r="10" spans="1:18" x14ac:dyDescent="0.2">
      <c r="A10" s="8" t="s">
        <v>30</v>
      </c>
      <c r="B10" s="8"/>
      <c r="C10" s="8"/>
      <c r="D10" s="8"/>
      <c r="E10" s="8"/>
      <c r="F10" s="8">
        <v>1083.77</v>
      </c>
      <c r="G10" s="8">
        <v>158.1</v>
      </c>
      <c r="H10" s="8">
        <v>23.84</v>
      </c>
      <c r="I10" s="8"/>
      <c r="J10" s="8">
        <v>358.4</v>
      </c>
      <c r="K10" s="8"/>
      <c r="L10" s="8"/>
      <c r="M10" s="8"/>
      <c r="N10" s="8">
        <v>85.7</v>
      </c>
      <c r="O10" s="8"/>
      <c r="P10" s="8">
        <f t="shared" si="0"/>
        <v>1709.8099999999997</v>
      </c>
      <c r="Q10" s="8"/>
      <c r="R10" s="8"/>
    </row>
    <row r="11" spans="1:18" x14ac:dyDescent="0.2">
      <c r="A11" s="8" t="s">
        <v>34</v>
      </c>
      <c r="B11" s="8"/>
      <c r="C11" s="8"/>
      <c r="D11" s="8"/>
      <c r="E11" s="8"/>
      <c r="F11" s="8"/>
      <c r="G11" s="8"/>
      <c r="H11" s="8">
        <v>17.95</v>
      </c>
      <c r="I11" s="8"/>
      <c r="J11" s="8"/>
      <c r="K11" s="8">
        <v>147.77000000000001</v>
      </c>
      <c r="L11" s="8"/>
      <c r="M11" s="8"/>
      <c r="N11" s="8">
        <v>1529.28</v>
      </c>
      <c r="O11" s="8"/>
      <c r="P11" s="8">
        <f t="shared" si="0"/>
        <v>1695</v>
      </c>
      <c r="Q11" s="8"/>
      <c r="R11" s="8"/>
    </row>
    <row r="12" spans="1:18" x14ac:dyDescent="0.2">
      <c r="A12" s="8" t="s">
        <v>32</v>
      </c>
      <c r="B12" s="8">
        <v>328.1</v>
      </c>
      <c r="C12" s="8"/>
      <c r="D12" s="8">
        <v>638.18247199999996</v>
      </c>
      <c r="E12" s="8">
        <v>474.01499999999999</v>
      </c>
      <c r="F12" s="8"/>
      <c r="G12" s="8">
        <v>5.0599999999999996</v>
      </c>
      <c r="H12" s="8"/>
      <c r="I12" s="8"/>
      <c r="J12" s="8">
        <v>82</v>
      </c>
      <c r="K12" s="8"/>
      <c r="L12" s="8"/>
      <c r="M12" s="8"/>
      <c r="N12" s="8"/>
      <c r="O12" s="8"/>
      <c r="P12" s="8">
        <f t="shared" si="0"/>
        <v>1527.3574719999999</v>
      </c>
      <c r="Q12" s="8"/>
      <c r="R12" s="8"/>
    </row>
    <row r="13" spans="1:18" x14ac:dyDescent="0.2">
      <c r="A13" s="8" t="s">
        <v>33</v>
      </c>
      <c r="B13" s="8"/>
      <c r="C13" s="8"/>
      <c r="D13" s="8"/>
      <c r="E13" s="8"/>
      <c r="F13" s="8"/>
      <c r="G13" s="8"/>
      <c r="H13" s="8">
        <v>1456.89</v>
      </c>
      <c r="I13" s="8"/>
      <c r="J13" s="8"/>
      <c r="K13" s="8"/>
      <c r="L13" s="8"/>
      <c r="M13" s="8"/>
      <c r="N13" s="8"/>
      <c r="O13" s="8"/>
      <c r="P13" s="8">
        <f t="shared" si="0"/>
        <v>1456.89</v>
      </c>
      <c r="Q13" s="8"/>
      <c r="R13" s="8"/>
    </row>
    <row r="14" spans="1:18" x14ac:dyDescent="0.2">
      <c r="A14" s="8" t="s">
        <v>37</v>
      </c>
      <c r="B14" s="8"/>
      <c r="C14" s="8"/>
      <c r="D14" s="8"/>
      <c r="E14" s="8"/>
      <c r="F14" s="8"/>
      <c r="G14" s="8"/>
      <c r="H14" s="8">
        <v>212.35000000000002</v>
      </c>
      <c r="I14" s="8">
        <v>542.79</v>
      </c>
      <c r="J14" s="8"/>
      <c r="K14" s="8">
        <v>227.79</v>
      </c>
      <c r="L14" s="8"/>
      <c r="M14" s="8"/>
      <c r="N14" s="8"/>
      <c r="O14" s="8">
        <v>319.13</v>
      </c>
      <c r="P14" s="8">
        <f>SUM(B14:O14)</f>
        <v>1302.06</v>
      </c>
      <c r="Q14" s="8"/>
      <c r="R14" s="8"/>
    </row>
    <row r="15" spans="1:18" x14ac:dyDescent="0.2">
      <c r="A15" s="8" t="s">
        <v>35</v>
      </c>
      <c r="B15" s="8">
        <v>278.60000000000002</v>
      </c>
      <c r="C15" s="8">
        <v>613.4</v>
      </c>
      <c r="D15" s="8">
        <v>284</v>
      </c>
      <c r="E15" s="8">
        <v>95.7</v>
      </c>
      <c r="F15" s="8"/>
      <c r="G15" s="8"/>
      <c r="H15" s="8"/>
      <c r="I15" s="8"/>
      <c r="J15" s="8"/>
      <c r="K15" s="8"/>
      <c r="L15" s="8"/>
      <c r="M15" s="8"/>
      <c r="N15" s="8"/>
      <c r="O15" s="8"/>
      <c r="P15" s="8">
        <f t="shared" si="0"/>
        <v>1271.7</v>
      </c>
      <c r="Q15" s="8"/>
      <c r="R15" s="8"/>
    </row>
    <row r="16" spans="1:18" x14ac:dyDescent="0.2">
      <c r="A16" s="8" t="s">
        <v>36</v>
      </c>
      <c r="B16" s="8">
        <v>220.25</v>
      </c>
      <c r="C16" s="8">
        <v>220.5</v>
      </c>
      <c r="D16" s="8">
        <v>481.9</v>
      </c>
      <c r="E16" s="8">
        <v>264.738</v>
      </c>
      <c r="F16" s="8"/>
      <c r="G16" s="8"/>
      <c r="H16" s="8"/>
      <c r="I16" s="8"/>
      <c r="J16" s="8"/>
      <c r="K16" s="8"/>
      <c r="L16" s="8"/>
      <c r="M16" s="8"/>
      <c r="N16" s="8"/>
      <c r="O16" s="8"/>
      <c r="P16" s="8">
        <f t="shared" si="0"/>
        <v>1187.3879999999999</v>
      </c>
      <c r="Q16" s="8"/>
      <c r="R16" s="8"/>
    </row>
    <row r="17" spans="1:18" x14ac:dyDescent="0.2">
      <c r="A17" s="8" t="s">
        <v>40</v>
      </c>
      <c r="B17" s="8"/>
      <c r="C17" s="8"/>
      <c r="D17" s="8"/>
      <c r="E17" s="8"/>
      <c r="F17" s="8"/>
      <c r="G17" s="8"/>
      <c r="H17" s="8"/>
      <c r="I17" s="8">
        <v>564.14</v>
      </c>
      <c r="J17" s="8"/>
      <c r="K17" s="8"/>
      <c r="L17" s="8"/>
      <c r="M17" s="8"/>
      <c r="N17" s="8">
        <v>366.40849040000001</v>
      </c>
      <c r="O17" s="8"/>
      <c r="P17" s="8">
        <f t="shared" si="0"/>
        <v>930.54849039999999</v>
      </c>
      <c r="Q17" s="8"/>
      <c r="R17" s="8"/>
    </row>
    <row r="18" spans="1:18" x14ac:dyDescent="0.2">
      <c r="A18" s="8" t="s">
        <v>459</v>
      </c>
      <c r="B18" s="8"/>
      <c r="C18" s="8"/>
      <c r="D18" s="8"/>
      <c r="E18" s="8"/>
      <c r="F18" s="8"/>
      <c r="G18" s="8"/>
      <c r="H18" s="8"/>
      <c r="I18" s="8">
        <v>411.72</v>
      </c>
      <c r="J18" s="8"/>
      <c r="K18" s="8">
        <v>174.62</v>
      </c>
      <c r="L18" s="8"/>
      <c r="M18" s="8"/>
      <c r="N18" s="8"/>
      <c r="O18" s="8"/>
      <c r="P18" s="8">
        <f t="shared" si="0"/>
        <v>586.34</v>
      </c>
      <c r="Q18" s="8"/>
      <c r="R18" s="8"/>
    </row>
    <row r="19" spans="1:18" x14ac:dyDescent="0.2">
      <c r="A19" s="8" t="s">
        <v>38</v>
      </c>
      <c r="B19" s="8"/>
      <c r="C19" s="8"/>
      <c r="D19" s="8"/>
      <c r="E19" s="8"/>
      <c r="F19" s="8"/>
      <c r="G19" s="8"/>
      <c r="H19" s="8"/>
      <c r="I19" s="8"/>
      <c r="J19" s="8"/>
      <c r="K19" s="8"/>
      <c r="L19" s="8">
        <v>458.22399999999999</v>
      </c>
      <c r="M19" s="8">
        <v>1.9170989284050002</v>
      </c>
      <c r="N19" s="8">
        <v>119.49</v>
      </c>
      <c r="O19" s="8"/>
      <c r="P19" s="8">
        <f t="shared" si="0"/>
        <v>579.63109892840498</v>
      </c>
      <c r="Q19" s="8"/>
      <c r="R19" s="8"/>
    </row>
    <row r="20" spans="1:18" x14ac:dyDescent="0.2">
      <c r="A20" s="8" t="s">
        <v>472</v>
      </c>
      <c r="B20" s="8"/>
      <c r="C20" s="8"/>
      <c r="D20" s="8"/>
      <c r="E20" s="8"/>
      <c r="F20" s="8"/>
      <c r="G20" s="8"/>
      <c r="H20" s="8"/>
      <c r="I20" s="8"/>
      <c r="J20" s="8"/>
      <c r="K20" s="8">
        <v>533.35</v>
      </c>
      <c r="L20" s="8"/>
      <c r="M20" s="8"/>
      <c r="N20" s="8"/>
      <c r="O20" s="8"/>
      <c r="P20" s="8">
        <f t="shared" si="0"/>
        <v>533.35</v>
      </c>
      <c r="Q20" s="8"/>
      <c r="R20" s="8"/>
    </row>
    <row r="21" spans="1:18" x14ac:dyDescent="0.2">
      <c r="A21" s="8" t="s">
        <v>471</v>
      </c>
      <c r="B21" s="8"/>
      <c r="C21" s="8"/>
      <c r="D21" s="8"/>
      <c r="E21" s="8"/>
      <c r="F21" s="8"/>
      <c r="G21" s="8"/>
      <c r="H21" s="8"/>
      <c r="I21" s="8"/>
      <c r="J21" s="8">
        <v>481.53</v>
      </c>
      <c r="K21" s="8"/>
      <c r="L21" s="8"/>
      <c r="M21" s="8"/>
      <c r="N21" s="8"/>
      <c r="O21" s="8"/>
      <c r="P21" s="8">
        <f t="shared" si="0"/>
        <v>481.53</v>
      </c>
      <c r="Q21" s="8"/>
      <c r="R21" s="8"/>
    </row>
    <row r="22" spans="1:18" x14ac:dyDescent="0.2">
      <c r="A22" s="8" t="s">
        <v>31</v>
      </c>
      <c r="B22" s="8"/>
      <c r="C22" s="8"/>
      <c r="D22" s="8"/>
      <c r="E22" s="8"/>
      <c r="F22" s="8"/>
      <c r="G22" s="8"/>
      <c r="H22" s="8">
        <v>473.55</v>
      </c>
      <c r="I22" s="8"/>
      <c r="J22" s="8"/>
      <c r="K22" s="8"/>
      <c r="L22" s="8"/>
      <c r="M22" s="8"/>
      <c r="N22" s="8"/>
      <c r="O22" s="8"/>
      <c r="P22" s="8">
        <f t="shared" si="0"/>
        <v>473.55</v>
      </c>
      <c r="Q22" s="8"/>
      <c r="R22" s="8"/>
    </row>
    <row r="23" spans="1:18" x14ac:dyDescent="0.2">
      <c r="A23" s="8" t="s">
        <v>315</v>
      </c>
      <c r="B23" s="8"/>
      <c r="C23" s="8"/>
      <c r="D23" s="8">
        <v>464</v>
      </c>
      <c r="E23" s="8"/>
      <c r="F23" s="8"/>
      <c r="G23" s="8"/>
      <c r="H23" s="8"/>
      <c r="I23" s="8"/>
      <c r="J23" s="8"/>
      <c r="K23" s="8"/>
      <c r="L23" s="8"/>
      <c r="M23" s="8"/>
      <c r="N23" s="8"/>
      <c r="O23" s="8"/>
      <c r="P23" s="8">
        <f t="shared" si="0"/>
        <v>464</v>
      </c>
      <c r="Q23" s="8"/>
      <c r="R23" s="8"/>
    </row>
    <row r="24" spans="1:18" ht="15" customHeight="1" x14ac:dyDescent="0.2">
      <c r="A24" s="8" t="s">
        <v>450</v>
      </c>
      <c r="B24" s="8"/>
      <c r="C24" s="8"/>
      <c r="D24" s="8"/>
      <c r="E24" s="8"/>
      <c r="F24" s="8"/>
      <c r="G24" s="8"/>
      <c r="H24" s="8"/>
      <c r="I24" s="8"/>
      <c r="J24" s="8"/>
      <c r="K24" s="8">
        <v>410.9</v>
      </c>
      <c r="L24" s="8"/>
      <c r="M24" s="8"/>
      <c r="N24" s="8">
        <v>49.454906780000002</v>
      </c>
      <c r="O24" s="8"/>
      <c r="P24" s="8">
        <f t="shared" si="0"/>
        <v>460.35490677999996</v>
      </c>
      <c r="Q24" s="8"/>
      <c r="R24" s="8"/>
    </row>
    <row r="25" spans="1:18" x14ac:dyDescent="0.2">
      <c r="A25" s="8" t="s">
        <v>458</v>
      </c>
      <c r="B25" s="8"/>
      <c r="C25" s="8"/>
      <c r="D25" s="8"/>
      <c r="E25" s="8"/>
      <c r="F25" s="8"/>
      <c r="G25" s="8"/>
      <c r="H25" s="8"/>
      <c r="I25" s="8">
        <v>346.33</v>
      </c>
      <c r="J25" s="8"/>
      <c r="K25" s="8"/>
      <c r="L25" s="8"/>
      <c r="M25" s="8"/>
      <c r="N25" s="8"/>
      <c r="O25" s="8"/>
      <c r="P25" s="8">
        <f t="shared" si="0"/>
        <v>346.33</v>
      </c>
      <c r="Q25" s="8"/>
      <c r="R25" s="8"/>
    </row>
    <row r="26" spans="1:18" x14ac:dyDescent="0.2">
      <c r="A26" s="8" t="s">
        <v>340</v>
      </c>
      <c r="B26" s="8"/>
      <c r="C26" s="8"/>
      <c r="D26" s="8"/>
      <c r="E26" s="8"/>
      <c r="F26" s="8"/>
      <c r="G26" s="8"/>
      <c r="H26" s="8"/>
      <c r="I26" s="8"/>
      <c r="J26" s="8"/>
      <c r="K26" s="8"/>
      <c r="L26" s="8"/>
      <c r="M26" s="8"/>
      <c r="N26" s="8">
        <v>339.48032419999998</v>
      </c>
      <c r="O26" s="8"/>
      <c r="P26" s="8">
        <f t="shared" si="0"/>
        <v>339.48032419999998</v>
      </c>
      <c r="Q26" s="8"/>
      <c r="R26" s="8"/>
    </row>
    <row r="27" spans="1:18" x14ac:dyDescent="0.2">
      <c r="A27" s="8" t="s">
        <v>216</v>
      </c>
      <c r="B27" s="8"/>
      <c r="C27" s="8"/>
      <c r="D27" s="8"/>
      <c r="E27" s="8"/>
      <c r="F27" s="8"/>
      <c r="G27" s="8"/>
      <c r="H27" s="8"/>
      <c r="I27" s="8"/>
      <c r="J27" s="8"/>
      <c r="K27" s="8"/>
      <c r="L27" s="8">
        <v>275.699163</v>
      </c>
      <c r="M27" s="8"/>
      <c r="N27" s="8">
        <v>55.231777839999999</v>
      </c>
      <c r="O27" s="8"/>
      <c r="P27" s="8">
        <f t="shared" si="0"/>
        <v>330.93094084000001</v>
      </c>
      <c r="Q27" s="8"/>
      <c r="R27" s="8"/>
    </row>
    <row r="28" spans="1:18" x14ac:dyDescent="0.2">
      <c r="A28" s="8" t="s">
        <v>58</v>
      </c>
      <c r="B28" s="8">
        <v>14047.59</v>
      </c>
      <c r="C28" s="8">
        <v>30868.080000000002</v>
      </c>
      <c r="D28" s="8">
        <v>15248.49</v>
      </c>
      <c r="E28" s="8">
        <v>7421.49</v>
      </c>
      <c r="F28" s="8">
        <v>2580.4499999999998</v>
      </c>
      <c r="G28" s="8">
        <v>4091.87</v>
      </c>
      <c r="H28" s="8">
        <v>3680.5</v>
      </c>
      <c r="I28" s="8">
        <v>4294.6400000000003</v>
      </c>
      <c r="J28" s="8">
        <v>1956.51</v>
      </c>
      <c r="K28" s="8">
        <v>2335.36</v>
      </c>
      <c r="L28" s="8">
        <v>2025.77</v>
      </c>
      <c r="M28" s="8">
        <v>946.7</v>
      </c>
      <c r="N28" s="8">
        <v>14391</v>
      </c>
      <c r="O28" s="8">
        <f>SUM(O6:O27)</f>
        <v>506.24</v>
      </c>
      <c r="P28" s="8">
        <f>SUM(B28:O28)</f>
        <v>104394.68999999999</v>
      </c>
      <c r="Q28" s="8"/>
      <c r="R28" s="8"/>
    </row>
    <row r="29" spans="1:18" ht="15" customHeight="1" x14ac:dyDescent="0.2">
      <c r="A29" s="8"/>
      <c r="B29" s="8"/>
      <c r="C29" s="8"/>
      <c r="D29" s="8"/>
      <c r="E29" s="8"/>
      <c r="F29" s="8"/>
      <c r="G29" s="8"/>
      <c r="H29" s="8"/>
      <c r="I29" s="8"/>
      <c r="J29" s="8"/>
      <c r="K29" s="8"/>
      <c r="L29" s="8"/>
      <c r="M29" s="8"/>
      <c r="N29" s="8"/>
      <c r="O29" s="8"/>
      <c r="P29" s="8"/>
      <c r="Q29" s="8"/>
      <c r="R29" s="8"/>
    </row>
    <row r="30" spans="1:18" x14ac:dyDescent="0.2">
      <c r="A30" s="8"/>
      <c r="B30" s="8"/>
      <c r="C30" s="8"/>
      <c r="D30" s="8"/>
      <c r="E30" s="8"/>
      <c r="F30" s="8"/>
      <c r="G30" s="8"/>
      <c r="H30" s="8"/>
      <c r="I30" s="8"/>
      <c r="J30" s="8"/>
      <c r="K30" s="8"/>
      <c r="L30" s="8"/>
      <c r="M30" s="8"/>
      <c r="N30" s="8"/>
      <c r="O30" s="8"/>
      <c r="P30" s="8"/>
      <c r="Q30" s="8"/>
      <c r="R30" s="8"/>
    </row>
    <row r="31" spans="1:18" x14ac:dyDescent="0.2">
      <c r="A31" s="8"/>
      <c r="B31" s="8"/>
      <c r="C31" s="8"/>
      <c r="D31" s="8"/>
      <c r="E31" s="8"/>
      <c r="F31" s="8"/>
      <c r="G31" s="8"/>
      <c r="H31" s="8"/>
      <c r="I31" s="8"/>
      <c r="J31" s="8"/>
      <c r="K31" s="8"/>
      <c r="L31" s="8"/>
      <c r="M31" s="8"/>
      <c r="N31" s="8"/>
      <c r="O31" s="8"/>
      <c r="P31" s="8"/>
      <c r="Q31" s="8"/>
      <c r="R31" s="8"/>
    </row>
    <row r="32" spans="1:18" x14ac:dyDescent="0.2">
      <c r="A32" s="8"/>
      <c r="B32" s="8"/>
      <c r="C32" s="8"/>
      <c r="D32" s="8"/>
      <c r="E32" s="8"/>
      <c r="F32" s="8"/>
      <c r="G32" s="8"/>
      <c r="H32" s="8"/>
      <c r="I32" s="8"/>
      <c r="J32" s="8"/>
      <c r="K32" s="8"/>
      <c r="L32" s="8"/>
      <c r="M32" s="8"/>
      <c r="N32" s="8"/>
      <c r="O32" s="8"/>
      <c r="P32" s="8"/>
      <c r="Q32" s="8"/>
      <c r="R32" s="8"/>
    </row>
    <row r="33" spans="1:18" x14ac:dyDescent="0.2">
      <c r="A33" s="8"/>
      <c r="B33" s="8"/>
      <c r="C33" s="8"/>
      <c r="D33" s="8"/>
      <c r="E33" s="8"/>
      <c r="F33" s="8"/>
      <c r="G33" s="8"/>
      <c r="H33" s="8"/>
      <c r="I33" s="8"/>
      <c r="J33" s="8"/>
      <c r="K33" s="8"/>
      <c r="L33" s="8"/>
      <c r="M33" s="8"/>
      <c r="N33" s="8"/>
      <c r="O33" s="8"/>
      <c r="P33" s="8"/>
      <c r="Q33" s="8"/>
      <c r="R33" s="8"/>
    </row>
    <row r="34" spans="1:18" x14ac:dyDescent="0.2">
      <c r="A34" s="8"/>
      <c r="B34" s="8"/>
      <c r="C34" s="8"/>
      <c r="D34" s="8"/>
      <c r="E34" s="8"/>
      <c r="F34" s="8"/>
      <c r="G34" s="8"/>
      <c r="H34" s="8"/>
      <c r="I34" s="8"/>
      <c r="J34" s="8"/>
      <c r="K34" s="8"/>
      <c r="L34" s="8"/>
      <c r="M34" s="8"/>
      <c r="N34" s="8"/>
      <c r="O34" s="8"/>
      <c r="P34" s="8"/>
      <c r="Q34" s="8"/>
      <c r="R34" s="8"/>
    </row>
    <row r="35" spans="1:18" x14ac:dyDescent="0.2">
      <c r="A35" s="8"/>
      <c r="B35" s="8"/>
      <c r="C35" s="8"/>
      <c r="D35" s="8"/>
      <c r="E35" s="8"/>
      <c r="F35" s="8"/>
      <c r="G35" s="8"/>
      <c r="H35" s="8"/>
      <c r="I35" s="8"/>
      <c r="J35" s="8"/>
      <c r="K35" s="8"/>
      <c r="L35" s="8"/>
      <c r="M35" s="8"/>
      <c r="N35" s="8"/>
      <c r="O35" s="8"/>
      <c r="P35" s="8"/>
      <c r="Q35" s="8"/>
      <c r="R35" s="8"/>
    </row>
    <row r="36" spans="1:18" x14ac:dyDescent="0.2">
      <c r="A36" s="8"/>
      <c r="B36" s="8"/>
      <c r="C36" s="8"/>
      <c r="D36" s="8"/>
      <c r="E36" s="8"/>
      <c r="F36" s="8"/>
      <c r="G36" s="8"/>
      <c r="H36" s="8"/>
      <c r="I36" s="8"/>
      <c r="J36" s="8"/>
      <c r="K36" s="8"/>
      <c r="L36" s="8"/>
      <c r="M36" s="8"/>
      <c r="N36" s="8"/>
      <c r="O36" s="8"/>
      <c r="P36" s="8"/>
      <c r="Q36" s="8"/>
      <c r="R36" s="8"/>
    </row>
    <row r="37" spans="1:18" x14ac:dyDescent="0.2">
      <c r="A37" s="8"/>
      <c r="B37" s="8"/>
      <c r="C37" s="8"/>
      <c r="D37" s="8"/>
      <c r="E37" s="8"/>
      <c r="F37" s="8"/>
      <c r="G37" s="8"/>
      <c r="H37" s="8"/>
      <c r="I37" s="8"/>
      <c r="J37" s="8"/>
      <c r="K37" s="8"/>
      <c r="L37" s="8"/>
      <c r="M37" s="8"/>
      <c r="N37" s="8"/>
      <c r="O37" s="8"/>
      <c r="P37" s="8"/>
      <c r="Q37" s="8"/>
      <c r="R37" s="8"/>
    </row>
  </sheetData>
  <mergeCells count="1">
    <mergeCell ref="A1:L1"/>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Table of Contents</vt:lpstr>
      <vt:lpstr>Fig 1 Conc Rankings by HHI</vt:lpstr>
      <vt:lpstr>Fig 2 Sectors Covered</vt:lpstr>
      <vt:lpstr>Fig 3 Major Comms+Media Ownersh</vt:lpstr>
      <vt:lpstr>Fig 4 M&amp;As $</vt:lpstr>
      <vt:lpstr>Fig 5 VI US vs Canada, 2022</vt:lpstr>
      <vt:lpstr>Fig 6 Conn vs Content</vt:lpstr>
      <vt:lpstr>Figs 7-8 Network Connection $</vt:lpstr>
      <vt:lpstr>Figs 9 &amp; 10 CR+HHI</vt:lpstr>
      <vt:lpstr>Fig11 Mobile Wireless MrktShare</vt:lpstr>
      <vt:lpstr>Fig 12+13 WirelessMSbyProvince</vt:lpstr>
      <vt:lpstr>Fig14 RS Before-After</vt:lpstr>
      <vt:lpstr>Figs 15+16 Res Internet </vt:lpstr>
      <vt:lpstr>Fig 17 BDU RS BeforeAfter</vt:lpstr>
      <vt:lpstr>Fig 18 Cable vs Telcos</vt:lpstr>
      <vt:lpstr>Fig 19 ICTS vs CPI </vt:lpstr>
      <vt:lpstr>Fig 20 Internet v TV ad$ </vt:lpstr>
      <vt:lpstr>Fig 21 Search Engines</vt:lpstr>
      <vt:lpstr>Fig 22 Social Media </vt:lpstr>
      <vt:lpstr>Fig 23 Internet Ad$ </vt:lpstr>
      <vt:lpstr>Fig 24 Google Ad Tech Stack</vt:lpstr>
      <vt:lpstr>Fig 25 Total Ad$ </vt:lpstr>
      <vt:lpstr>Figure Internet News</vt:lpstr>
      <vt:lpstr>Figure 27 OVD MrktShare No  YT</vt:lpstr>
      <vt:lpstr>Fig 28 OVS Subs MS</vt:lpstr>
      <vt:lpstr>Fig 29 OVD MrktShare w YT</vt:lpstr>
      <vt:lpstr>Fig 30 TV + Video Landscape</vt:lpstr>
      <vt:lpstr>Fig 31 CR ScoresTV</vt:lpstr>
      <vt:lpstr>Fig 32 HHI Scores TV</vt:lpstr>
      <vt:lpstr>Fig 33 Digital Games  </vt:lpstr>
      <vt:lpstr>Fig 34 Streaming Music+Publish</vt:lpstr>
      <vt:lpstr>Fig 35 Major InternetCos</vt:lpstr>
      <vt:lpstr>Fig 36 Internet Content Aggs</vt:lpstr>
      <vt:lpstr>Fig 37 Leading Content Cos</vt:lpstr>
      <vt:lpstr>Formula for Fig 37</vt:lpstr>
      <vt:lpstr>Fig 38 CR1, 4 &amp; 10</vt:lpstr>
      <vt:lpstr>Fig 39 HHI Scores for NME</vt:lpstr>
      <vt:lpstr>Fig 40 Conc RankingsHHI</vt:lpstr>
      <vt:lpstr>Fig 41 LeadingTelecomInternet</vt:lpstr>
      <vt:lpstr>'Fig 31 CR ScoresTV'!Print_Area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Agnes Malkinson</cp:lastModifiedBy>
  <cp:revision/>
  <dcterms:created xsi:type="dcterms:W3CDTF">2016-11-14T17:45:28Z</dcterms:created>
  <dcterms:modified xsi:type="dcterms:W3CDTF">2024-01-23T02:00:13Z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694e0f-943f-4e6f-bf55-6e34fbc91307_Enabled">
    <vt:lpwstr>true</vt:lpwstr>
  </property>
  <property fmtid="{D5CDD505-2E9C-101B-9397-08002B2CF9AE}" pid="3" name="MSIP_Label_a9694e0f-943f-4e6f-bf55-6e34fbc91307_SetDate">
    <vt:lpwstr>2023-10-26T17:23:52Z</vt:lpwstr>
  </property>
  <property fmtid="{D5CDD505-2E9C-101B-9397-08002B2CF9AE}" pid="4" name="MSIP_Label_a9694e0f-943f-4e6f-bf55-6e34fbc91307_Method">
    <vt:lpwstr>Standard</vt:lpwstr>
  </property>
  <property fmtid="{D5CDD505-2E9C-101B-9397-08002B2CF9AE}" pid="5" name="MSIP_Label_a9694e0f-943f-4e6f-bf55-6e34fbc91307_Name">
    <vt:lpwstr>Usage interne</vt:lpwstr>
  </property>
  <property fmtid="{D5CDD505-2E9C-101B-9397-08002B2CF9AE}" pid="6" name="MSIP_Label_a9694e0f-943f-4e6f-bf55-6e34fbc91307_SiteId">
    <vt:lpwstr>728d20a5-0b44-47dd-9470-20f37cbf2d9a</vt:lpwstr>
  </property>
  <property fmtid="{D5CDD505-2E9C-101B-9397-08002B2CF9AE}" pid="7" name="MSIP_Label_a9694e0f-943f-4e6f-bf55-6e34fbc91307_ActionId">
    <vt:lpwstr>0f00ff4e-b619-4bd2-aac6-56ca6ac99523</vt:lpwstr>
  </property>
  <property fmtid="{D5CDD505-2E9C-101B-9397-08002B2CF9AE}" pid="8" name="MSIP_Label_a9694e0f-943f-4e6f-bf55-6e34fbc91307_ContentBits">
    <vt:lpwstr>0</vt:lpwstr>
  </property>
</Properties>
</file>